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ctrlProps/ctrlProp28.xml" ContentType="application/vnd.ms-excel.controlproperties+xml"/>
  <Override PartName="/xl/drawings/drawing11.xml" ContentType="application/vnd.openxmlformats-officedocument.drawing+xml"/>
  <Override PartName="/xl/ctrlProps/ctrlProp29.xml" ContentType="application/vnd.ms-excel.controlproperties+xml"/>
  <Override PartName="/xl/comments1.xml" ContentType="application/vnd.openxmlformats-officedocument.spreadsheetml.comments+xml"/>
  <Override PartName="/xl/drawings/drawing12.xml" ContentType="application/vnd.openxmlformats-officedocument.drawing+xml"/>
  <Override PartName="/xl/ctrlProps/ctrlProp30.xml" ContentType="application/vnd.ms-excel.controlproperties+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D:\Windows\ServiceProfiles\NetworkService\AppData\Local\Packages\oice_16_974fa576_32c1d314_3d22\AC\Temp\"/>
    </mc:Choice>
  </mc:AlternateContent>
  <xr:revisionPtr revIDLastSave="0" documentId="8_{E38BEE26-2121-E04D-BF5B-6F74B1263737}" xr6:coauthVersionLast="45" xr6:coauthVersionMax="45" xr10:uidLastSave="{00000000-0000-0000-0000-000000000000}"/>
  <bookViews>
    <workbookView xWindow="-120" yWindow="-120" windowWidth="15600" windowHeight="11760" tabRatio="865" activeTab="3" xr2:uid="{00000000-000D-0000-FFFF-FFFF00000000}"/>
  </bookViews>
  <sheets>
    <sheet name="PRESENTACIÓN" sheetId="5" r:id="rId1"/>
    <sheet name="INSTRUCTIVO" sheetId="8" r:id="rId2"/>
    <sheet name="DATOS DE PRECIPITACIÓN" sheetId="1" r:id="rId3"/>
    <sheet name="COEFICIENTE DE ESCURRIMIENTO" sheetId="9" r:id="rId4"/>
    <sheet name="RESULTADOS" sheetId="10" r:id="rId5"/>
    <sheet name="MÉTODO RACIONAL" sheetId="14" r:id="rId6"/>
    <sheet name="CUANTILES" sheetId="2" state="hidden" r:id="rId7"/>
    <sheet name="ERROR ESTANDAR" sheetId="4" state="hidden" r:id="rId8"/>
    <sheet name="RACIONAL MODIFICADO" sheetId="11" r:id="rId9"/>
    <sheet name="SECCIÓN TRANSVERSAL" sheetId="25" r:id="rId10"/>
    <sheet name="RESULT SECCIÓN TRANSVERSAL" sheetId="18" r:id="rId11"/>
    <sheet name="CREAGER" sheetId="20" r:id="rId12"/>
    <sheet name="LOWRY)" sheetId="21" r:id="rId13"/>
    <sheet name="RESUMEN GASTOS MÁXIMOS" sheetId="26" r:id="rId14"/>
    <sheet name="EUPS" sheetId="27" r:id="rId15"/>
  </sheets>
  <definedNames>
    <definedName name="__F" localSheetId="12">#REF!</definedName>
    <definedName name="__F">#REF!</definedName>
    <definedName name="_F" localSheetId="12">#REF!</definedName>
    <definedName name="_F">#REF!</definedName>
    <definedName name="A" localSheetId="12">#REF!</definedName>
    <definedName name="A">#REF!</definedName>
    <definedName name="_xlnm.Print_Area" localSheetId="1">INSTRUCTIVO!$B$2:$I$39</definedName>
    <definedName name="_xlnm.Print_Area" localSheetId="0">PRESENTACIÓN!$A$1:$M$37</definedName>
    <definedName name="B" localSheetId="12">#REF!</definedName>
    <definedName name="B">#REF!</definedName>
    <definedName name="D" localSheetId="12">#REF!</definedName>
    <definedName name="D">#REF!</definedName>
    <definedName name="E" localSheetId="12">#REF!</definedName>
    <definedName name="E">#REF!</definedName>
    <definedName name="G" localSheetId="12">#REF!</definedName>
    <definedName name="G">#REF!</definedName>
    <definedName name="H" localSheetId="12">#REF!</definedName>
    <definedName name="H">#REF!</definedName>
    <definedName name="I" localSheetId="12">#REF!</definedName>
    <definedName name="I">#REF!</definedName>
    <definedName name="J" localSheetId="12">#REF!</definedName>
    <definedName name="J">#REF!</definedName>
    <definedName name="K" localSheetId="12">#REF!</definedName>
    <definedName name="K">#REF!</definedName>
    <definedName name="M" localSheetId="12">#REF!</definedName>
    <definedName name="M">#REF!</definedName>
    <definedName name="N" localSheetId="12">#REF!</definedName>
    <definedName name="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7" l="1"/>
  <c r="C40" i="27"/>
  <c r="D39" i="27"/>
  <c r="D40" i="27"/>
  <c r="E39" i="27"/>
  <c r="E40" i="27"/>
  <c r="F39" i="27"/>
  <c r="F40" i="27"/>
  <c r="G39" i="27"/>
  <c r="G40" i="27"/>
  <c r="H23" i="27"/>
  <c r="H41" i="27"/>
  <c r="F36" i="27"/>
  <c r="C15" i="27"/>
  <c r="C16" i="27"/>
  <c r="C18" i="27"/>
  <c r="F24" i="27"/>
  <c r="F43" i="27"/>
  <c r="C24" i="27"/>
  <c r="C43" i="27"/>
  <c r="D24" i="27"/>
  <c r="E24" i="27"/>
  <c r="G24" i="27"/>
  <c r="C36" i="27"/>
  <c r="D36" i="27"/>
  <c r="E36" i="27"/>
  <c r="G36" i="27"/>
  <c r="G43" i="27"/>
  <c r="E43" i="27"/>
  <c r="C51" i="27"/>
  <c r="D51" i="27"/>
  <c r="E51" i="27"/>
  <c r="F51" i="27"/>
  <c r="G51" i="27"/>
  <c r="C59" i="27"/>
  <c r="D59" i="27"/>
  <c r="E59" i="27"/>
  <c r="F59" i="27"/>
  <c r="G59" i="27"/>
  <c r="B98" i="25"/>
  <c r="C98" i="25"/>
  <c r="B99" i="25"/>
  <c r="C99" i="25"/>
  <c r="B100" i="25"/>
  <c r="C100" i="25"/>
  <c r="B101" i="25"/>
  <c r="C101" i="25"/>
  <c r="B102" i="25"/>
  <c r="C102" i="25"/>
  <c r="B103" i="25"/>
  <c r="C103" i="25"/>
  <c r="B104" i="25"/>
  <c r="C104" i="25"/>
  <c r="B105" i="25"/>
  <c r="C105" i="25"/>
  <c r="B106" i="25"/>
  <c r="C106" i="25"/>
  <c r="B107" i="25"/>
  <c r="C107" i="25"/>
  <c r="B108" i="25"/>
  <c r="C108" i="25"/>
  <c r="B109" i="25"/>
  <c r="C109" i="25"/>
  <c r="B110" i="25"/>
  <c r="C110" i="25"/>
  <c r="B111" i="25"/>
  <c r="C111" i="25"/>
  <c r="B112" i="25"/>
  <c r="C112" i="25"/>
  <c r="D8" i="11"/>
  <c r="C8" i="11"/>
  <c r="B12" i="11"/>
  <c r="B13" i="11"/>
  <c r="B9" i="11"/>
  <c r="B10" i="11"/>
  <c r="B11" i="11"/>
  <c r="B8" i="11"/>
  <c r="B7" i="11"/>
  <c r="D8" i="25"/>
  <c r="J8" i="25"/>
  <c r="E8" i="25"/>
  <c r="F8" i="25"/>
  <c r="E63" i="25"/>
  <c r="O8" i="25"/>
  <c r="T8" i="25"/>
  <c r="D9" i="25"/>
  <c r="J9" i="25"/>
  <c r="E9" i="25"/>
  <c r="P9" i="25"/>
  <c r="O9" i="25"/>
  <c r="D10" i="25"/>
  <c r="J10" i="25"/>
  <c r="E10" i="25"/>
  <c r="O10" i="25"/>
  <c r="D11" i="25"/>
  <c r="J11" i="25"/>
  <c r="E11" i="25"/>
  <c r="P11" i="25"/>
  <c r="O11" i="25"/>
  <c r="D12" i="25"/>
  <c r="J12" i="25"/>
  <c r="E12" i="25"/>
  <c r="P12" i="25"/>
  <c r="O12" i="25"/>
  <c r="D13" i="25"/>
  <c r="J13" i="25"/>
  <c r="E13" i="25"/>
  <c r="P13" i="25"/>
  <c r="O13" i="25"/>
  <c r="D14" i="25"/>
  <c r="J14" i="25"/>
  <c r="E14" i="25"/>
  <c r="O14" i="25"/>
  <c r="D15" i="25"/>
  <c r="J15" i="25"/>
  <c r="E15" i="25"/>
  <c r="P15" i="25"/>
  <c r="O15" i="25"/>
  <c r="D16" i="25"/>
  <c r="J16" i="25"/>
  <c r="E16" i="25"/>
  <c r="P16" i="25"/>
  <c r="O16" i="25"/>
  <c r="Q16" i="25"/>
  <c r="D17" i="25"/>
  <c r="J17" i="25"/>
  <c r="E17" i="25"/>
  <c r="P17" i="25"/>
  <c r="O17" i="25"/>
  <c r="Q17" i="25"/>
  <c r="D18" i="25"/>
  <c r="J18" i="25"/>
  <c r="E18" i="25"/>
  <c r="O18" i="25"/>
  <c r="D19" i="25"/>
  <c r="J19" i="25"/>
  <c r="E19" i="25"/>
  <c r="P19" i="25"/>
  <c r="O19" i="25"/>
  <c r="D20" i="25"/>
  <c r="J20" i="25"/>
  <c r="E20" i="25"/>
  <c r="P20" i="25"/>
  <c r="O20" i="25"/>
  <c r="D21" i="25"/>
  <c r="J21" i="25"/>
  <c r="E21" i="25"/>
  <c r="P21" i="25"/>
  <c r="O21" i="25"/>
  <c r="D22" i="25"/>
  <c r="J22" i="25"/>
  <c r="E22" i="25"/>
  <c r="O22" i="25"/>
  <c r="D23" i="25"/>
  <c r="J23" i="25"/>
  <c r="R23" i="25"/>
  <c r="E23" i="25"/>
  <c r="P23" i="25"/>
  <c r="O23" i="25"/>
  <c r="Q23" i="25"/>
  <c r="D24" i="25"/>
  <c r="J24" i="25"/>
  <c r="R24" i="25"/>
  <c r="E24" i="25"/>
  <c r="P24" i="25"/>
  <c r="O24" i="25"/>
  <c r="D25" i="25"/>
  <c r="J25" i="25"/>
  <c r="R25" i="25"/>
  <c r="E25" i="25"/>
  <c r="P25" i="25"/>
  <c r="O25" i="25"/>
  <c r="D26" i="25"/>
  <c r="J26" i="25"/>
  <c r="R26" i="25"/>
  <c r="E26" i="25"/>
  <c r="O26" i="25"/>
  <c r="D27" i="25"/>
  <c r="J27" i="25"/>
  <c r="R27" i="25"/>
  <c r="E27" i="25"/>
  <c r="P27" i="25"/>
  <c r="O27" i="25"/>
  <c r="D28" i="25"/>
  <c r="J28" i="25"/>
  <c r="R28" i="25"/>
  <c r="E28" i="25"/>
  <c r="P28" i="25"/>
  <c r="O28" i="25"/>
  <c r="Q28" i="25"/>
  <c r="D29" i="25"/>
  <c r="J29" i="25"/>
  <c r="R29" i="25"/>
  <c r="E29" i="25"/>
  <c r="O29" i="25"/>
  <c r="P29" i="25"/>
  <c r="D30" i="25"/>
  <c r="J30" i="25"/>
  <c r="R30" i="25"/>
  <c r="E30" i="25"/>
  <c r="O30" i="25"/>
  <c r="D31" i="25"/>
  <c r="E31" i="25"/>
  <c r="P31" i="25"/>
  <c r="O31" i="25"/>
  <c r="Q31" i="25"/>
  <c r="J31" i="25"/>
  <c r="R31" i="25"/>
  <c r="D32" i="25"/>
  <c r="J32" i="25"/>
  <c r="R32" i="25"/>
  <c r="E32" i="25"/>
  <c r="P32" i="25"/>
  <c r="O32" i="25"/>
  <c r="Q32" i="25"/>
  <c r="D33" i="25"/>
  <c r="E33" i="25"/>
  <c r="P33" i="25"/>
  <c r="O33" i="25"/>
  <c r="Q33" i="25"/>
  <c r="J33" i="25"/>
  <c r="R33" i="25"/>
  <c r="D34" i="25"/>
  <c r="J34" i="25"/>
  <c r="R34" i="25"/>
  <c r="E34" i="25"/>
  <c r="P34" i="25"/>
  <c r="O34" i="25"/>
  <c r="Q34" i="25"/>
  <c r="D35" i="25"/>
  <c r="J35" i="25"/>
  <c r="R35" i="25"/>
  <c r="E35" i="25"/>
  <c r="P35" i="25"/>
  <c r="O35" i="25"/>
  <c r="Q35" i="25"/>
  <c r="D36" i="25"/>
  <c r="J36" i="25"/>
  <c r="R36" i="25"/>
  <c r="E36" i="25"/>
  <c r="P36" i="25"/>
  <c r="O36" i="25"/>
  <c r="Q36" i="25"/>
  <c r="D37" i="25"/>
  <c r="J37" i="25"/>
  <c r="R37" i="25"/>
  <c r="E37" i="25"/>
  <c r="O37" i="25"/>
  <c r="P37" i="25"/>
  <c r="D38" i="25"/>
  <c r="J38" i="25"/>
  <c r="R38" i="25"/>
  <c r="E38" i="25"/>
  <c r="P38" i="25"/>
  <c r="O38" i="25"/>
  <c r="Q38" i="25"/>
  <c r="D39" i="25"/>
  <c r="J39" i="25"/>
  <c r="R39" i="25"/>
  <c r="E39" i="25"/>
  <c r="P39" i="25"/>
  <c r="O39" i="25"/>
  <c r="Q39" i="25"/>
  <c r="D40" i="25"/>
  <c r="E40" i="25"/>
  <c r="J40" i="25"/>
  <c r="R40" i="25"/>
  <c r="O40" i="25"/>
  <c r="P40" i="25"/>
  <c r="Q40" i="25"/>
  <c r="D41" i="25"/>
  <c r="J41" i="25"/>
  <c r="R41" i="25"/>
  <c r="E41" i="25"/>
  <c r="O41" i="25"/>
  <c r="P41" i="25"/>
  <c r="D42" i="25"/>
  <c r="J42" i="25"/>
  <c r="R42" i="25"/>
  <c r="E42" i="25"/>
  <c r="P42" i="25"/>
  <c r="O42" i="25"/>
  <c r="Q42" i="25"/>
  <c r="D43" i="25"/>
  <c r="E43" i="25"/>
  <c r="J43" i="25"/>
  <c r="R43" i="25"/>
  <c r="O43" i="25"/>
  <c r="P43" i="25"/>
  <c r="Q43" i="25"/>
  <c r="D44" i="25"/>
  <c r="J44" i="25"/>
  <c r="R44" i="25"/>
  <c r="E44" i="25"/>
  <c r="O44" i="25"/>
  <c r="P44" i="25"/>
  <c r="Q44" i="25"/>
  <c r="D45" i="25"/>
  <c r="E45" i="25"/>
  <c r="J45" i="25"/>
  <c r="R45" i="25"/>
  <c r="O45" i="25"/>
  <c r="P45" i="25"/>
  <c r="Q45" i="25"/>
  <c r="D46" i="25"/>
  <c r="J46" i="25"/>
  <c r="R46" i="25"/>
  <c r="E46" i="25"/>
  <c r="O46" i="25"/>
  <c r="P46" i="25"/>
  <c r="Q46" i="25"/>
  <c r="D47" i="25"/>
  <c r="E47" i="25"/>
  <c r="J47" i="25"/>
  <c r="R47" i="25"/>
  <c r="O47" i="25"/>
  <c r="P47" i="25"/>
  <c r="Q47" i="25"/>
  <c r="D48" i="25"/>
  <c r="J48" i="25"/>
  <c r="R48" i="25"/>
  <c r="E48" i="25"/>
  <c r="O48" i="25"/>
  <c r="P48" i="25"/>
  <c r="Q48" i="25"/>
  <c r="D49" i="25"/>
  <c r="E49" i="25"/>
  <c r="J49" i="25"/>
  <c r="O49" i="25"/>
  <c r="P49" i="25"/>
  <c r="Q49" i="25"/>
  <c r="R49" i="25"/>
  <c r="D50" i="25"/>
  <c r="E50" i="25"/>
  <c r="P50" i="25"/>
  <c r="O50" i="25"/>
  <c r="Q50" i="25"/>
  <c r="J50" i="25"/>
  <c r="R50" i="25"/>
  <c r="D51" i="25"/>
  <c r="J51" i="25"/>
  <c r="R51" i="25"/>
  <c r="E51" i="25"/>
  <c r="O51" i="25"/>
  <c r="P51" i="25"/>
  <c r="Q51" i="25"/>
  <c r="D52" i="25"/>
  <c r="J52" i="25"/>
  <c r="R52" i="25"/>
  <c r="E52" i="25"/>
  <c r="P52" i="25"/>
  <c r="O52" i="25"/>
  <c r="Q52" i="25"/>
  <c r="D53" i="25"/>
  <c r="E53" i="25"/>
  <c r="P53" i="25"/>
  <c r="O53" i="25"/>
  <c r="Q53" i="25"/>
  <c r="J53" i="25"/>
  <c r="R53" i="25"/>
  <c r="D54" i="25"/>
  <c r="J54" i="25"/>
  <c r="R54" i="25"/>
  <c r="E54" i="25"/>
  <c r="P54" i="25"/>
  <c r="O54" i="25"/>
  <c r="D55" i="25"/>
  <c r="J55" i="25"/>
  <c r="R55" i="25"/>
  <c r="E55" i="25"/>
  <c r="P55" i="25"/>
  <c r="O55" i="25"/>
  <c r="Q55" i="25"/>
  <c r="D56" i="25"/>
  <c r="J56" i="25"/>
  <c r="R56" i="25"/>
  <c r="E56" i="25"/>
  <c r="P56" i="25"/>
  <c r="O56" i="25"/>
  <c r="Q56" i="25"/>
  <c r="D57" i="25"/>
  <c r="J57" i="25"/>
  <c r="R57" i="25"/>
  <c r="E57" i="25"/>
  <c r="O57" i="25"/>
  <c r="P57" i="25"/>
  <c r="Q57" i="25"/>
  <c r="D58" i="25"/>
  <c r="E58" i="25"/>
  <c r="J58" i="25"/>
  <c r="R58" i="25"/>
  <c r="O58" i="25"/>
  <c r="P58" i="25"/>
  <c r="Q58" i="25"/>
  <c r="B63" i="25"/>
  <c r="C63" i="25"/>
  <c r="B64" i="25"/>
  <c r="C64" i="25"/>
  <c r="B65" i="25"/>
  <c r="C65" i="25"/>
  <c r="B66" i="25"/>
  <c r="C66" i="25"/>
  <c r="B67" i="25"/>
  <c r="C67" i="25"/>
  <c r="B68" i="25"/>
  <c r="C68" i="25"/>
  <c r="B69" i="25"/>
  <c r="C69" i="25"/>
  <c r="B70" i="25"/>
  <c r="C70" i="25"/>
  <c r="B71" i="25"/>
  <c r="C71" i="25"/>
  <c r="B72" i="25"/>
  <c r="C72" i="25"/>
  <c r="B73" i="25"/>
  <c r="C73" i="25"/>
  <c r="B74" i="25"/>
  <c r="C74" i="25"/>
  <c r="B75" i="25"/>
  <c r="C75" i="25"/>
  <c r="B76" i="25"/>
  <c r="C76" i="25"/>
  <c r="B77" i="25"/>
  <c r="C77" i="25"/>
  <c r="B78" i="25"/>
  <c r="C78" i="25"/>
  <c r="B79" i="25"/>
  <c r="C79" i="25"/>
  <c r="B80" i="25"/>
  <c r="C80" i="25"/>
  <c r="B81" i="25"/>
  <c r="C81" i="25"/>
  <c r="B82" i="25"/>
  <c r="C82" i="25"/>
  <c r="B83" i="25"/>
  <c r="C83" i="25"/>
  <c r="B84" i="25"/>
  <c r="C84" i="25"/>
  <c r="B85" i="25"/>
  <c r="C85" i="25"/>
  <c r="B86" i="25"/>
  <c r="C86" i="25"/>
  <c r="B87" i="25"/>
  <c r="C87" i="25"/>
  <c r="B88" i="25"/>
  <c r="C88" i="25"/>
  <c r="B89" i="25"/>
  <c r="C89" i="25"/>
  <c r="B90" i="25"/>
  <c r="C90" i="25"/>
  <c r="B91" i="25"/>
  <c r="C91" i="25"/>
  <c r="B92" i="25"/>
  <c r="C92" i="25"/>
  <c r="B93" i="25"/>
  <c r="C93" i="25"/>
  <c r="B94" i="25"/>
  <c r="C94" i="25"/>
  <c r="B95" i="25"/>
  <c r="C95" i="25"/>
  <c r="B96" i="25"/>
  <c r="C96" i="25"/>
  <c r="B97" i="25"/>
  <c r="C97" i="25"/>
  <c r="B113" i="25"/>
  <c r="C113" i="25"/>
  <c r="C7" i="21"/>
  <c r="C7" i="20"/>
  <c r="C12" i="18"/>
  <c r="F4" i="9"/>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E61" i="2"/>
  <c r="H62" i="27"/>
  <c r="H54" i="27"/>
  <c r="Q41" i="25"/>
  <c r="Q37" i="25"/>
  <c r="Q29" i="25"/>
  <c r="Q27" i="25"/>
  <c r="Q54" i="25"/>
  <c r="Q21" i="25"/>
  <c r="Q9" i="25"/>
  <c r="Q20" i="25"/>
  <c r="Q11" i="25"/>
  <c r="Q19" i="25"/>
  <c r="Q24" i="25"/>
  <c r="Q25" i="25"/>
  <c r="P30" i="25"/>
  <c r="Q30" i="25"/>
  <c r="P26" i="25"/>
  <c r="Q26" i="25"/>
  <c r="P22" i="25"/>
  <c r="Q22" i="25"/>
  <c r="P18" i="25"/>
  <c r="Q18" i="25"/>
  <c r="P14" i="25"/>
  <c r="P10" i="25"/>
  <c r="Q10" i="25"/>
  <c r="P8" i="25"/>
  <c r="Q8" i="25"/>
  <c r="D58" i="2"/>
  <c r="C8" i="14"/>
  <c r="C10" i="14"/>
  <c r="D43" i="27"/>
  <c r="H6" i="25"/>
  <c r="C3" i="10"/>
  <c r="C6" i="1"/>
  <c r="E18" i="9"/>
  <c r="F5" i="9"/>
  <c r="F6" i="9"/>
  <c r="F7" i="9"/>
  <c r="F8" i="9"/>
  <c r="F9" i="9"/>
  <c r="F10" i="9"/>
  <c r="F11" i="9"/>
  <c r="F12" i="9"/>
  <c r="F13" i="9"/>
  <c r="F14" i="9"/>
  <c r="F15" i="9"/>
  <c r="F16" i="9"/>
  <c r="F17" i="9"/>
  <c r="V11" i="9"/>
  <c r="X10" i="9"/>
  <c r="X9" i="9"/>
  <c r="X8" i="9"/>
  <c r="W7" i="9"/>
  <c r="X7" i="9"/>
  <c r="X6" i="9"/>
  <c r="X5" i="9"/>
  <c r="X4" i="9"/>
  <c r="F19" i="9"/>
  <c r="G4" i="9"/>
  <c r="G5" i="9"/>
  <c r="G6" i="9"/>
  <c r="G7" i="9"/>
  <c r="G8" i="9"/>
  <c r="G9" i="9"/>
  <c r="G10" i="9"/>
  <c r="G11" i="9"/>
  <c r="G12" i="9"/>
  <c r="G13" i="9"/>
  <c r="G14" i="9"/>
  <c r="G15" i="9"/>
  <c r="G16" i="9"/>
  <c r="G17" i="9"/>
  <c r="G18" i="9"/>
  <c r="G20" i="9"/>
  <c r="C2" i="2"/>
  <c r="C4" i="14"/>
  <c r="C4" i="20"/>
  <c r="C9" i="20"/>
  <c r="C10" i="20"/>
  <c r="C4" i="21"/>
  <c r="C5" i="10"/>
  <c r="C4" i="11"/>
  <c r="X11" i="9"/>
  <c r="X15" i="9"/>
  <c r="X16" i="9"/>
  <c r="C9" i="21"/>
  <c r="C10" i="21"/>
  <c r="Y15" i="9"/>
  <c r="R8" i="25"/>
  <c r="B6" i="1"/>
  <c r="B7" i="1"/>
  <c r="B4" i="2"/>
  <c r="A4" i="4"/>
  <c r="C7" i="1"/>
  <c r="G4" i="2"/>
  <c r="D4" i="4"/>
  <c r="B8" i="1"/>
  <c r="B5" i="2"/>
  <c r="C8" i="1"/>
  <c r="E3" i="4"/>
  <c r="B2" i="2"/>
  <c r="D3" i="2"/>
  <c r="E70" i="2"/>
  <c r="A5" i="4"/>
  <c r="G5" i="2"/>
  <c r="D5" i="4"/>
  <c r="B6" i="2"/>
  <c r="G6" i="2"/>
  <c r="D6" i="4"/>
  <c r="E6" i="4"/>
  <c r="B9" i="1"/>
  <c r="D56" i="2"/>
  <c r="C9" i="1"/>
  <c r="J70" i="2"/>
  <c r="D57" i="2"/>
  <c r="Q70" i="2"/>
  <c r="C5" i="2"/>
  <c r="C6" i="2"/>
  <c r="C4" i="2"/>
  <c r="D61" i="2"/>
  <c r="G70" i="2"/>
  <c r="N70" i="2"/>
  <c r="D59" i="2"/>
  <c r="D65" i="2"/>
  <c r="B64" i="4"/>
  <c r="D66" i="2"/>
  <c r="B65" i="4"/>
  <c r="B10" i="1"/>
  <c r="B8" i="2"/>
  <c r="B7" i="2"/>
  <c r="A7" i="4"/>
  <c r="C10" i="1"/>
  <c r="C7" i="2"/>
  <c r="G7" i="2"/>
  <c r="D7" i="4"/>
  <c r="E7" i="4"/>
  <c r="A8" i="4"/>
  <c r="G8" i="2"/>
  <c r="D8" i="4"/>
  <c r="B11" i="1"/>
  <c r="C11" i="1"/>
  <c r="C8" i="2"/>
  <c r="B12" i="1"/>
  <c r="B10" i="2"/>
  <c r="B9" i="2"/>
  <c r="A9" i="4"/>
  <c r="C12" i="1"/>
  <c r="C9" i="2"/>
  <c r="G9" i="2"/>
  <c r="D9" i="4"/>
  <c r="E9" i="4"/>
  <c r="A10" i="4"/>
  <c r="G10" i="2"/>
  <c r="D10" i="4"/>
  <c r="B13" i="1"/>
  <c r="C13" i="1"/>
  <c r="C10" i="2"/>
  <c r="D78" i="2"/>
  <c r="D77" i="2"/>
  <c r="D76" i="2"/>
  <c r="D75" i="2"/>
  <c r="D74" i="2"/>
  <c r="D73" i="2"/>
  <c r="D72" i="2"/>
  <c r="D71" i="2"/>
  <c r="O71" i="2"/>
  <c r="D62" i="2"/>
  <c r="D60" i="2"/>
  <c r="E75" i="2"/>
  <c r="H71" i="2"/>
  <c r="I71" i="2"/>
  <c r="J71" i="2"/>
  <c r="H77" i="2"/>
  <c r="I77" i="2"/>
  <c r="J77" i="2"/>
  <c r="E76" i="2"/>
  <c r="E72" i="2"/>
  <c r="E74" i="2"/>
  <c r="E78" i="2"/>
  <c r="H72" i="2"/>
  <c r="I72" i="2"/>
  <c r="J72" i="2"/>
  <c r="H74" i="2"/>
  <c r="I74" i="2"/>
  <c r="J74" i="2"/>
  <c r="H73" i="2"/>
  <c r="I73" i="2"/>
  <c r="J73" i="2"/>
  <c r="H75" i="2"/>
  <c r="I75" i="2"/>
  <c r="J75" i="2"/>
  <c r="H76" i="2"/>
  <c r="I76" i="2"/>
  <c r="J76" i="2"/>
  <c r="H78" i="2"/>
  <c r="I78" i="2"/>
  <c r="J78" i="2"/>
  <c r="B14" i="1"/>
  <c r="B11" i="2"/>
  <c r="G11" i="2"/>
  <c r="D11" i="4"/>
  <c r="C14" i="1"/>
  <c r="C11" i="2"/>
  <c r="D63" i="2"/>
  <c r="D64" i="2"/>
  <c r="O72" i="2"/>
  <c r="P72" i="2"/>
  <c r="O74" i="2"/>
  <c r="P74" i="2"/>
  <c r="O76" i="2"/>
  <c r="P76" i="2"/>
  <c r="O78" i="2"/>
  <c r="P78" i="2"/>
  <c r="O73" i="2"/>
  <c r="P73" i="2"/>
  <c r="O75" i="2"/>
  <c r="P75" i="2"/>
  <c r="O77" i="2"/>
  <c r="P77" i="2"/>
  <c r="E71" i="2"/>
  <c r="P71" i="2"/>
  <c r="E11" i="4"/>
  <c r="B12" i="2"/>
  <c r="B15" i="1"/>
  <c r="C15" i="1"/>
  <c r="C12" i="2"/>
  <c r="B16" i="1"/>
  <c r="B13" i="2"/>
  <c r="C16" i="1"/>
  <c r="C13" i="2"/>
  <c r="A13" i="4"/>
  <c r="G13" i="2"/>
  <c r="D13" i="4"/>
  <c r="B14" i="2"/>
  <c r="B17" i="1"/>
  <c r="B15" i="2"/>
  <c r="G15" i="2"/>
  <c r="D15" i="4"/>
  <c r="B18" i="1"/>
  <c r="C17" i="1"/>
  <c r="C14" i="2"/>
  <c r="A14" i="4"/>
  <c r="G14" i="2"/>
  <c r="D14" i="4"/>
  <c r="E14" i="4"/>
  <c r="A15" i="4"/>
  <c r="B19" i="1"/>
  <c r="B16" i="2"/>
  <c r="C18" i="1"/>
  <c r="C15" i="2"/>
  <c r="A16" i="4"/>
  <c r="G16" i="2"/>
  <c r="D16" i="4"/>
  <c r="E16" i="4"/>
  <c r="B20" i="1"/>
  <c r="B21" i="1"/>
  <c r="B17" i="2"/>
  <c r="C19" i="1"/>
  <c r="C16" i="2"/>
  <c r="A17" i="4"/>
  <c r="G17" i="2"/>
  <c r="D17" i="4"/>
  <c r="E17" i="4"/>
  <c r="B22" i="1"/>
  <c r="B19" i="2"/>
  <c r="G19" i="2"/>
  <c r="B18" i="2"/>
  <c r="C20" i="1"/>
  <c r="C17" i="2"/>
  <c r="A19" i="4"/>
  <c r="D19" i="4"/>
  <c r="E19" i="4"/>
  <c r="A18" i="4"/>
  <c r="G18" i="2"/>
  <c r="D18" i="4"/>
  <c r="E18" i="4"/>
  <c r="B23" i="1"/>
  <c r="B20" i="2"/>
  <c r="C21" i="1"/>
  <c r="C18" i="2"/>
  <c r="A20" i="4"/>
  <c r="G20" i="2"/>
  <c r="D20" i="4"/>
  <c r="E20" i="4"/>
  <c r="B24" i="1"/>
  <c r="B21" i="2"/>
  <c r="C22" i="1"/>
  <c r="C19" i="2"/>
  <c r="A21" i="4"/>
  <c r="G21" i="2"/>
  <c r="D21" i="4"/>
  <c r="B25" i="1"/>
  <c r="B22" i="2"/>
  <c r="C23" i="1"/>
  <c r="C20" i="2"/>
  <c r="A22" i="4"/>
  <c r="G22" i="2"/>
  <c r="D22" i="4"/>
  <c r="B26" i="1"/>
  <c r="B23" i="2"/>
  <c r="C24" i="1"/>
  <c r="C21" i="2"/>
  <c r="A23" i="4"/>
  <c r="G23" i="2"/>
  <c r="D23" i="4"/>
  <c r="E23" i="4"/>
  <c r="B27" i="1"/>
  <c r="B24" i="2"/>
  <c r="C25" i="1"/>
  <c r="C22" i="2"/>
  <c r="A24" i="4"/>
  <c r="G24" i="2"/>
  <c r="D24" i="4"/>
  <c r="E24" i="4"/>
  <c r="B28" i="1"/>
  <c r="B25" i="2"/>
  <c r="C26" i="1"/>
  <c r="C23" i="2"/>
  <c r="A25" i="4"/>
  <c r="G25" i="2"/>
  <c r="D25" i="4"/>
  <c r="E25" i="4"/>
  <c r="B29" i="1"/>
  <c r="B26" i="2"/>
  <c r="C27" i="1"/>
  <c r="C24" i="2"/>
  <c r="A26" i="4"/>
  <c r="G26" i="2"/>
  <c r="D26" i="4"/>
  <c r="E26" i="4"/>
  <c r="B30" i="1"/>
  <c r="B27" i="2"/>
  <c r="C28" i="1"/>
  <c r="C25" i="2"/>
  <c r="A27" i="4"/>
  <c r="G27" i="2"/>
  <c r="D27" i="4"/>
  <c r="E27" i="4"/>
  <c r="B31" i="1"/>
  <c r="B28" i="2"/>
  <c r="C29" i="1"/>
  <c r="C26" i="2"/>
  <c r="A28" i="4"/>
  <c r="G28" i="2"/>
  <c r="D28" i="4"/>
  <c r="E28" i="4"/>
  <c r="B32" i="1"/>
  <c r="B29" i="2"/>
  <c r="C30" i="1"/>
  <c r="C27" i="2"/>
  <c r="A29" i="4"/>
  <c r="G29" i="2"/>
  <c r="D29" i="4"/>
  <c r="E29" i="4"/>
  <c r="B33" i="1"/>
  <c r="B30" i="2"/>
  <c r="A30" i="4"/>
  <c r="C31" i="1"/>
  <c r="C28" i="2"/>
  <c r="G30" i="2"/>
  <c r="D30" i="4"/>
  <c r="E30" i="4"/>
  <c r="B34" i="1"/>
  <c r="B31" i="2"/>
  <c r="A31" i="4"/>
  <c r="C32" i="1"/>
  <c r="C29" i="2"/>
  <c r="G31" i="2"/>
  <c r="D31" i="4"/>
  <c r="E31" i="4"/>
  <c r="B32" i="2"/>
  <c r="B35" i="1"/>
  <c r="C33" i="1"/>
  <c r="C30" i="2"/>
  <c r="A32" i="4"/>
  <c r="G32" i="2"/>
  <c r="D32" i="4"/>
  <c r="E32" i="4"/>
  <c r="B36" i="1"/>
  <c r="B33" i="2"/>
  <c r="A33" i="4"/>
  <c r="C34" i="1"/>
  <c r="C31" i="2"/>
  <c r="G33" i="2"/>
  <c r="D33" i="4"/>
  <c r="E33" i="4"/>
  <c r="B37" i="1"/>
  <c r="B34" i="2"/>
  <c r="A34" i="4"/>
  <c r="C35" i="1"/>
  <c r="C32" i="2"/>
  <c r="G34" i="2"/>
  <c r="D34" i="4"/>
  <c r="E34" i="4"/>
  <c r="B38" i="1"/>
  <c r="B35" i="2"/>
  <c r="A35" i="4"/>
  <c r="C36" i="1"/>
  <c r="C33" i="2"/>
  <c r="G35" i="2"/>
  <c r="D35" i="4"/>
  <c r="E35" i="4"/>
  <c r="B39" i="1"/>
  <c r="B36" i="2"/>
  <c r="A36" i="4"/>
  <c r="C37" i="1"/>
  <c r="C34" i="2"/>
  <c r="B40" i="1"/>
  <c r="B37" i="2"/>
  <c r="A37" i="4"/>
  <c r="C38" i="1"/>
  <c r="C35" i="2"/>
  <c r="G37" i="2"/>
  <c r="D37" i="4"/>
  <c r="B41" i="1"/>
  <c r="B38" i="2"/>
  <c r="A38" i="4"/>
  <c r="C39" i="1"/>
  <c r="C36" i="2"/>
  <c r="B42" i="1"/>
  <c r="B39" i="2"/>
  <c r="A39" i="4"/>
  <c r="C40" i="1"/>
  <c r="C37" i="2"/>
  <c r="G39" i="2"/>
  <c r="D39" i="4"/>
  <c r="B43" i="1"/>
  <c r="B40" i="2"/>
  <c r="A40" i="4"/>
  <c r="B59" i="4"/>
  <c r="B40" i="4"/>
  <c r="C41" i="1"/>
  <c r="C38" i="2"/>
  <c r="B44" i="1"/>
  <c r="B41" i="2"/>
  <c r="C42" i="1"/>
  <c r="C43" i="1"/>
  <c r="C39" i="2"/>
  <c r="A41" i="4"/>
  <c r="G41" i="2"/>
  <c r="D41" i="4"/>
  <c r="B45" i="1"/>
  <c r="B42" i="2"/>
  <c r="A42" i="4"/>
  <c r="C40" i="2"/>
  <c r="G42" i="2"/>
  <c r="D42" i="4"/>
  <c r="E42" i="4"/>
  <c r="B46" i="1"/>
  <c r="B43" i="2"/>
  <c r="A43" i="4"/>
  <c r="B43" i="4"/>
  <c r="J43" i="4"/>
  <c r="C44" i="1"/>
  <c r="C41" i="2"/>
  <c r="G43" i="2"/>
  <c r="D43" i="4"/>
  <c r="B47" i="1"/>
  <c r="B44" i="2"/>
  <c r="A44" i="4"/>
  <c r="C45" i="1"/>
  <c r="C42" i="2"/>
  <c r="B48" i="1"/>
  <c r="B45" i="2"/>
  <c r="C46" i="1"/>
  <c r="C47" i="1"/>
  <c r="C43" i="2"/>
  <c r="A45" i="4"/>
  <c r="G45" i="2"/>
  <c r="D45" i="4"/>
  <c r="B49" i="1"/>
  <c r="B46" i="2"/>
  <c r="A46" i="4"/>
  <c r="C44" i="2"/>
  <c r="G46" i="2"/>
  <c r="D46" i="4"/>
  <c r="E46" i="4"/>
  <c r="B50" i="1"/>
  <c r="B47" i="2"/>
  <c r="A47" i="4"/>
  <c r="B47" i="4"/>
  <c r="C48" i="1"/>
  <c r="C45" i="2"/>
  <c r="G47" i="2"/>
  <c r="D47" i="4"/>
  <c r="B51" i="1"/>
  <c r="B48" i="2"/>
  <c r="A48" i="4"/>
  <c r="C49" i="1"/>
  <c r="C46" i="2"/>
  <c r="B52" i="1"/>
  <c r="B49" i="2"/>
  <c r="C50" i="1"/>
  <c r="C51" i="1"/>
  <c r="C47" i="2"/>
  <c r="A49" i="4"/>
  <c r="G49" i="2"/>
  <c r="D49" i="4"/>
  <c r="B53" i="1"/>
  <c r="B50" i="2"/>
  <c r="A50" i="4"/>
  <c r="C48" i="2"/>
  <c r="G50" i="2"/>
  <c r="D50" i="4"/>
  <c r="E50" i="4"/>
  <c r="B54" i="1"/>
  <c r="B55" i="1"/>
  <c r="B51" i="2"/>
  <c r="A51" i="4"/>
  <c r="C52" i="1"/>
  <c r="C49" i="2"/>
  <c r="G51" i="2"/>
  <c r="D51" i="4"/>
  <c r="E51" i="4"/>
  <c r="B53" i="2"/>
  <c r="A53" i="4"/>
  <c r="B52" i="2"/>
  <c r="A52" i="4"/>
  <c r="C53" i="1"/>
  <c r="C50" i="2"/>
  <c r="G52" i="2"/>
  <c r="D52" i="4"/>
  <c r="E52" i="4"/>
  <c r="G53" i="2"/>
  <c r="D53" i="4"/>
  <c r="E53" i="4"/>
  <c r="C54" i="1"/>
  <c r="C51" i="2"/>
  <c r="C55" i="1"/>
  <c r="C53" i="2"/>
  <c r="C52" i="2"/>
  <c r="B7" i="4"/>
  <c r="C7" i="4"/>
  <c r="B16" i="4"/>
  <c r="B20" i="4"/>
  <c r="B24" i="4"/>
  <c r="J24" i="4"/>
  <c r="B28" i="4"/>
  <c r="J28" i="4"/>
  <c r="B32" i="4"/>
  <c r="J32" i="4"/>
  <c r="B44" i="4"/>
  <c r="B15" i="4"/>
  <c r="B19" i="4"/>
  <c r="B23" i="4"/>
  <c r="C23" i="4"/>
  <c r="B27" i="4"/>
  <c r="C27" i="4"/>
  <c r="B31" i="4"/>
  <c r="B39" i="4"/>
  <c r="B18" i="4"/>
  <c r="C18" i="4"/>
  <c r="B42" i="4"/>
  <c r="B8" i="4"/>
  <c r="C8" i="4"/>
  <c r="B25" i="4"/>
  <c r="B41" i="4"/>
  <c r="B5" i="4"/>
  <c r="C5" i="4"/>
  <c r="B30" i="4"/>
  <c r="B4" i="4"/>
  <c r="B13" i="4"/>
  <c r="C13" i="4"/>
  <c r="B21" i="4"/>
  <c r="J21" i="4"/>
  <c r="B29" i="4"/>
  <c r="B37" i="4"/>
  <c r="B45" i="4"/>
  <c r="C45" i="4"/>
  <c r="B10" i="4"/>
  <c r="C10" i="4"/>
  <c r="B26" i="4"/>
  <c r="B50" i="4"/>
  <c r="B17" i="4"/>
  <c r="B49" i="4"/>
  <c r="B22" i="4"/>
  <c r="C22" i="4"/>
  <c r="B9" i="4"/>
  <c r="C26" i="4"/>
  <c r="J26" i="4"/>
  <c r="J29" i="4"/>
  <c r="C29" i="4"/>
  <c r="C25" i="4"/>
  <c r="J25" i="4"/>
  <c r="C19" i="4"/>
  <c r="J19" i="4"/>
  <c r="J20" i="4"/>
  <c r="C20" i="4"/>
  <c r="J9" i="4"/>
  <c r="C9" i="4"/>
  <c r="J49" i="4"/>
  <c r="C37" i="4"/>
  <c r="C4" i="4"/>
  <c r="C41" i="4"/>
  <c r="J39" i="4"/>
  <c r="J50" i="4"/>
  <c r="J5" i="4"/>
  <c r="J42" i="4"/>
  <c r="J27" i="4"/>
  <c r="C28" i="4"/>
  <c r="C17" i="4"/>
  <c r="C21" i="4"/>
  <c r="J30" i="4"/>
  <c r="J8" i="4"/>
  <c r="C32" i="4"/>
  <c r="C16" i="4"/>
  <c r="F3" i="25"/>
  <c r="K4" i="25"/>
  <c r="Q15" i="25"/>
  <c r="Q14" i="25"/>
  <c r="F9" i="25"/>
  <c r="N65" i="25"/>
  <c r="G8" i="25"/>
  <c r="N66" i="25"/>
  <c r="Q12" i="25"/>
  <c r="Q13"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102" i="25"/>
  <c r="D103" i="25"/>
  <c r="D104" i="25"/>
  <c r="D105" i="25"/>
  <c r="D106" i="25"/>
  <c r="D107" i="25"/>
  <c r="D108" i="25"/>
  <c r="D109" i="25"/>
  <c r="D110" i="25"/>
  <c r="D111" i="25"/>
  <c r="D112" i="25"/>
  <c r="D113" i="25"/>
  <c r="H8" i="25"/>
  <c r="N8" i="25"/>
  <c r="N9" i="25"/>
  <c r="N10" i="25"/>
  <c r="N11" i="25"/>
  <c r="N12" i="25"/>
  <c r="N13" i="25"/>
  <c r="N14" i="25"/>
  <c r="N15" i="25"/>
  <c r="N16" i="25"/>
  <c r="N17" i="25"/>
  <c r="N18" i="25"/>
  <c r="N19" i="25"/>
  <c r="N20" i="25"/>
  <c r="N21" i="25"/>
  <c r="N22" i="25"/>
  <c r="N23" i="25"/>
  <c r="N24" i="25"/>
  <c r="N25" i="25"/>
  <c r="N26" i="25"/>
  <c r="N27" i="25"/>
  <c r="N28" i="25"/>
  <c r="N29" i="25"/>
  <c r="N30" i="25"/>
  <c r="N31" i="25"/>
  <c r="N32" i="25"/>
  <c r="N33" i="25"/>
  <c r="N34" i="25"/>
  <c r="N35" i="25"/>
  <c r="N36" i="25"/>
  <c r="N37" i="25"/>
  <c r="N38" i="25"/>
  <c r="N39" i="25"/>
  <c r="N40" i="25"/>
  <c r="N41" i="25"/>
  <c r="N42" i="25"/>
  <c r="N43" i="25"/>
  <c r="N44" i="25"/>
  <c r="N45" i="25"/>
  <c r="N46" i="25"/>
  <c r="N47" i="25"/>
  <c r="N48" i="25"/>
  <c r="N49" i="25"/>
  <c r="N50" i="25"/>
  <c r="N51" i="25"/>
  <c r="N52" i="25"/>
  <c r="N53" i="25"/>
  <c r="N54" i="25"/>
  <c r="N55" i="25"/>
  <c r="N56" i="25"/>
  <c r="N57" i="25"/>
  <c r="N58" i="25"/>
  <c r="N67" i="25"/>
  <c r="E64" i="25"/>
  <c r="G9" i="25"/>
  <c r="F10" i="25"/>
  <c r="E65" i="25"/>
  <c r="K9" i="25"/>
  <c r="H9" i="25"/>
  <c r="I8" i="25"/>
  <c r="F11" i="25"/>
  <c r="E66" i="25"/>
  <c r="G10" i="25"/>
  <c r="L8" i="25"/>
  <c r="H10" i="25"/>
  <c r="I9" i="25"/>
  <c r="K10" i="25"/>
  <c r="L9" i="25"/>
  <c r="S8" i="25"/>
  <c r="G11" i="25"/>
  <c r="F12" i="25"/>
  <c r="E67" i="25"/>
  <c r="I10" i="25"/>
  <c r="M9" i="25"/>
  <c r="Y9" i="25"/>
  <c r="U8" i="25"/>
  <c r="V8" i="25"/>
  <c r="W8" i="25"/>
  <c r="X8" i="25"/>
  <c r="Y8" i="25"/>
  <c r="M8" i="25"/>
  <c r="Z8" i="25"/>
  <c r="H11" i="25"/>
  <c r="K11" i="25"/>
  <c r="L10" i="25"/>
  <c r="M10" i="25"/>
  <c r="U9" i="25"/>
  <c r="T9" i="25"/>
  <c r="G12" i="25"/>
  <c r="I11" i="25"/>
  <c r="F13" i="25"/>
  <c r="E68" i="25"/>
  <c r="V9" i="25"/>
  <c r="T10" i="25"/>
  <c r="AA8" i="25"/>
  <c r="AB8" i="25"/>
  <c r="AC8" i="25"/>
  <c r="AD8" i="25"/>
  <c r="Y10" i="25"/>
  <c r="U10" i="25"/>
  <c r="H12" i="25"/>
  <c r="K12" i="25"/>
  <c r="L11" i="25"/>
  <c r="Y11" i="25"/>
  <c r="Z9" i="25"/>
  <c r="AA9" i="25"/>
  <c r="AB9" i="25"/>
  <c r="R9" i="25"/>
  <c r="Z10" i="25"/>
  <c r="R10" i="25"/>
  <c r="S10" i="25"/>
  <c r="F14" i="25"/>
  <c r="G13" i="25"/>
  <c r="M11" i="25"/>
  <c r="R11" i="25"/>
  <c r="S11" i="25"/>
  <c r="U11" i="25"/>
  <c r="V10" i="25"/>
  <c r="W10" i="25"/>
  <c r="T11" i="25"/>
  <c r="S9" i="25"/>
  <c r="W9" i="25"/>
  <c r="AA10" i="25"/>
  <c r="AB10" i="25"/>
  <c r="H13" i="25"/>
  <c r="K13" i="25"/>
  <c r="L12" i="25"/>
  <c r="U12" i="25"/>
  <c r="I12" i="25"/>
  <c r="F15" i="25"/>
  <c r="E69" i="25"/>
  <c r="G14" i="25"/>
  <c r="Z11" i="25"/>
  <c r="AA11" i="25"/>
  <c r="AB11" i="25"/>
  <c r="X10" i="25"/>
  <c r="AC10" i="25"/>
  <c r="AD10" i="25"/>
  <c r="V11" i="25"/>
  <c r="W11" i="25"/>
  <c r="X11" i="25"/>
  <c r="Y12" i="25"/>
  <c r="X9" i="25"/>
  <c r="AC9" i="25"/>
  <c r="AD9" i="25"/>
  <c r="T12" i="25"/>
  <c r="V12" i="25"/>
  <c r="H14" i="25"/>
  <c r="K14" i="25"/>
  <c r="L13" i="25"/>
  <c r="Y13" i="25"/>
  <c r="I13" i="25"/>
  <c r="M12" i="25"/>
  <c r="Z12" i="25"/>
  <c r="G15" i="25"/>
  <c r="E70" i="25"/>
  <c r="F16" i="25"/>
  <c r="AC11" i="25"/>
  <c r="AD11" i="25"/>
  <c r="W12" i="25"/>
  <c r="X12" i="25"/>
  <c r="AA12" i="25"/>
  <c r="AB12" i="25"/>
  <c r="U13" i="25"/>
  <c r="M13" i="25"/>
  <c r="R13" i="25"/>
  <c r="S13" i="25"/>
  <c r="T13" i="25"/>
  <c r="R12" i="25"/>
  <c r="S12" i="25"/>
  <c r="H15" i="25"/>
  <c r="I15" i="25"/>
  <c r="K15" i="25"/>
  <c r="L14" i="25"/>
  <c r="M14" i="25"/>
  <c r="I14" i="25"/>
  <c r="F17" i="25"/>
  <c r="G16" i="25"/>
  <c r="E71" i="25"/>
  <c r="AC12" i="25"/>
  <c r="AD12" i="25"/>
  <c r="V13" i="25"/>
  <c r="W13" i="25"/>
  <c r="X13" i="25"/>
  <c r="Z13" i="25"/>
  <c r="AA13" i="25"/>
  <c r="AB13" i="25"/>
  <c r="U14" i="25"/>
  <c r="T14" i="25"/>
  <c r="Y14" i="25"/>
  <c r="H16" i="25"/>
  <c r="K16" i="25"/>
  <c r="L15" i="25"/>
  <c r="T15" i="25"/>
  <c r="Z14" i="25"/>
  <c r="R14" i="25"/>
  <c r="S14" i="25"/>
  <c r="G17" i="25"/>
  <c r="E72" i="25"/>
  <c r="F18" i="25"/>
  <c r="AC13" i="25"/>
  <c r="AD13" i="25"/>
  <c r="V14" i="25"/>
  <c r="W14" i="25"/>
  <c r="X14" i="25"/>
  <c r="U15" i="25"/>
  <c r="V15" i="25"/>
  <c r="W15" i="25"/>
  <c r="X15" i="25"/>
  <c r="Y15" i="25"/>
  <c r="M15" i="25"/>
  <c r="Z15" i="25"/>
  <c r="H17" i="25"/>
  <c r="K17" i="25"/>
  <c r="L16" i="25"/>
  <c r="T16" i="25"/>
  <c r="AA14" i="25"/>
  <c r="AB14" i="25"/>
  <c r="I16" i="25"/>
  <c r="F19" i="25"/>
  <c r="E73" i="25"/>
  <c r="G18" i="25"/>
  <c r="Y16" i="25"/>
  <c r="AC14" i="25"/>
  <c r="AD14" i="25"/>
  <c r="U16" i="25"/>
  <c r="V16" i="25"/>
  <c r="W16" i="25"/>
  <c r="AA15" i="25"/>
  <c r="AB15" i="25"/>
  <c r="AC15" i="25"/>
  <c r="AD15" i="25"/>
  <c r="R15" i="25"/>
  <c r="S15" i="25"/>
  <c r="H18" i="25"/>
  <c r="K18" i="25"/>
  <c r="L17" i="25"/>
  <c r="U17" i="25"/>
  <c r="M16" i="25"/>
  <c r="R16" i="25"/>
  <c r="S16" i="25"/>
  <c r="I17" i="25"/>
  <c r="I18" i="25"/>
  <c r="G19" i="25"/>
  <c r="F20" i="25"/>
  <c r="E74" i="25"/>
  <c r="T17" i="25"/>
  <c r="V17" i="25"/>
  <c r="W17" i="25"/>
  <c r="Y17" i="25"/>
  <c r="M17" i="25"/>
  <c r="Z17" i="25"/>
  <c r="Z16" i="25"/>
  <c r="AA16" i="25"/>
  <c r="AB16" i="25"/>
  <c r="H19" i="25"/>
  <c r="I19" i="25"/>
  <c r="K19" i="25"/>
  <c r="L18" i="25"/>
  <c r="Y18" i="25"/>
  <c r="F21" i="25"/>
  <c r="G20" i="25"/>
  <c r="E75" i="25"/>
  <c r="X16" i="25"/>
  <c r="AA17" i="25"/>
  <c r="AB17" i="25"/>
  <c r="R17" i="25"/>
  <c r="S17" i="25"/>
  <c r="T18" i="25"/>
  <c r="M18" i="25"/>
  <c r="Z18" i="25"/>
  <c r="AA18" i="25"/>
  <c r="AB18" i="25"/>
  <c r="AC16" i="25"/>
  <c r="AD16" i="25"/>
  <c r="U18" i="25"/>
  <c r="H20" i="25"/>
  <c r="I20" i="25"/>
  <c r="K20" i="25"/>
  <c r="L19" i="25"/>
  <c r="U19" i="25"/>
  <c r="X17" i="25"/>
  <c r="F22" i="25"/>
  <c r="G21" i="25"/>
  <c r="E76" i="25"/>
  <c r="AC17" i="25"/>
  <c r="AD17" i="25"/>
  <c r="V18" i="25"/>
  <c r="W18" i="25"/>
  <c r="X18" i="25"/>
  <c r="AC18" i="25"/>
  <c r="AD18" i="25"/>
  <c r="R18" i="25"/>
  <c r="S18" i="25"/>
  <c r="M19" i="25"/>
  <c r="R19" i="25"/>
  <c r="S19" i="25"/>
  <c r="T19" i="25"/>
  <c r="V19" i="25"/>
  <c r="H21" i="25"/>
  <c r="I21" i="25"/>
  <c r="K21" i="25"/>
  <c r="L20" i="25"/>
  <c r="Y20" i="25"/>
  <c r="Y19" i="25"/>
  <c r="E77" i="25"/>
  <c r="G22" i="25"/>
  <c r="F23" i="25"/>
  <c r="W19" i="25"/>
  <c r="X19" i="25"/>
  <c r="Z19" i="25"/>
  <c r="AA19" i="25"/>
  <c r="AB19" i="25"/>
  <c r="T20" i="25"/>
  <c r="H22" i="25"/>
  <c r="I22" i="25"/>
  <c r="K22" i="25"/>
  <c r="L21" i="25"/>
  <c r="U21" i="25"/>
  <c r="M20" i="25"/>
  <c r="Z20" i="25"/>
  <c r="AA20" i="25"/>
  <c r="AB20" i="25"/>
  <c r="U20" i="25"/>
  <c r="F24" i="25"/>
  <c r="E78" i="25"/>
  <c r="G23" i="25"/>
  <c r="AC19" i="25"/>
  <c r="AD19" i="25"/>
  <c r="R20" i="25"/>
  <c r="S20" i="25"/>
  <c r="V20" i="25"/>
  <c r="H23" i="25"/>
  <c r="K23" i="25"/>
  <c r="L22" i="25"/>
  <c r="T22" i="25"/>
  <c r="T21" i="25"/>
  <c r="V21" i="25"/>
  <c r="M21" i="25"/>
  <c r="R21" i="25"/>
  <c r="S21" i="25"/>
  <c r="Y21" i="25"/>
  <c r="F25" i="25"/>
  <c r="G24" i="25"/>
  <c r="E79" i="25"/>
  <c r="M22" i="25"/>
  <c r="R22" i="25"/>
  <c r="S22" i="25"/>
  <c r="Z21" i="25"/>
  <c r="AA21" i="25"/>
  <c r="AB21" i="25"/>
  <c r="W21" i="25"/>
  <c r="X21" i="25"/>
  <c r="Y22" i="25"/>
  <c r="W20" i="25"/>
  <c r="X20" i="25"/>
  <c r="AC20" i="25"/>
  <c r="AD20" i="25"/>
  <c r="U22" i="25"/>
  <c r="V22" i="25"/>
  <c r="W22" i="25"/>
  <c r="H24" i="25"/>
  <c r="K24" i="25"/>
  <c r="L23" i="25"/>
  <c r="T23" i="25"/>
  <c r="I23" i="25"/>
  <c r="G25" i="25"/>
  <c r="F26" i="25"/>
  <c r="E80" i="25"/>
  <c r="Z22" i="25"/>
  <c r="AA22" i="25"/>
  <c r="AB22" i="25"/>
  <c r="X22" i="25"/>
  <c r="U23" i="25"/>
  <c r="V23" i="25"/>
  <c r="W23" i="25"/>
  <c r="M23" i="25"/>
  <c r="Z23" i="25"/>
  <c r="AC21" i="25"/>
  <c r="AD21" i="25"/>
  <c r="H25" i="25"/>
  <c r="I25" i="25"/>
  <c r="K25" i="25"/>
  <c r="L24" i="25"/>
  <c r="Y24" i="25"/>
  <c r="S23" i="25"/>
  <c r="Y23" i="25"/>
  <c r="I24" i="25"/>
  <c r="F27" i="25"/>
  <c r="G26" i="25"/>
  <c r="E81" i="25"/>
  <c r="AA23" i="25"/>
  <c r="AB23" i="25"/>
  <c r="AC22" i="25"/>
  <c r="AD22" i="25"/>
  <c r="U24" i="25"/>
  <c r="S24" i="25"/>
  <c r="H26" i="25"/>
  <c r="I26" i="25"/>
  <c r="S26" i="25"/>
  <c r="K26" i="25"/>
  <c r="L25" i="25"/>
  <c r="U25" i="25"/>
  <c r="M24" i="25"/>
  <c r="Z24" i="25"/>
  <c r="AA24" i="25"/>
  <c r="AB24" i="25"/>
  <c r="T24" i="25"/>
  <c r="S25" i="25"/>
  <c r="X23" i="25"/>
  <c r="F28" i="25"/>
  <c r="E82" i="25"/>
  <c r="G27" i="25"/>
  <c r="AC23" i="25"/>
  <c r="AD23" i="25"/>
  <c r="Y25" i="25"/>
  <c r="M25" i="25"/>
  <c r="Z25" i="25"/>
  <c r="T25" i="25"/>
  <c r="V25" i="25"/>
  <c r="W25" i="25"/>
  <c r="V24" i="25"/>
  <c r="W24" i="25"/>
  <c r="H27" i="25"/>
  <c r="I27" i="25"/>
  <c r="K27" i="25"/>
  <c r="L26" i="25"/>
  <c r="M26" i="25"/>
  <c r="Z26" i="25"/>
  <c r="E83" i="25"/>
  <c r="F29" i="25"/>
  <c r="G28" i="25"/>
  <c r="AD24" i="25"/>
  <c r="X24" i="25"/>
  <c r="AC24" i="25"/>
  <c r="X25" i="25"/>
  <c r="T26" i="25"/>
  <c r="Y26" i="25"/>
  <c r="AA26" i="25"/>
  <c r="AB26" i="25"/>
  <c r="U26" i="25"/>
  <c r="AA25" i="25"/>
  <c r="AB25" i="25"/>
  <c r="AC25" i="25"/>
  <c r="AD25" i="25"/>
  <c r="S27" i="25"/>
  <c r="H28" i="25"/>
  <c r="I28" i="25"/>
  <c r="S28" i="25"/>
  <c r="K28" i="25"/>
  <c r="L27" i="25"/>
  <c r="M27" i="25"/>
  <c r="Z27" i="25"/>
  <c r="G29" i="25"/>
  <c r="E84" i="25"/>
  <c r="F30" i="25"/>
  <c r="T27" i="25"/>
  <c r="Y27" i="25"/>
  <c r="AA27" i="25"/>
  <c r="AB27" i="25"/>
  <c r="U27" i="25"/>
  <c r="V26" i="25"/>
  <c r="W26" i="25"/>
  <c r="H29" i="25"/>
  <c r="K29" i="25"/>
  <c r="L28" i="25"/>
  <c r="M28" i="25"/>
  <c r="Z28" i="25"/>
  <c r="F31" i="25"/>
  <c r="E85" i="25"/>
  <c r="G30" i="25"/>
  <c r="X26" i="25"/>
  <c r="AC26" i="25"/>
  <c r="AD26" i="25"/>
  <c r="V27" i="25"/>
  <c r="W27" i="25"/>
  <c r="T28" i="25"/>
  <c r="Y28" i="25"/>
  <c r="AA28" i="25"/>
  <c r="AB28" i="25"/>
  <c r="U28" i="25"/>
  <c r="H30" i="25"/>
  <c r="K30" i="25"/>
  <c r="L29" i="25"/>
  <c r="U29" i="25"/>
  <c r="I29" i="25"/>
  <c r="E86" i="25"/>
  <c r="G31" i="25"/>
  <c r="F32" i="25"/>
  <c r="V28" i="25"/>
  <c r="W28" i="25"/>
  <c r="X28" i="25"/>
  <c r="AC28" i="25"/>
  <c r="AD28" i="25"/>
  <c r="X27" i="25"/>
  <c r="AC27" i="25"/>
  <c r="AD27" i="25"/>
  <c r="T29" i="25"/>
  <c r="V29" i="25"/>
  <c r="W29" i="25"/>
  <c r="Y29" i="25"/>
  <c r="M29" i="25"/>
  <c r="Z29" i="25"/>
  <c r="S29" i="25"/>
  <c r="H31" i="25"/>
  <c r="I31" i="25"/>
  <c r="K31" i="25"/>
  <c r="L30" i="25"/>
  <c r="Y30" i="25"/>
  <c r="I30" i="25"/>
  <c r="G32" i="25"/>
  <c r="E87" i="25"/>
  <c r="F33" i="25"/>
  <c r="AA29" i="25"/>
  <c r="AB29" i="25"/>
  <c r="U30" i="25"/>
  <c r="S30" i="25"/>
  <c r="T30" i="25"/>
  <c r="M30" i="25"/>
  <c r="Z30" i="25"/>
  <c r="AA30" i="25"/>
  <c r="AB30" i="25"/>
  <c r="X29" i="25"/>
  <c r="H32" i="25"/>
  <c r="I32" i="25"/>
  <c r="K32" i="25"/>
  <c r="L31" i="25"/>
  <c r="Y31" i="25"/>
  <c r="S31" i="25"/>
  <c r="G33" i="25"/>
  <c r="E88" i="25"/>
  <c r="F34" i="25"/>
  <c r="M31" i="25"/>
  <c r="Z31" i="25"/>
  <c r="AA31" i="25"/>
  <c r="AB31" i="25"/>
  <c r="V30" i="25"/>
  <c r="W30" i="25"/>
  <c r="X30" i="25"/>
  <c r="AC30" i="25"/>
  <c r="AC29" i="25"/>
  <c r="AD29" i="25"/>
  <c r="S32" i="25"/>
  <c r="T31" i="25"/>
  <c r="H33" i="25"/>
  <c r="I33" i="25"/>
  <c r="S33" i="25"/>
  <c r="K33" i="25"/>
  <c r="L32" i="25"/>
  <c r="Y32" i="25"/>
  <c r="U31" i="25"/>
  <c r="F35" i="25"/>
  <c r="E89" i="25"/>
  <c r="G34" i="25"/>
  <c r="AD30" i="25"/>
  <c r="T32" i="25"/>
  <c r="M32" i="25"/>
  <c r="Z32" i="25"/>
  <c r="AA32" i="25"/>
  <c r="AB32" i="25"/>
  <c r="U32" i="25"/>
  <c r="V31" i="25"/>
  <c r="W31" i="25"/>
  <c r="H34" i="25"/>
  <c r="I34" i="25"/>
  <c r="S34" i="25"/>
  <c r="K34" i="25"/>
  <c r="L33" i="25"/>
  <c r="U33" i="25"/>
  <c r="E90" i="25"/>
  <c r="G35" i="25"/>
  <c r="F36" i="25"/>
  <c r="X31" i="25"/>
  <c r="AC31" i="25"/>
  <c r="AD31" i="25"/>
  <c r="V32" i="25"/>
  <c r="W32" i="25"/>
  <c r="Y33" i="25"/>
  <c r="M33" i="25"/>
  <c r="Z33" i="25"/>
  <c r="T33" i="25"/>
  <c r="V33" i="25"/>
  <c r="W33" i="25"/>
  <c r="X33" i="25"/>
  <c r="H35" i="25"/>
  <c r="K35" i="25"/>
  <c r="L34" i="25"/>
  <c r="U34" i="25"/>
  <c r="E91" i="25"/>
  <c r="G36" i="25"/>
  <c r="F37" i="25"/>
  <c r="AD32" i="25"/>
  <c r="X32" i="25"/>
  <c r="AC32" i="25"/>
  <c r="Y34" i="25"/>
  <c r="M34" i="25"/>
  <c r="Z34" i="25"/>
  <c r="AA33" i="25"/>
  <c r="AB33" i="25"/>
  <c r="AC33" i="25"/>
  <c r="AD33" i="25"/>
  <c r="T34" i="25"/>
  <c r="V34" i="25"/>
  <c r="W34" i="25"/>
  <c r="H36" i="25"/>
  <c r="I36" i="25"/>
  <c r="K36" i="25"/>
  <c r="L35" i="25"/>
  <c r="M35" i="25"/>
  <c r="Z35" i="25"/>
  <c r="I35" i="25"/>
  <c r="G37" i="25"/>
  <c r="E92" i="25"/>
  <c r="F38" i="25"/>
  <c r="AA34" i="25"/>
  <c r="AB34" i="25"/>
  <c r="X34" i="25"/>
  <c r="U35" i="25"/>
  <c r="S36" i="25"/>
  <c r="S35" i="25"/>
  <c r="H37" i="25"/>
  <c r="K37" i="25"/>
  <c r="L36" i="25"/>
  <c r="U36" i="25"/>
  <c r="T35" i="25"/>
  <c r="Y35" i="25"/>
  <c r="AA35" i="25"/>
  <c r="AB35" i="25"/>
  <c r="I37" i="25"/>
  <c r="S37" i="25"/>
  <c r="F39" i="25"/>
  <c r="E93" i="25"/>
  <c r="G38" i="25"/>
  <c r="V35" i="25"/>
  <c r="W35" i="25"/>
  <c r="X35" i="25"/>
  <c r="AC35" i="25"/>
  <c r="AD35" i="25"/>
  <c r="AC34" i="25"/>
  <c r="AD34" i="25"/>
  <c r="M36" i="25"/>
  <c r="Z36" i="25"/>
  <c r="T36" i="25"/>
  <c r="V36" i="25"/>
  <c r="W36" i="25"/>
  <c r="Y36" i="25"/>
  <c r="H38" i="25"/>
  <c r="K38" i="25"/>
  <c r="L37" i="25"/>
  <c r="Y37" i="25"/>
  <c r="E94" i="25"/>
  <c r="G39" i="25"/>
  <c r="F40" i="25"/>
  <c r="M37" i="25"/>
  <c r="Z37" i="25"/>
  <c r="AA37" i="25"/>
  <c r="AB37" i="25"/>
  <c r="X36" i="25"/>
  <c r="U37" i="25"/>
  <c r="AA36" i="25"/>
  <c r="AB36" i="25"/>
  <c r="H39" i="25"/>
  <c r="K39" i="25"/>
  <c r="L38" i="25"/>
  <c r="U38" i="25"/>
  <c r="T37" i="25"/>
  <c r="I38" i="25"/>
  <c r="E95" i="25"/>
  <c r="G40" i="25"/>
  <c r="F41" i="25"/>
  <c r="M38" i="25"/>
  <c r="Z38" i="25"/>
  <c r="V37" i="25"/>
  <c r="W37" i="25"/>
  <c r="X37" i="25"/>
  <c r="AC37" i="25"/>
  <c r="AC36" i="25"/>
  <c r="AD36" i="25"/>
  <c r="T38" i="25"/>
  <c r="V38" i="25"/>
  <c r="W38" i="25"/>
  <c r="S38" i="25"/>
  <c r="H40" i="25"/>
  <c r="I40" i="25"/>
  <c r="K40" i="25"/>
  <c r="L39" i="25"/>
  <c r="U39" i="25"/>
  <c r="Y38" i="25"/>
  <c r="I39" i="25"/>
  <c r="G41" i="25"/>
  <c r="E96" i="25"/>
  <c r="F42" i="25"/>
  <c r="AA38" i="25"/>
  <c r="AB38" i="25"/>
  <c r="AD37" i="25"/>
  <c r="M39" i="25"/>
  <c r="Z39" i="25"/>
  <c r="Y39" i="25"/>
  <c r="T39" i="25"/>
  <c r="V39" i="25"/>
  <c r="W39" i="25"/>
  <c r="X38" i="25"/>
  <c r="H41" i="25"/>
  <c r="I41" i="25"/>
  <c r="K41" i="25"/>
  <c r="L40" i="25"/>
  <c r="U40" i="25"/>
  <c r="S40" i="25"/>
  <c r="S39" i="25"/>
  <c r="F43" i="25"/>
  <c r="E97" i="25"/>
  <c r="G42" i="25"/>
  <c r="AC38" i="25"/>
  <c r="AD38" i="25"/>
  <c r="M40" i="25"/>
  <c r="Z40" i="25"/>
  <c r="AA39" i="25"/>
  <c r="AB39" i="25"/>
  <c r="S41" i="25"/>
  <c r="Y40" i="25"/>
  <c r="T40" i="25"/>
  <c r="V40" i="25"/>
  <c r="W40" i="25"/>
  <c r="X39" i="25"/>
  <c r="H42" i="25"/>
  <c r="K42" i="25"/>
  <c r="L41" i="25"/>
  <c r="M41" i="25"/>
  <c r="Z41" i="25"/>
  <c r="F44" i="25"/>
  <c r="E98" i="25"/>
  <c r="G43" i="25"/>
  <c r="AC39" i="25"/>
  <c r="AD39" i="25"/>
  <c r="AA40" i="25"/>
  <c r="AB40" i="25"/>
  <c r="X40" i="25"/>
  <c r="U41" i="25"/>
  <c r="H43" i="25"/>
  <c r="K43" i="25"/>
  <c r="L42" i="25"/>
  <c r="M42" i="25"/>
  <c r="Z42" i="25"/>
  <c r="T41" i="25"/>
  <c r="Y41" i="25"/>
  <c r="AA41" i="25"/>
  <c r="AB41" i="25"/>
  <c r="I43" i="25"/>
  <c r="I42" i="25"/>
  <c r="G44" i="25"/>
  <c r="E99" i="25"/>
  <c r="F45" i="25"/>
  <c r="AC40" i="25"/>
  <c r="AD40" i="25"/>
  <c r="T42" i="25"/>
  <c r="S43" i="25"/>
  <c r="Y42" i="25"/>
  <c r="AA42" i="25"/>
  <c r="AB42" i="25"/>
  <c r="V41" i="25"/>
  <c r="W41" i="25"/>
  <c r="H44" i="25"/>
  <c r="K44" i="25"/>
  <c r="L43" i="25"/>
  <c r="U43" i="25"/>
  <c r="S42" i="25"/>
  <c r="U42" i="25"/>
  <c r="I44" i="25"/>
  <c r="F46" i="25"/>
  <c r="E100" i="25"/>
  <c r="G45" i="25"/>
  <c r="X41" i="25"/>
  <c r="AC41" i="25"/>
  <c r="AD41" i="25"/>
  <c r="V42" i="25"/>
  <c r="W42" i="25"/>
  <c r="X42" i="25"/>
  <c r="AC42" i="25"/>
  <c r="AD42" i="25"/>
  <c r="M43" i="25"/>
  <c r="Z43" i="25"/>
  <c r="H45" i="25"/>
  <c r="I45" i="25"/>
  <c r="K45" i="25"/>
  <c r="L44" i="25"/>
  <c r="U44" i="25"/>
  <c r="S44" i="25"/>
  <c r="Y43" i="25"/>
  <c r="T43" i="25"/>
  <c r="V43" i="25"/>
  <c r="W43" i="25"/>
  <c r="G46" i="25"/>
  <c r="E101" i="25"/>
  <c r="F47" i="25"/>
  <c r="X43" i="25"/>
  <c r="S45" i="25"/>
  <c r="T44" i="25"/>
  <c r="V44" i="25"/>
  <c r="W44" i="25"/>
  <c r="AA43" i="25"/>
  <c r="AB43" i="25"/>
  <c r="H46" i="25"/>
  <c r="I46" i="25"/>
  <c r="S46" i="25"/>
  <c r="K46" i="25"/>
  <c r="L45" i="25"/>
  <c r="U45" i="25"/>
  <c r="M44" i="25"/>
  <c r="Z44" i="25"/>
  <c r="Y44" i="25"/>
  <c r="G47" i="25"/>
  <c r="F48" i="25"/>
  <c r="E102" i="25"/>
  <c r="AC43" i="25"/>
  <c r="AD43" i="25"/>
  <c r="X44" i="25"/>
  <c r="AA44" i="25"/>
  <c r="AB44" i="25"/>
  <c r="Y45" i="25"/>
  <c r="H47" i="25"/>
  <c r="I47" i="25"/>
  <c r="K47" i="25"/>
  <c r="L46" i="25"/>
  <c r="M46" i="25"/>
  <c r="Z46" i="25"/>
  <c r="M45" i="25"/>
  <c r="Z45" i="25"/>
  <c r="T45" i="25"/>
  <c r="V45" i="25"/>
  <c r="W45" i="25"/>
  <c r="F49" i="25"/>
  <c r="G48" i="25"/>
  <c r="E103" i="25"/>
  <c r="AC44" i="25"/>
  <c r="AD44" i="25"/>
  <c r="X45" i="25"/>
  <c r="U46" i="25"/>
  <c r="AA45" i="25"/>
  <c r="AB45" i="25"/>
  <c r="Y46" i="25"/>
  <c r="AA46" i="25"/>
  <c r="AB46" i="25"/>
  <c r="H48" i="25"/>
  <c r="K48" i="25"/>
  <c r="L47" i="25"/>
  <c r="U47" i="25"/>
  <c r="S47" i="25"/>
  <c r="T46" i="25"/>
  <c r="I48" i="25"/>
  <c r="S48" i="25"/>
  <c r="F50" i="25"/>
  <c r="E104" i="25"/>
  <c r="G49" i="25"/>
  <c r="T47" i="25"/>
  <c r="V47" i="25"/>
  <c r="W47" i="25"/>
  <c r="AC45" i="25"/>
  <c r="AD45" i="25"/>
  <c r="V46" i="25"/>
  <c r="W46" i="25"/>
  <c r="Y47" i="25"/>
  <c r="M47" i="25"/>
  <c r="Z47" i="25"/>
  <c r="H49" i="25"/>
  <c r="I49" i="25"/>
  <c r="K49" i="25"/>
  <c r="L48" i="25"/>
  <c r="M48" i="25"/>
  <c r="Z48" i="25"/>
  <c r="F51" i="25"/>
  <c r="E105" i="25"/>
  <c r="G50" i="25"/>
  <c r="AD46" i="25"/>
  <c r="X46" i="25"/>
  <c r="AC46" i="25"/>
  <c r="X47" i="25"/>
  <c r="AA47" i="25"/>
  <c r="AB47" i="25"/>
  <c r="T48" i="25"/>
  <c r="Y48" i="25"/>
  <c r="AA48" i="25"/>
  <c r="AB48" i="25"/>
  <c r="U48" i="25"/>
  <c r="H50" i="25"/>
  <c r="K50" i="25"/>
  <c r="L49" i="25"/>
  <c r="T49" i="25"/>
  <c r="S49" i="25"/>
  <c r="G51" i="25"/>
  <c r="E106" i="25"/>
  <c r="F52" i="25"/>
  <c r="AC47" i="25"/>
  <c r="AD47" i="25"/>
  <c r="V48" i="25"/>
  <c r="W48" i="25"/>
  <c r="M49" i="25"/>
  <c r="Z49" i="25"/>
  <c r="U49" i="25"/>
  <c r="V49" i="25"/>
  <c r="W49" i="25"/>
  <c r="H51" i="25"/>
  <c r="K51" i="25"/>
  <c r="L50" i="25"/>
  <c r="Y50" i="25"/>
  <c r="Y49" i="25"/>
  <c r="I50" i="25"/>
  <c r="F53" i="25"/>
  <c r="G52" i="25"/>
  <c r="E107" i="25"/>
  <c r="X48" i="25"/>
  <c r="AC48" i="25"/>
  <c r="AD48" i="25"/>
  <c r="X49" i="25"/>
  <c r="AA49" i="25"/>
  <c r="AB49" i="25"/>
  <c r="M50" i="25"/>
  <c r="Z50" i="25"/>
  <c r="AA50" i="25"/>
  <c r="AB50" i="25"/>
  <c r="T50" i="25"/>
  <c r="U50" i="25"/>
  <c r="H52" i="25"/>
  <c r="I52" i="25"/>
  <c r="S52" i="25"/>
  <c r="K52" i="25"/>
  <c r="L51" i="25"/>
  <c r="U51" i="25"/>
  <c r="S50" i="25"/>
  <c r="I51" i="25"/>
  <c r="F54" i="25"/>
  <c r="E108" i="25"/>
  <c r="G53" i="25"/>
  <c r="T51" i="25"/>
  <c r="V51" i="25"/>
  <c r="W51" i="25"/>
  <c r="AC49" i="25"/>
  <c r="AD49" i="25"/>
  <c r="M51" i="25"/>
  <c r="Z51" i="25"/>
  <c r="V50" i="25"/>
  <c r="W50" i="25"/>
  <c r="X50" i="25"/>
  <c r="AC50" i="25"/>
  <c r="AD50" i="25"/>
  <c r="Y51" i="25"/>
  <c r="H53" i="25"/>
  <c r="I53" i="25"/>
  <c r="K53" i="25"/>
  <c r="L52" i="25"/>
  <c r="U52" i="25"/>
  <c r="S51" i="25"/>
  <c r="E109" i="25"/>
  <c r="F55" i="25"/>
  <c r="G54" i="25"/>
  <c r="Y52" i="25"/>
  <c r="T52" i="25"/>
  <c r="V52" i="25"/>
  <c r="W52" i="25"/>
  <c r="M52" i="25"/>
  <c r="Z52" i="25"/>
  <c r="AA51" i="25"/>
  <c r="AB51" i="25"/>
  <c r="S53" i="25"/>
  <c r="H54" i="25"/>
  <c r="K54" i="25"/>
  <c r="L53" i="25"/>
  <c r="U53" i="25"/>
  <c r="X51" i="25"/>
  <c r="F56" i="25"/>
  <c r="E110" i="25"/>
  <c r="G55" i="25"/>
  <c r="AC51" i="25"/>
  <c r="AD51" i="25"/>
  <c r="X52" i="25"/>
  <c r="AA52" i="25"/>
  <c r="AB52" i="25"/>
  <c r="M53" i="25"/>
  <c r="Z53" i="25"/>
  <c r="Y53" i="25"/>
  <c r="H55" i="25"/>
  <c r="K55" i="25"/>
  <c r="L54" i="25"/>
  <c r="Y54" i="25"/>
  <c r="T53" i="25"/>
  <c r="V53" i="25"/>
  <c r="W53" i="25"/>
  <c r="I54" i="25"/>
  <c r="I55" i="25"/>
  <c r="S55" i="25"/>
  <c r="F57" i="25"/>
  <c r="E111" i="25"/>
  <c r="G56" i="25"/>
  <c r="U54" i="25"/>
  <c r="AC52" i="25"/>
  <c r="AD52" i="25"/>
  <c r="X53" i="25"/>
  <c r="AA53" i="25"/>
  <c r="AB53" i="25"/>
  <c r="H56" i="25"/>
  <c r="K56" i="25"/>
  <c r="L55" i="25"/>
  <c r="T55" i="25"/>
  <c r="T54" i="25"/>
  <c r="S54" i="25"/>
  <c r="M54" i="25"/>
  <c r="Z54" i="25"/>
  <c r="AA54" i="25"/>
  <c r="AB54" i="25"/>
  <c r="F58" i="25"/>
  <c r="E112" i="25"/>
  <c r="G57" i="25"/>
  <c r="V54" i="25"/>
  <c r="W54" i="25"/>
  <c r="X54" i="25"/>
  <c r="AC54" i="25"/>
  <c r="AD54" i="25"/>
  <c r="AC53" i="25"/>
  <c r="AD53" i="25"/>
  <c r="Y55" i="25"/>
  <c r="M55" i="25"/>
  <c r="Z55" i="25"/>
  <c r="H57" i="25"/>
  <c r="K57" i="25"/>
  <c r="L56" i="25"/>
  <c r="M56" i="25"/>
  <c r="Z56" i="25"/>
  <c r="U55" i="25"/>
  <c r="V55" i="25"/>
  <c r="W55" i="25"/>
  <c r="X55" i="25"/>
  <c r="I56" i="25"/>
  <c r="G58" i="25"/>
  <c r="E113" i="25"/>
  <c r="Y56" i="25"/>
  <c r="AA56" i="25"/>
  <c r="AB56" i="25"/>
  <c r="T56" i="25"/>
  <c r="U56" i="25"/>
  <c r="AA55" i="25"/>
  <c r="AB55" i="25"/>
  <c r="AC55" i="25"/>
  <c r="AD55" i="25"/>
  <c r="H58" i="25"/>
  <c r="K59" i="25"/>
  <c r="L58" i="25"/>
  <c r="K58" i="25"/>
  <c r="I57" i="25"/>
  <c r="S56" i="25"/>
  <c r="V56" i="25"/>
  <c r="W56" i="25"/>
  <c r="X56" i="25"/>
  <c r="AC56" i="25"/>
  <c r="AD56" i="25"/>
  <c r="T58" i="25"/>
  <c r="Y58" i="25"/>
  <c r="L57" i="25"/>
  <c r="M58" i="25"/>
  <c r="Z58" i="25"/>
  <c r="S57" i="25"/>
  <c r="U58" i="25"/>
  <c r="I58" i="25"/>
  <c r="V58" i="25"/>
  <c r="W58" i="25"/>
  <c r="T57" i="25"/>
  <c r="M57" i="25"/>
  <c r="Z57" i="25"/>
  <c r="Y57" i="25"/>
  <c r="U57" i="25"/>
  <c r="I6" i="25"/>
  <c r="S58" i="25"/>
  <c r="AA58" i="25"/>
  <c r="AB58" i="25"/>
  <c r="AA57" i="25"/>
  <c r="AB57" i="25"/>
  <c r="X58" i="25"/>
  <c r="AC58" i="25"/>
  <c r="AD58" i="25"/>
  <c r="V57" i="25"/>
  <c r="W57" i="25"/>
  <c r="P63" i="25"/>
  <c r="J4" i="25"/>
  <c r="C15" i="18"/>
  <c r="X57" i="25"/>
  <c r="AC57" i="25"/>
  <c r="AD57" i="25"/>
  <c r="Y5" i="25"/>
  <c r="H4" i="25"/>
  <c r="D15" i="18"/>
  <c r="E15" i="18"/>
  <c r="F15" i="18"/>
  <c r="G15" i="18"/>
  <c r="G16" i="18"/>
  <c r="C6" i="26"/>
  <c r="E39" i="4"/>
  <c r="Q78" i="2"/>
  <c r="Q74" i="2"/>
  <c r="Q75" i="2"/>
  <c r="Q76" i="2"/>
  <c r="Q72" i="2"/>
  <c r="Q71" i="2"/>
  <c r="Q73" i="2"/>
  <c r="Q77" i="2"/>
  <c r="E62" i="2"/>
  <c r="K73" i="2"/>
  <c r="L73" i="2"/>
  <c r="K78" i="2"/>
  <c r="L78" i="2"/>
  <c r="K72" i="2"/>
  <c r="L72" i="2"/>
  <c r="B51" i="4"/>
  <c r="C51" i="4"/>
  <c r="J51" i="4"/>
  <c r="E49" i="4"/>
  <c r="E43" i="4"/>
  <c r="E41" i="4"/>
  <c r="E37" i="4"/>
  <c r="E15" i="4"/>
  <c r="E45" i="4"/>
  <c r="B53" i="4"/>
  <c r="J53" i="4"/>
  <c r="C53" i="4"/>
  <c r="B52" i="4"/>
  <c r="J52" i="4"/>
  <c r="C52" i="4"/>
  <c r="E47" i="4"/>
  <c r="B48" i="4"/>
  <c r="J48" i="4"/>
  <c r="B36" i="4"/>
  <c r="J36" i="4"/>
  <c r="C31" i="4"/>
  <c r="C15" i="4"/>
  <c r="E8" i="4"/>
  <c r="E5" i="4"/>
  <c r="B38" i="4"/>
  <c r="J38" i="4"/>
  <c r="B34" i="4"/>
  <c r="C34" i="4"/>
  <c r="J16" i="4"/>
  <c r="E58" i="2"/>
  <c r="E59" i="2"/>
  <c r="E60" i="2"/>
  <c r="C50" i="4"/>
  <c r="C49" i="4"/>
  <c r="B46" i="4"/>
  <c r="C46" i="4"/>
  <c r="J46" i="4"/>
  <c r="J45" i="4"/>
  <c r="C42" i="4"/>
  <c r="J41" i="4"/>
  <c r="J37" i="4"/>
  <c r="B33" i="4"/>
  <c r="G12" i="2"/>
  <c r="D12" i="4"/>
  <c r="A12" i="4"/>
  <c r="E10" i="4"/>
  <c r="J7" i="4"/>
  <c r="E4" i="4"/>
  <c r="C11" i="21"/>
  <c r="C8" i="26"/>
  <c r="C7" i="26"/>
  <c r="C11" i="20"/>
  <c r="C48" i="4"/>
  <c r="J31" i="4"/>
  <c r="C44" i="4"/>
  <c r="J13" i="4"/>
  <c r="C24" i="4"/>
  <c r="J47" i="4"/>
  <c r="J10" i="4"/>
  <c r="C40" i="4"/>
  <c r="J23" i="4"/>
  <c r="C38" i="4"/>
  <c r="B14" i="4"/>
  <c r="J14" i="4"/>
  <c r="J34" i="4"/>
  <c r="G48" i="2"/>
  <c r="D48" i="4"/>
  <c r="E48" i="4"/>
  <c r="G44" i="2"/>
  <c r="D44" i="4"/>
  <c r="E44" i="4"/>
  <c r="G40" i="2"/>
  <c r="D40" i="4"/>
  <c r="E40" i="4"/>
  <c r="G36" i="2"/>
  <c r="D36" i="4"/>
  <c r="E22" i="4"/>
  <c r="E21" i="4"/>
  <c r="E13" i="4"/>
  <c r="A11" i="4"/>
  <c r="J40" i="4"/>
  <c r="C47" i="4"/>
  <c r="C43" i="4"/>
  <c r="C39" i="4"/>
  <c r="B35" i="4"/>
  <c r="C35" i="4"/>
  <c r="J35" i="4"/>
  <c r="C30" i="4"/>
  <c r="J17" i="4"/>
  <c r="J4" i="4"/>
  <c r="J44" i="4"/>
  <c r="J15" i="4"/>
  <c r="J22" i="4"/>
  <c r="J18" i="4"/>
  <c r="G38" i="2"/>
  <c r="D38" i="4"/>
  <c r="E73" i="2"/>
  <c r="A6" i="4"/>
  <c r="G21" i="9"/>
  <c r="G22" i="9"/>
  <c r="E77" i="2"/>
  <c r="X14" i="9"/>
  <c r="E38" i="4"/>
  <c r="E12" i="4"/>
  <c r="E36" i="4"/>
  <c r="C60" i="4"/>
  <c r="C61" i="4"/>
  <c r="H42" i="4"/>
  <c r="I42" i="4"/>
  <c r="B6" i="4"/>
  <c r="C6" i="4"/>
  <c r="J6" i="4"/>
  <c r="B12" i="4"/>
  <c r="J12" i="4"/>
  <c r="C12" i="4"/>
  <c r="H12" i="4"/>
  <c r="I12" i="4"/>
  <c r="J33" i="4"/>
  <c r="C33" i="4"/>
  <c r="C5" i="11"/>
  <c r="C5" i="14"/>
  <c r="C12" i="14"/>
  <c r="C4" i="26"/>
  <c r="C4" i="10"/>
  <c r="C6" i="10"/>
  <c r="B11" i="4"/>
  <c r="C11" i="4"/>
  <c r="F71" i="2"/>
  <c r="G71" i="2"/>
  <c r="F76" i="2"/>
  <c r="G76" i="2"/>
  <c r="F77" i="2"/>
  <c r="G77" i="2"/>
  <c r="F78" i="2"/>
  <c r="G78" i="2"/>
  <c r="F75" i="2"/>
  <c r="G75" i="2"/>
  <c r="F73" i="2"/>
  <c r="G73" i="2"/>
  <c r="F74" i="2"/>
  <c r="G74" i="2"/>
  <c r="F72" i="2"/>
  <c r="G72" i="2"/>
  <c r="M73" i="2"/>
  <c r="N73" i="2"/>
  <c r="M72" i="2"/>
  <c r="N72" i="2"/>
  <c r="M78" i="2"/>
  <c r="N78" i="2"/>
  <c r="B62" i="4"/>
  <c r="C36" i="4"/>
  <c r="B61" i="4"/>
  <c r="B66" i="4"/>
  <c r="K75" i="2"/>
  <c r="L75" i="2"/>
  <c r="M75" i="2"/>
  <c r="N75" i="2"/>
  <c r="K71" i="2"/>
  <c r="L71" i="2"/>
  <c r="M71" i="2"/>
  <c r="N71" i="2"/>
  <c r="K74" i="2"/>
  <c r="L74" i="2"/>
  <c r="M74" i="2"/>
  <c r="N74" i="2"/>
  <c r="K77" i="2"/>
  <c r="L77" i="2"/>
  <c r="M77" i="2"/>
  <c r="N77" i="2"/>
  <c r="C62" i="4"/>
  <c r="C69" i="4"/>
  <c r="H40" i="4"/>
  <c r="I40" i="4"/>
  <c r="B60" i="4"/>
  <c r="F51" i="4"/>
  <c r="G51" i="4"/>
  <c r="F50" i="4"/>
  <c r="G50" i="4"/>
  <c r="H39" i="4"/>
  <c r="I39" i="4"/>
  <c r="H43" i="4"/>
  <c r="I43" i="4"/>
  <c r="H44" i="4"/>
  <c r="C14" i="4"/>
  <c r="I44" i="4"/>
  <c r="K76" i="2"/>
  <c r="L76" i="2"/>
  <c r="M76" i="2"/>
  <c r="N76" i="2"/>
  <c r="F11" i="4"/>
  <c r="G11" i="4"/>
  <c r="H11" i="4"/>
  <c r="I11" i="4"/>
  <c r="F6" i="4"/>
  <c r="G6" i="4"/>
  <c r="H6" i="4"/>
  <c r="I6" i="4"/>
  <c r="Q6" i="4"/>
  <c r="R6" i="4"/>
  <c r="B69" i="4"/>
  <c r="M6" i="4"/>
  <c r="N6" i="4"/>
  <c r="O6" i="4"/>
  <c r="P6" i="4"/>
  <c r="F33" i="4"/>
  <c r="G33" i="4"/>
  <c r="H33" i="4"/>
  <c r="I33" i="4"/>
  <c r="F14" i="4"/>
  <c r="G14" i="4"/>
  <c r="H14" i="4"/>
  <c r="I14" i="4"/>
  <c r="Q25" i="4"/>
  <c r="R25" i="4"/>
  <c r="S25" i="4"/>
  <c r="T25" i="4"/>
  <c r="U25" i="4"/>
  <c r="Q10" i="4"/>
  <c r="R10" i="4"/>
  <c r="S10" i="4"/>
  <c r="T10" i="4"/>
  <c r="U10" i="4"/>
  <c r="H4" i="4"/>
  <c r="I4" i="4"/>
  <c r="Q47" i="4"/>
  <c r="R47" i="4"/>
  <c r="S47" i="4"/>
  <c r="T47" i="4"/>
  <c r="U47" i="4"/>
  <c r="Q18" i="4"/>
  <c r="R18" i="4"/>
  <c r="S18" i="4"/>
  <c r="T18" i="4"/>
  <c r="U18" i="4"/>
  <c r="Q38" i="4"/>
  <c r="R38" i="4"/>
  <c r="S38" i="4"/>
  <c r="T38" i="4"/>
  <c r="U38" i="4"/>
  <c r="H27" i="4"/>
  <c r="I27" i="4"/>
  <c r="Q49" i="4"/>
  <c r="R49" i="4"/>
  <c r="S49" i="4"/>
  <c r="T49" i="4"/>
  <c r="U49" i="4"/>
  <c r="Q20" i="4"/>
  <c r="R20" i="4"/>
  <c r="S20" i="4"/>
  <c r="T20" i="4"/>
  <c r="U20" i="4"/>
  <c r="Q7" i="4"/>
  <c r="R7" i="4"/>
  <c r="S7" i="4"/>
  <c r="T7" i="4"/>
  <c r="U7" i="4"/>
  <c r="Q28" i="4"/>
  <c r="R28" i="4"/>
  <c r="S28" i="4"/>
  <c r="T28" i="4"/>
  <c r="U28" i="4"/>
  <c r="H10" i="4"/>
  <c r="I10" i="4"/>
  <c r="H5" i="4"/>
  <c r="I5" i="4"/>
  <c r="H19" i="4"/>
  <c r="I19" i="4"/>
  <c r="H32" i="4"/>
  <c r="I32" i="4"/>
  <c r="H28" i="4"/>
  <c r="I28" i="4"/>
  <c r="H25" i="4"/>
  <c r="I25" i="4"/>
  <c r="H20" i="4"/>
  <c r="I20" i="4"/>
  <c r="Q21" i="4"/>
  <c r="R21" i="4"/>
  <c r="S21" i="4"/>
  <c r="T21" i="4"/>
  <c r="U21" i="4"/>
  <c r="H9" i="4"/>
  <c r="I9" i="4"/>
  <c r="H16" i="4"/>
  <c r="I16" i="4"/>
  <c r="H26" i="4"/>
  <c r="I26" i="4"/>
  <c r="H37" i="4"/>
  <c r="I37" i="4"/>
  <c r="H41" i="4"/>
  <c r="I41" i="4"/>
  <c r="H17" i="4"/>
  <c r="I17" i="4"/>
  <c r="H29" i="4"/>
  <c r="I29" i="4"/>
  <c r="H45" i="4"/>
  <c r="I45" i="4"/>
  <c r="H22" i="4"/>
  <c r="I22" i="4"/>
  <c r="H21" i="4"/>
  <c r="I21" i="4"/>
  <c r="Q15" i="4"/>
  <c r="R15" i="4"/>
  <c r="S15" i="4"/>
  <c r="T15" i="4"/>
  <c r="U15" i="4"/>
  <c r="H7" i="4"/>
  <c r="I7" i="4"/>
  <c r="Q52" i="4"/>
  <c r="R52" i="4"/>
  <c r="S52" i="4"/>
  <c r="T52" i="4"/>
  <c r="U52" i="4"/>
  <c r="H23" i="4"/>
  <c r="I23" i="4"/>
  <c r="Q43" i="4"/>
  <c r="R43" i="4"/>
  <c r="S43" i="4"/>
  <c r="T43" i="4"/>
  <c r="U43" i="4"/>
  <c r="H8" i="4"/>
  <c r="I8" i="4"/>
  <c r="H46" i="4"/>
  <c r="I46" i="4"/>
  <c r="H31" i="4"/>
  <c r="I31" i="4"/>
  <c r="H18" i="4"/>
  <c r="I18" i="4"/>
  <c r="H15" i="4"/>
  <c r="I15" i="4"/>
  <c r="H13" i="4"/>
  <c r="I13" i="4"/>
  <c r="F46" i="4"/>
  <c r="G46" i="4"/>
  <c r="J11" i="4"/>
  <c r="F35" i="4"/>
  <c r="G35" i="4"/>
  <c r="H49" i="4"/>
  <c r="I49" i="4"/>
  <c r="F31" i="4"/>
  <c r="G31" i="4"/>
  <c r="H34" i="4"/>
  <c r="I34" i="4"/>
  <c r="F44" i="4"/>
  <c r="G44" i="4"/>
  <c r="F40" i="4"/>
  <c r="G40" i="4"/>
  <c r="H30" i="4"/>
  <c r="I30" i="4"/>
  <c r="S6" i="4"/>
  <c r="T6" i="4"/>
  <c r="U6" i="4"/>
  <c r="F53" i="4"/>
  <c r="G53" i="4"/>
  <c r="H24" i="4"/>
  <c r="I24" i="4"/>
  <c r="B67" i="4"/>
  <c r="M26" i="4"/>
  <c r="N26" i="4"/>
  <c r="O26" i="4"/>
  <c r="P26" i="4"/>
  <c r="F8" i="4"/>
  <c r="G8" i="4"/>
  <c r="F5" i="4"/>
  <c r="G5" i="4"/>
  <c r="M9" i="4"/>
  <c r="N9" i="4"/>
  <c r="O9" i="4"/>
  <c r="P9" i="4"/>
  <c r="M42" i="4"/>
  <c r="N42" i="4"/>
  <c r="O42" i="4"/>
  <c r="P42" i="4"/>
  <c r="F21" i="4"/>
  <c r="G21" i="4"/>
  <c r="F27" i="4"/>
  <c r="G27" i="4"/>
  <c r="F23" i="4"/>
  <c r="G23" i="4"/>
  <c r="F26" i="4"/>
  <c r="G26" i="4"/>
  <c r="F17" i="4"/>
  <c r="G17" i="4"/>
  <c r="F37" i="4"/>
  <c r="G37" i="4"/>
  <c r="F29" i="4"/>
  <c r="G29" i="4"/>
  <c r="F13" i="4"/>
  <c r="G13" i="4"/>
  <c r="M39" i="4"/>
  <c r="N39" i="4"/>
  <c r="O39" i="4"/>
  <c r="P39" i="4"/>
  <c r="F10" i="4"/>
  <c r="G10" i="4"/>
  <c r="F22" i="4"/>
  <c r="G22" i="4"/>
  <c r="F32" i="4"/>
  <c r="G32" i="4"/>
  <c r="F28" i="4"/>
  <c r="G28" i="4"/>
  <c r="M24" i="4"/>
  <c r="N24" i="4"/>
  <c r="O24" i="4"/>
  <c r="P24" i="4"/>
  <c r="F20" i="4"/>
  <c r="G20" i="4"/>
  <c r="M52" i="4"/>
  <c r="N52" i="4"/>
  <c r="O52" i="4"/>
  <c r="P52" i="4"/>
  <c r="F25" i="4"/>
  <c r="G25" i="4"/>
  <c r="M43" i="4"/>
  <c r="N43" i="4"/>
  <c r="O43" i="4"/>
  <c r="P43" i="4"/>
  <c r="F9" i="4"/>
  <c r="G9" i="4"/>
  <c r="F18" i="4"/>
  <c r="G18" i="4"/>
  <c r="F41" i="4"/>
  <c r="G41" i="4"/>
  <c r="M36" i="4"/>
  <c r="N36" i="4"/>
  <c r="O36" i="4"/>
  <c r="P36" i="4"/>
  <c r="M41" i="4"/>
  <c r="N41" i="4"/>
  <c r="O41" i="4"/>
  <c r="P41" i="4"/>
  <c r="F19" i="4"/>
  <c r="G19" i="4"/>
  <c r="F7" i="4"/>
  <c r="G7" i="4"/>
  <c r="F45" i="4"/>
  <c r="G45" i="4"/>
  <c r="F16" i="4"/>
  <c r="G16" i="4"/>
  <c r="F4" i="4"/>
  <c r="G4" i="4"/>
  <c r="F36" i="4"/>
  <c r="G36" i="4"/>
  <c r="H36" i="4"/>
  <c r="I36" i="4"/>
  <c r="M22" i="4"/>
  <c r="N22" i="4"/>
  <c r="O22" i="4"/>
  <c r="P22" i="4"/>
  <c r="Q8" i="4"/>
  <c r="R8" i="4"/>
  <c r="S8" i="4"/>
  <c r="T8" i="4"/>
  <c r="U8" i="4"/>
  <c r="M13" i="4"/>
  <c r="N13" i="4"/>
  <c r="O13" i="4"/>
  <c r="P13" i="4"/>
  <c r="Q9" i="4"/>
  <c r="R9" i="4"/>
  <c r="S9" i="4"/>
  <c r="T9" i="4"/>
  <c r="U9" i="4"/>
  <c r="Q24" i="4"/>
  <c r="R24" i="4"/>
  <c r="S24" i="4"/>
  <c r="T24" i="4"/>
  <c r="U24" i="4"/>
  <c r="Q41" i="4"/>
  <c r="R41" i="4"/>
  <c r="S41" i="4"/>
  <c r="T41" i="4"/>
  <c r="U41" i="4"/>
  <c r="M37" i="4"/>
  <c r="N37" i="4"/>
  <c r="O37" i="4"/>
  <c r="P37" i="4"/>
  <c r="M29" i="4"/>
  <c r="N29" i="4"/>
  <c r="O29" i="4"/>
  <c r="P29" i="4"/>
  <c r="M30" i="4"/>
  <c r="N30" i="4"/>
  <c r="O30" i="4"/>
  <c r="P30" i="4"/>
  <c r="M23" i="4"/>
  <c r="N23" i="4"/>
  <c r="O23" i="4"/>
  <c r="P23" i="4"/>
  <c r="M46" i="4"/>
  <c r="N46" i="4"/>
  <c r="O46" i="4"/>
  <c r="P46" i="4"/>
  <c r="Q32" i="4"/>
  <c r="R32" i="4"/>
  <c r="S32" i="4"/>
  <c r="T32" i="4"/>
  <c r="U32" i="4"/>
  <c r="M32" i="4"/>
  <c r="N32" i="4"/>
  <c r="O32" i="4"/>
  <c r="P32" i="4"/>
  <c r="Q45" i="4"/>
  <c r="R45" i="4"/>
  <c r="S45" i="4"/>
  <c r="T45" i="4"/>
  <c r="U45" i="4"/>
  <c r="M27" i="4"/>
  <c r="N27" i="4"/>
  <c r="O27" i="4"/>
  <c r="P27" i="4"/>
  <c r="Q13" i="4"/>
  <c r="R13" i="4"/>
  <c r="S13" i="4"/>
  <c r="T13" i="4"/>
  <c r="U13" i="4"/>
  <c r="Q35" i="4"/>
  <c r="R35" i="4"/>
  <c r="S35" i="4"/>
  <c r="T35" i="4"/>
  <c r="U35" i="4"/>
  <c r="M7" i="4"/>
  <c r="N7" i="4"/>
  <c r="O7" i="4"/>
  <c r="P7" i="4"/>
  <c r="Q23" i="4"/>
  <c r="R23" i="4"/>
  <c r="S23" i="4"/>
  <c r="T23" i="4"/>
  <c r="U23" i="4"/>
  <c r="M28" i="4"/>
  <c r="N28" i="4"/>
  <c r="O28" i="4"/>
  <c r="P28" i="4"/>
  <c r="Q31" i="4"/>
  <c r="R31" i="4"/>
  <c r="S31" i="4"/>
  <c r="T31" i="4"/>
  <c r="U31" i="4"/>
  <c r="Q42" i="4"/>
  <c r="R42" i="4"/>
  <c r="S42" i="4"/>
  <c r="T42" i="4"/>
  <c r="U42" i="4"/>
  <c r="M5" i="4"/>
  <c r="N5" i="4"/>
  <c r="O5" i="4"/>
  <c r="P5" i="4"/>
  <c r="M12" i="4"/>
  <c r="N12" i="4"/>
  <c r="M20" i="4"/>
  <c r="N20" i="4"/>
  <c r="O20" i="4"/>
  <c r="P20" i="4"/>
  <c r="Q22" i="4"/>
  <c r="R22" i="4"/>
  <c r="S22" i="4"/>
  <c r="T22" i="4"/>
  <c r="U22" i="4"/>
  <c r="M18" i="4"/>
  <c r="N18" i="4"/>
  <c r="O18" i="4"/>
  <c r="P18" i="4"/>
  <c r="Q19" i="4"/>
  <c r="R19" i="4"/>
  <c r="S19" i="4"/>
  <c r="T19" i="4"/>
  <c r="U19" i="4"/>
  <c r="M50" i="4"/>
  <c r="N50" i="4"/>
  <c r="O50" i="4"/>
  <c r="P50" i="4"/>
  <c r="M25" i="4"/>
  <c r="N25" i="4"/>
  <c r="O25" i="4"/>
  <c r="P25" i="4"/>
  <c r="Q5" i="4"/>
  <c r="R5" i="4"/>
  <c r="S5" i="4"/>
  <c r="T5" i="4"/>
  <c r="U5" i="4"/>
  <c r="M21" i="4"/>
  <c r="N21" i="4"/>
  <c r="O21" i="4"/>
  <c r="P21" i="4"/>
  <c r="Q37" i="4"/>
  <c r="R37" i="4"/>
  <c r="S37" i="4"/>
  <c r="T37" i="4"/>
  <c r="U37" i="4"/>
  <c r="Q33" i="4"/>
  <c r="R33" i="4"/>
  <c r="S33" i="4"/>
  <c r="T33" i="4"/>
  <c r="U33" i="4"/>
  <c r="Q14" i="4"/>
  <c r="R14" i="4"/>
  <c r="S14" i="4"/>
  <c r="T14" i="4"/>
  <c r="U14" i="4"/>
  <c r="Q46" i="4"/>
  <c r="R46" i="4"/>
  <c r="S46" i="4"/>
  <c r="T46" i="4"/>
  <c r="U46" i="4"/>
  <c r="Q26" i="4"/>
  <c r="R26" i="4"/>
  <c r="S26" i="4"/>
  <c r="T26" i="4"/>
  <c r="U26" i="4"/>
  <c r="M45" i="4"/>
  <c r="N45" i="4"/>
  <c r="O45" i="4"/>
  <c r="P45" i="4"/>
  <c r="M8" i="4"/>
  <c r="N8" i="4"/>
  <c r="O8" i="4"/>
  <c r="P8" i="4"/>
  <c r="Q50" i="4"/>
  <c r="R50" i="4"/>
  <c r="S50" i="4"/>
  <c r="T50" i="4"/>
  <c r="U50" i="4"/>
  <c r="Q17" i="4"/>
  <c r="R17" i="4"/>
  <c r="S17" i="4"/>
  <c r="T17" i="4"/>
  <c r="U17" i="4"/>
  <c r="Q29" i="4"/>
  <c r="R29" i="4"/>
  <c r="S29" i="4"/>
  <c r="T29" i="4"/>
  <c r="U29" i="4"/>
  <c r="M10" i="4"/>
  <c r="N10" i="4"/>
  <c r="O10" i="4"/>
  <c r="P10" i="4"/>
  <c r="Q27" i="4"/>
  <c r="R27" i="4"/>
  <c r="S27" i="4"/>
  <c r="T27" i="4"/>
  <c r="U27" i="4"/>
  <c r="Q39" i="4"/>
  <c r="R39" i="4"/>
  <c r="S39" i="4"/>
  <c r="T39" i="4"/>
  <c r="U39" i="4"/>
  <c r="Q34" i="4"/>
  <c r="R34" i="4"/>
  <c r="S34" i="4"/>
  <c r="T34" i="4"/>
  <c r="U34" i="4"/>
  <c r="Q44" i="4"/>
  <c r="R44" i="4"/>
  <c r="S44" i="4"/>
  <c r="T44" i="4"/>
  <c r="U44" i="4"/>
  <c r="Q40" i="4"/>
  <c r="R40" i="4"/>
  <c r="S40" i="4"/>
  <c r="T40" i="4"/>
  <c r="U40" i="4"/>
  <c r="M48" i="4"/>
  <c r="N48" i="4"/>
  <c r="O48" i="4"/>
  <c r="P48" i="4"/>
  <c r="Q48" i="4"/>
  <c r="R48" i="4"/>
  <c r="S48" i="4"/>
  <c r="T48" i="4"/>
  <c r="U48" i="4"/>
  <c r="M51" i="4"/>
  <c r="N51" i="4"/>
  <c r="O51" i="4"/>
  <c r="P51" i="4"/>
  <c r="Q53" i="4"/>
  <c r="R53" i="4"/>
  <c r="S53" i="4"/>
  <c r="T53" i="4"/>
  <c r="U53" i="4"/>
  <c r="Q16" i="4"/>
  <c r="R16" i="4"/>
  <c r="S16" i="4"/>
  <c r="T16" i="4"/>
  <c r="U16" i="4"/>
  <c r="M40" i="4"/>
  <c r="N40" i="4"/>
  <c r="O40" i="4"/>
  <c r="P40" i="4"/>
  <c r="M38" i="4"/>
  <c r="N38" i="4"/>
  <c r="O38" i="4"/>
  <c r="P38" i="4"/>
  <c r="M15" i="4"/>
  <c r="N15" i="4"/>
  <c r="O15" i="4"/>
  <c r="P15" i="4"/>
  <c r="M35" i="4"/>
  <c r="N35" i="4"/>
  <c r="O35" i="4"/>
  <c r="P35" i="4"/>
  <c r="Q30" i="4"/>
  <c r="R30" i="4"/>
  <c r="S30" i="4"/>
  <c r="T30" i="4"/>
  <c r="U30" i="4"/>
  <c r="Q4" i="4"/>
  <c r="R4" i="4"/>
  <c r="S4" i="4"/>
  <c r="T4" i="4"/>
  <c r="U4" i="4"/>
  <c r="Q51" i="4"/>
  <c r="R51" i="4"/>
  <c r="S51" i="4"/>
  <c r="T51" i="4"/>
  <c r="U51" i="4"/>
  <c r="M53" i="4"/>
  <c r="N53" i="4"/>
  <c r="O53" i="4"/>
  <c r="P53" i="4"/>
  <c r="M16" i="4"/>
  <c r="N16" i="4"/>
  <c r="O16" i="4"/>
  <c r="P16" i="4"/>
  <c r="M14" i="4"/>
  <c r="N14" i="4"/>
  <c r="O14" i="4"/>
  <c r="P14" i="4"/>
  <c r="M47" i="4"/>
  <c r="N47" i="4"/>
  <c r="O47" i="4"/>
  <c r="P47" i="4"/>
  <c r="M4" i="4"/>
  <c r="N4" i="4"/>
  <c r="O4" i="4"/>
  <c r="P4" i="4"/>
  <c r="M31" i="4"/>
  <c r="N31" i="4"/>
  <c r="O31" i="4"/>
  <c r="P31" i="4"/>
  <c r="Q36" i="4"/>
  <c r="R36" i="4"/>
  <c r="S36" i="4"/>
  <c r="T36" i="4"/>
  <c r="U36" i="4"/>
  <c r="M17" i="4"/>
  <c r="N17" i="4"/>
  <c r="O17" i="4"/>
  <c r="P17" i="4"/>
  <c r="F34" i="4"/>
  <c r="G34" i="4"/>
  <c r="F43" i="4"/>
  <c r="G43" i="4"/>
  <c r="F30" i="4"/>
  <c r="G30" i="4"/>
  <c r="F47" i="4"/>
  <c r="G47" i="4"/>
  <c r="F15" i="4"/>
  <c r="G15" i="4"/>
  <c r="F49" i="4"/>
  <c r="G49" i="4"/>
  <c r="F38" i="4"/>
  <c r="G38" i="4"/>
  <c r="F48" i="4"/>
  <c r="G48" i="4"/>
  <c r="O12" i="4"/>
  <c r="P12" i="4"/>
  <c r="F12" i="4"/>
  <c r="G12" i="4"/>
  <c r="H53" i="4"/>
  <c r="I53" i="4"/>
  <c r="F24" i="4"/>
  <c r="G24" i="4"/>
  <c r="H51" i="4"/>
  <c r="I51" i="4"/>
  <c r="H50" i="4"/>
  <c r="I50" i="4"/>
  <c r="H38" i="4"/>
  <c r="I38" i="4"/>
  <c r="H52" i="4"/>
  <c r="I52" i="4"/>
  <c r="F52" i="4"/>
  <c r="G52" i="4"/>
  <c r="H48" i="4"/>
  <c r="I48" i="4"/>
  <c r="F39" i="4"/>
  <c r="G39" i="4"/>
  <c r="Q11" i="4"/>
  <c r="R11" i="4"/>
  <c r="S11" i="4"/>
  <c r="T11" i="4"/>
  <c r="U11" i="4"/>
  <c r="Q12" i="4"/>
  <c r="R12" i="4"/>
  <c r="S12" i="4"/>
  <c r="T12" i="4"/>
  <c r="U12" i="4"/>
  <c r="F42" i="4"/>
  <c r="G42" i="4"/>
  <c r="H47" i="4"/>
  <c r="I47" i="4"/>
  <c r="H35" i="4"/>
  <c r="I35" i="4"/>
  <c r="U56" i="4"/>
  <c r="F63" i="4"/>
  <c r="G63" i="4"/>
  <c r="M11" i="4"/>
  <c r="N11" i="4"/>
  <c r="O11" i="4"/>
  <c r="P11" i="4"/>
  <c r="M19" i="4"/>
  <c r="N19" i="4"/>
  <c r="O19" i="4"/>
  <c r="P19" i="4"/>
  <c r="M33" i="4"/>
  <c r="N33" i="4"/>
  <c r="O33" i="4"/>
  <c r="P33" i="4"/>
  <c r="M34" i="4"/>
  <c r="N34" i="4"/>
  <c r="O34" i="4"/>
  <c r="P34" i="4"/>
  <c r="M44" i="4"/>
  <c r="N44" i="4"/>
  <c r="O44" i="4"/>
  <c r="P44" i="4"/>
  <c r="M49" i="4"/>
  <c r="N49" i="4"/>
  <c r="O49" i="4"/>
  <c r="P49" i="4"/>
  <c r="P56" i="4"/>
  <c r="F62" i="4"/>
  <c r="G62" i="4"/>
  <c r="K29" i="4"/>
  <c r="L29" i="4"/>
  <c r="K20" i="4"/>
  <c r="L20" i="4"/>
  <c r="K46" i="4"/>
  <c r="L46" i="4"/>
  <c r="K25" i="4"/>
  <c r="L25" i="4"/>
  <c r="K39" i="4"/>
  <c r="L39" i="4"/>
  <c r="K50" i="4"/>
  <c r="L50" i="4"/>
  <c r="K42" i="4"/>
  <c r="L42" i="4"/>
  <c r="K8" i="4"/>
  <c r="L8" i="4"/>
  <c r="K23" i="4"/>
  <c r="L23" i="4"/>
  <c r="K43" i="4"/>
  <c r="L43" i="4"/>
  <c r="K44" i="4"/>
  <c r="L44" i="4"/>
  <c r="K10" i="4"/>
  <c r="L10" i="4"/>
  <c r="K26" i="4"/>
  <c r="L26" i="4"/>
  <c r="K19" i="4"/>
  <c r="L19" i="4"/>
  <c r="K49" i="4"/>
  <c r="L49" i="4"/>
  <c r="K4" i="4"/>
  <c r="L4" i="4"/>
  <c r="K7" i="4"/>
  <c r="L7" i="4"/>
  <c r="K45" i="4"/>
  <c r="L45" i="4"/>
  <c r="K13" i="4"/>
  <c r="L13" i="4"/>
  <c r="K27" i="4"/>
  <c r="L27" i="4"/>
  <c r="K28" i="4"/>
  <c r="L28" i="4"/>
  <c r="K32" i="4"/>
  <c r="L32" i="4"/>
  <c r="K34" i="4"/>
  <c r="L34" i="4"/>
  <c r="K41" i="4"/>
  <c r="L41" i="4"/>
  <c r="K18" i="4"/>
  <c r="L18" i="4"/>
  <c r="K14" i="4"/>
  <c r="L14" i="4"/>
  <c r="K5" i="4"/>
  <c r="L5" i="4"/>
  <c r="K22" i="4"/>
  <c r="L22" i="4"/>
  <c r="K21" i="4"/>
  <c r="L21" i="4"/>
  <c r="K30" i="4"/>
  <c r="L30" i="4"/>
  <c r="K16" i="4"/>
  <c r="L16" i="4"/>
  <c r="K38" i="4"/>
  <c r="L38" i="4"/>
  <c r="K37" i="4"/>
  <c r="L37" i="4"/>
  <c r="K24" i="4"/>
  <c r="L24" i="4"/>
  <c r="K17" i="4"/>
  <c r="L17" i="4"/>
  <c r="K47" i="4"/>
  <c r="L47" i="4"/>
  <c r="K48" i="4"/>
  <c r="L48" i="4"/>
  <c r="K53" i="4"/>
  <c r="L53" i="4"/>
  <c r="K36" i="4"/>
  <c r="L36" i="4"/>
  <c r="K9" i="4"/>
  <c r="L9" i="4"/>
  <c r="K31" i="4"/>
  <c r="L31" i="4"/>
  <c r="K52" i="4"/>
  <c r="L52" i="4"/>
  <c r="K33" i="4"/>
  <c r="L33" i="4"/>
  <c r="K15" i="4"/>
  <c r="L15" i="4"/>
  <c r="K35" i="4"/>
  <c r="L35" i="4"/>
  <c r="K40" i="4"/>
  <c r="L40" i="4"/>
  <c r="K51" i="4"/>
  <c r="L51" i="4"/>
  <c r="K6" i="4"/>
  <c r="L6" i="4"/>
  <c r="K12" i="4"/>
  <c r="L12" i="4"/>
  <c r="K11" i="4"/>
  <c r="L11" i="4"/>
  <c r="G56" i="4"/>
  <c r="F60" i="4"/>
  <c r="G60" i="4"/>
  <c r="I56" i="4"/>
  <c r="F61" i="4"/>
  <c r="G61" i="4"/>
  <c r="C11" i="11"/>
  <c r="L56" i="4"/>
  <c r="F64" i="4"/>
  <c r="G64" i="4"/>
  <c r="G68" i="4"/>
  <c r="C9" i="11"/>
  <c r="C10" i="11"/>
  <c r="C12" i="11"/>
  <c r="H63" i="4"/>
  <c r="D12" i="11"/>
  <c r="H62" i="4"/>
  <c r="D11" i="11"/>
  <c r="H60" i="4"/>
  <c r="C17" i="11"/>
  <c r="D17" i="11"/>
  <c r="C21" i="11"/>
  <c r="D21" i="11"/>
  <c r="C23" i="11"/>
  <c r="D23" i="11"/>
  <c r="C22" i="11"/>
  <c r="D22" i="11"/>
  <c r="C18" i="11"/>
  <c r="D18" i="11"/>
  <c r="C20" i="11"/>
  <c r="D20" i="11"/>
  <c r="C19" i="11"/>
  <c r="D19" i="11"/>
  <c r="C5" i="26"/>
  <c r="C24" i="11"/>
  <c r="D24" i="11"/>
  <c r="C13" i="11"/>
  <c r="H64" i="4"/>
  <c r="H61" i="4"/>
  <c r="D10" i="11"/>
  <c r="D9" i="11"/>
  <c r="B15" i="11"/>
  <c r="D13" i="11"/>
  <c r="E13" i="11"/>
  <c r="E64" i="27"/>
  <c r="D64" i="27"/>
  <c r="C64" i="27"/>
  <c r="G64" i="27"/>
  <c r="H43" i="27"/>
  <c r="F64" i="27"/>
  <c r="H27" i="27"/>
  <c r="H64"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gateway</author>
  </authors>
  <commentList>
    <comment ref="B7" authorId="0" shapeId="0" xr:uid="{00000000-0006-0000-0B00-000001000000}">
      <text>
        <r>
          <rPr>
            <b/>
            <sz val="9"/>
            <color indexed="81"/>
            <rFont val="Tahoma"/>
            <family val="2"/>
          </rPr>
          <t>gateway:</t>
        </r>
        <r>
          <rPr>
            <sz val="9"/>
            <color indexed="81"/>
            <rFont val="Tahoma"/>
            <family val="2"/>
          </rPr>
          <t xml:space="preserve">
PROGRAMAR, PARA QUE CON LA ZONA TE ARROJE EL COEFICIENTE DE CREAGER</t>
        </r>
      </text>
    </comment>
  </commentList>
</comments>
</file>

<file path=xl/sharedStrings.xml><?xml version="1.0" encoding="utf-8"?>
<sst xmlns="http://schemas.openxmlformats.org/spreadsheetml/2006/main" count="910" uniqueCount="515">
  <si>
    <t>AÑO</t>
  </si>
  <si>
    <t>N=</t>
  </si>
  <si>
    <t>MEDIA</t>
  </si>
  <si>
    <t>VARIANZA</t>
  </si>
  <si>
    <t>DESV.STD</t>
  </si>
  <si>
    <t>SESGO</t>
  </si>
  <si>
    <t xml:space="preserve"> </t>
  </si>
  <si>
    <t>ALPHA-P</t>
  </si>
  <si>
    <t>ALFA-G</t>
  </si>
  <si>
    <t>SIGMA-Y</t>
  </si>
  <si>
    <t>BETA-G</t>
  </si>
  <si>
    <t>MU-Y</t>
  </si>
  <si>
    <t>T</t>
  </si>
  <si>
    <t>F</t>
  </si>
  <si>
    <t>NORMAL</t>
  </si>
  <si>
    <t>LOG-NORMAL</t>
  </si>
  <si>
    <t>GUMBEL</t>
  </si>
  <si>
    <t>Y</t>
  </si>
  <si>
    <t>Ginv</t>
  </si>
  <si>
    <t>K</t>
  </si>
  <si>
    <t>lnF</t>
  </si>
  <si>
    <t>PEARSON III</t>
  </si>
  <si>
    <t>LOG-PEARSON III</t>
  </si>
  <si>
    <t>m</t>
  </si>
  <si>
    <t>Fo</t>
  </si>
  <si>
    <t>N</t>
  </si>
  <si>
    <t>LGNORM</t>
  </si>
  <si>
    <t>CONCLUSIÓN</t>
  </si>
  <si>
    <t>DATOS</t>
  </si>
  <si>
    <t>PEARSON</t>
  </si>
  <si>
    <t>ln-ln</t>
  </si>
  <si>
    <t>log</t>
  </si>
  <si>
    <t>PARAMETROS GUMBEL</t>
  </si>
  <si>
    <t>PARAMETROS PEARSON</t>
  </si>
  <si>
    <t>T (AÑOS)</t>
  </si>
  <si>
    <t>RESULTADOS DE LA PRUEBA DEL ERROR ESTANDAR</t>
  </si>
  <si>
    <t>ERROR ESTANDAR</t>
  </si>
  <si>
    <t>DISTRIBUCIÓN</t>
  </si>
  <si>
    <t>Sumatoria</t>
  </si>
  <si>
    <t>α</t>
  </si>
  <si>
    <t>β</t>
  </si>
  <si>
    <t>S</t>
  </si>
  <si>
    <t>Máx PP</t>
  </si>
  <si>
    <t>PP_máx 24 (mm)</t>
  </si>
  <si>
    <t>PPn</t>
  </si>
  <si>
    <t>PPln</t>
  </si>
  <si>
    <t>PPgb</t>
  </si>
  <si>
    <t>PPpear</t>
  </si>
  <si>
    <t>PPlp</t>
  </si>
  <si>
    <t>LOG (PP_máx)</t>
  </si>
  <si>
    <t>No.</t>
  </si>
  <si>
    <t>Año de inicio:</t>
  </si>
  <si>
    <t>Año final:</t>
  </si>
  <si>
    <t>PP_Media anual (mm)</t>
  </si>
  <si>
    <t xml:space="preserve">Estación: </t>
  </si>
  <si>
    <t>Finca Argovia</t>
  </si>
  <si>
    <t>n</t>
  </si>
  <si>
    <t>mm</t>
  </si>
  <si>
    <t>USOS DE SUELO</t>
  </si>
  <si>
    <t>k</t>
  </si>
  <si>
    <t>Ponderando</t>
  </si>
  <si>
    <t>Caminos</t>
  </si>
  <si>
    <t>K ponderada=</t>
  </si>
  <si>
    <t>ELEGIR</t>
  </si>
  <si>
    <t xml:space="preserve">Ce = </t>
  </si>
  <si>
    <t>K&lt;0.15</t>
  </si>
  <si>
    <t>K&gt;0.15</t>
  </si>
  <si>
    <t>%</t>
  </si>
  <si>
    <t>1.-</t>
  </si>
  <si>
    <t>2.-</t>
  </si>
  <si>
    <t>3.-</t>
  </si>
  <si>
    <t>4.-</t>
  </si>
  <si>
    <t>Indicar el año en que comienzan a registrar datos dicha estación.</t>
  </si>
  <si>
    <t>TIPO DE SUELO</t>
  </si>
  <si>
    <t>CARACTERÍSTICAS</t>
  </si>
  <si>
    <t>A</t>
  </si>
  <si>
    <t>Suelos permeables, tales como arenas profundas y loess poco compactas.</t>
  </si>
  <si>
    <t>B</t>
  </si>
  <si>
    <t>Suelos Medianamente permeables, tales como arenas de mediana profundidad: loess algo más compactos que los correspondientes a los suelosA; terrenos migajosos.</t>
  </si>
  <si>
    <t>C</t>
  </si>
  <si>
    <t>Suelos casi impermeables, tales como arenas loess muy delgados sobre una capa impermeable, o bien arcillas.</t>
  </si>
  <si>
    <t>USO DE SUELO</t>
  </si>
  <si>
    <t>Barbecho, áreas incultas y desnudas</t>
  </si>
  <si>
    <t>Cultivos:</t>
  </si>
  <si>
    <t>En Hilera</t>
  </si>
  <si>
    <t>Legumbres o rotación de pradera</t>
  </si>
  <si>
    <t>Granos pequeños</t>
  </si>
  <si>
    <t>Mas del 75% - Poco -</t>
  </si>
  <si>
    <t>Del 50 al 75% - Regular -</t>
  </si>
  <si>
    <t>Menos del 50% - Excesivo -</t>
  </si>
  <si>
    <t>Bosque:</t>
  </si>
  <si>
    <t>Cubierto más del 75%</t>
  </si>
  <si>
    <t>Cubierto del 50 al 75%</t>
  </si>
  <si>
    <t>Cubierto deñ 25 al 50%</t>
  </si>
  <si>
    <t>Cubierto menos del 25%</t>
  </si>
  <si>
    <t>Zonas Urbanas</t>
  </si>
  <si>
    <t>Pradera Permanente</t>
  </si>
  <si>
    <t>Si en la cuenca de estudio exinten diferentes tipos y usos de suelo, el valor de K se calcula como la resultante de subdividir la cuenca en zonas homogéneas y obtener el promedio ponderado de todas ellas.</t>
  </si>
  <si>
    <t>Una vez obtenido el valor de K, el coeficiente de escurrimiento anual (Ce), se calcula mediente las formulas siguientes.</t>
  </si>
  <si>
    <t>K: PARAMETRO QUE DEPENDE DEL TIPO Y USO DE SUELO</t>
  </si>
  <si>
    <t>COEFICIENTE DE ESCIRRIMIENTO ANUAL (Ce)</t>
  </si>
  <si>
    <t>Si K resulta menor o igual que 0.15</t>
  </si>
  <si>
    <t>Ce=K(P-250)/2000</t>
  </si>
  <si>
    <t>Si K es mayor que 0.15</t>
  </si>
  <si>
    <t>Ce=K(P-250)/2000+(K-0.15)/1.5</t>
  </si>
  <si>
    <t>P = precipitación anual, en mm</t>
  </si>
  <si>
    <t>DATOS DE PRECIPITACIÓN MEDIA ANUAL  Y MÁXIMA EN 24 HORAS</t>
  </si>
  <si>
    <t>Precipitación media anual</t>
  </si>
  <si>
    <t>Superficie que abarca en porcentaje respecto al área total de la cuenca</t>
  </si>
  <si>
    <t>Pastizal (% del suelo cubierto o pastoreo)</t>
  </si>
  <si>
    <t>SUPERFICIE (ha)</t>
  </si>
  <si>
    <t>NP</t>
  </si>
  <si>
    <r>
      <t xml:space="preserve">K </t>
    </r>
    <r>
      <rPr>
        <b/>
        <vertAlign val="subscript"/>
        <sz val="12"/>
        <color indexed="9"/>
        <rFont val="Cambria"/>
        <family val="1"/>
      </rPr>
      <t>ponderado</t>
    </r>
  </si>
  <si>
    <t>No presenta el tipo de vegetación en la cuenca.</t>
  </si>
  <si>
    <t>Total</t>
  </si>
  <si>
    <t>Coeficiente de escurrimiento anual (Ce) =</t>
  </si>
  <si>
    <t>COEFICIENTE DE ESCURRIMIENTO (Ce) CALCULADO POR LA NORMA-011-CNA-2000</t>
  </si>
  <si>
    <t>A= SUELOS PERMEABLES, B= SUELOS MEDIANAMENTE PERMEABLES, C= SUELOS CASI IMPERMEABLES Y NP= NO SE PRESENTA ESTE TIPO DE SUELO EN LA CUENCA.</t>
  </si>
  <si>
    <t>Área de la cuenca (ha)</t>
  </si>
  <si>
    <t>La función que más se ajusta es:</t>
  </si>
  <si>
    <r>
      <t>(Po-PPn)</t>
    </r>
    <r>
      <rPr>
        <b/>
        <vertAlign val="superscript"/>
        <sz val="12"/>
        <rFont val="Cambria"/>
        <family val="1"/>
      </rPr>
      <t>2</t>
    </r>
  </si>
  <si>
    <r>
      <t>(Po-PPln)</t>
    </r>
    <r>
      <rPr>
        <b/>
        <vertAlign val="superscript"/>
        <sz val="12"/>
        <rFont val="Cambria"/>
        <family val="1"/>
      </rPr>
      <t>2</t>
    </r>
  </si>
  <si>
    <r>
      <t>(Po-PPgb)</t>
    </r>
    <r>
      <rPr>
        <b/>
        <vertAlign val="superscript"/>
        <sz val="12"/>
        <rFont val="Cambria"/>
        <family val="1"/>
      </rPr>
      <t>2</t>
    </r>
  </si>
  <si>
    <r>
      <t>(Po-PPpe)</t>
    </r>
    <r>
      <rPr>
        <b/>
        <vertAlign val="superscript"/>
        <sz val="12"/>
        <rFont val="Cambria"/>
        <family val="1"/>
      </rPr>
      <t>2</t>
    </r>
  </si>
  <si>
    <r>
      <t>(Po-PPlp)</t>
    </r>
    <r>
      <rPr>
        <b/>
        <vertAlign val="superscript"/>
        <sz val="12"/>
        <rFont val="Cambria"/>
        <family val="1"/>
      </rPr>
      <t>2</t>
    </r>
  </si>
  <si>
    <r>
      <t>(Qo-Qc)</t>
    </r>
    <r>
      <rPr>
        <b/>
        <vertAlign val="superscript"/>
        <sz val="12"/>
        <rFont val="Cambria"/>
        <family val="1"/>
      </rPr>
      <t>2</t>
    </r>
  </si>
  <si>
    <t>Periodo de retorno (años)</t>
  </si>
  <si>
    <t>Precipitación esperada (mm)</t>
  </si>
  <si>
    <t>Coeficiente de escurrimiento (adim)</t>
  </si>
  <si>
    <t>Precipitación media anual (mm)</t>
  </si>
  <si>
    <r>
      <t>Volumen escurrido medio anual (m</t>
    </r>
    <r>
      <rPr>
        <b/>
        <vertAlign val="superscript"/>
        <sz val="12"/>
        <color indexed="8"/>
        <rFont val="Cambria"/>
        <family val="1"/>
      </rPr>
      <t>3</t>
    </r>
    <r>
      <rPr>
        <b/>
        <sz val="12"/>
        <color indexed="8"/>
        <rFont val="Cambria"/>
        <family val="1"/>
      </rPr>
      <t>)</t>
    </r>
  </si>
  <si>
    <t>Introducir el valor de la superficie que ocupa cada tipo de suelo en ha.</t>
  </si>
  <si>
    <t>Indicar el año hasta el cual tiene registros la estación.</t>
  </si>
  <si>
    <t>Ppmax-24</t>
  </si>
  <si>
    <t>5.-</t>
  </si>
  <si>
    <t>En caso de contar con la precipitación media de una seria historica de</t>
  </si>
  <si>
    <t>datos, introducir este valor en la primera celda de la columna PP_Media anual (mm)</t>
  </si>
  <si>
    <t>DATOS DE ENTRADA</t>
  </si>
  <si>
    <t xml:space="preserve">VOLUMEN DE ESCURRIMIENTO MEDIA ANUAL
</t>
  </si>
  <si>
    <t xml:space="preserve">AVENIDA MÁXIMA
</t>
  </si>
  <si>
    <t>RESULTADOS: VOLUMEN DE ESCURRIMIENTO MEDIA ANUAL</t>
  </si>
  <si>
    <t>M É T O D O  R A C I O N A L</t>
  </si>
  <si>
    <t>Pendiente del cauce principal (Hc/Lc)</t>
  </si>
  <si>
    <t>RESULTADOS</t>
  </si>
  <si>
    <t>Área de la cuenca (Ac)</t>
  </si>
  <si>
    <t>Coeficiente de escurrimiento (Ce)</t>
  </si>
  <si>
    <t>Longitud del cauce principal (Lc)</t>
  </si>
  <si>
    <t>Desnivel del cauce principal (Hc)</t>
  </si>
  <si>
    <t>Intensidad de lluvia (i)</t>
  </si>
  <si>
    <t>Gasto máximo probable (Qp)</t>
  </si>
  <si>
    <t>PARÁMETROS HIDROLÓGICOS</t>
  </si>
  <si>
    <t>Ac  =</t>
  </si>
  <si>
    <t>Q  =</t>
  </si>
  <si>
    <t>q=</t>
  </si>
  <si>
    <t>Valores de n, respecto a las condiciones del lugar donde se realizara la boquilla y el vaso.</t>
  </si>
  <si>
    <t>Área hidráulica promedio</t>
  </si>
  <si>
    <t>Perímetro mojado promedio</t>
  </si>
  <si>
    <t>P</t>
  </si>
  <si>
    <t>M  A  T  E  R  I  A  L</t>
  </si>
  <si>
    <t>V A L O R E S</t>
  </si>
  <si>
    <t>Radio hidráulico promedio</t>
  </si>
  <si>
    <t>r</t>
  </si>
  <si>
    <t xml:space="preserve">     Mínimo</t>
  </si>
  <si>
    <t>Normal</t>
  </si>
  <si>
    <t>Máximo</t>
  </si>
  <si>
    <t>Coeficiente del material</t>
  </si>
  <si>
    <t>Roca (con salientes y sinuosas)</t>
  </si>
  <si>
    <t>Pendiente natural promedio</t>
  </si>
  <si>
    <t>Tepetate (liso y uniforme)</t>
  </si>
  <si>
    <t>Tierra (alineado y uniforme)</t>
  </si>
  <si>
    <t>Tierra (construido con draga)</t>
  </si>
  <si>
    <t>Mampostería seca</t>
  </si>
  <si>
    <t>Mampostería con cemento</t>
  </si>
  <si>
    <t>SECCIÓN</t>
  </si>
  <si>
    <t>P (m)</t>
  </si>
  <si>
    <t>r = A/P (m)</t>
  </si>
  <si>
    <t>V (m/s)</t>
  </si>
  <si>
    <t>Concreto</t>
  </si>
  <si>
    <t>Material</t>
  </si>
  <si>
    <t xml:space="preserve">S </t>
  </si>
  <si>
    <t xml:space="preserve">n </t>
  </si>
  <si>
    <t>VARIABLES</t>
  </si>
  <si>
    <t>REGIONES HIDROLÓGICAS</t>
  </si>
  <si>
    <t>VALORES DE "C"</t>
  </si>
  <si>
    <t>CORRIENTES PRINCIPALES</t>
  </si>
  <si>
    <t>ESTADOS COMPRENDIDOS</t>
  </si>
  <si>
    <t>CREAGER</t>
  </si>
  <si>
    <t>LOWRY</t>
  </si>
  <si>
    <t>NORTE</t>
  </si>
  <si>
    <t>Baja California Norte</t>
  </si>
  <si>
    <t>Tijuana, Gpe., Sto. Domingo. Ríos E.U.A. Sta. Ana, Los Angeles, San Gabriel, Little Tujunga, Cañon- Saw Pit, Colorado, Gila, Otay, Sweet Water, San Diego.</t>
  </si>
  <si>
    <t>Baja California N. California (USA). Arizona (USA)</t>
  </si>
  <si>
    <t>Baja California Sur</t>
  </si>
  <si>
    <t>Tinaja, San Ignacio, San José de Gracia, San Gregorio, Purísima, Comondú, Sto. Domingo, Soledad, Colorado, Carrizal, Mulejé, Sta. Agueda, Sna José del Caso.</t>
  </si>
  <si>
    <t>Baja California S.</t>
  </si>
  <si>
    <t>Cuanca del Río Colorado</t>
  </si>
  <si>
    <t>Colorado, Gila.</t>
  </si>
  <si>
    <t>Arizona (USA)</t>
  </si>
  <si>
    <t>NOROESTE</t>
  </si>
  <si>
    <t>4-A</t>
  </si>
  <si>
    <t>Zona Norte</t>
  </si>
  <si>
    <t>Sonoita, Concepción, Sonora, Guaymas, Matape, Yaqui, Cocoraqui, Mayo.</t>
  </si>
  <si>
    <t>Sonora y Chihuahua.</t>
  </si>
  <si>
    <t>4-B</t>
  </si>
  <si>
    <t>Zona Sur</t>
  </si>
  <si>
    <t>Fuerte, Sinaloa, Mocorito, Chico Ruíz, Culiacán, San Lorenzo, Elota, Salado, Piaxtla, Quelite, Presidio, Baluarte, Las Cañas, Acaponeta, Bejuco, San Pedro.</t>
  </si>
  <si>
    <t>Sinaloa, Chihuahua, Nayarit y Durango.</t>
  </si>
  <si>
    <t>CUENCA DEL RÍO LERMA</t>
  </si>
  <si>
    <t>5-A</t>
  </si>
  <si>
    <t>Zona Río Santiago</t>
  </si>
  <si>
    <t>Jalisco, Nayarit, Zacatecas, Aguas Calientes, Michoacán y Guanajuato.</t>
  </si>
  <si>
    <t>5-B</t>
  </si>
  <si>
    <t>Zona Río Lerma Chapala</t>
  </si>
  <si>
    <t>México, Michoacán, Guanajuato, Jalisco y Querétaro.</t>
  </si>
  <si>
    <t>PACÍFICO CENTRO</t>
  </si>
  <si>
    <t>San Blas, Huicila, Ameca, Tomatlán, San Nicolás Ouixmala, Purificación, Cihuatlán, Armería, Coahuayana, Istala, Nexpa, Chuta, Carrizal.</t>
  </si>
  <si>
    <t>Nayarit, Jalisco, Colima y Michoacán.</t>
  </si>
  <si>
    <t>CUENCA DEL RÍO BALSAS</t>
  </si>
  <si>
    <t>7-A</t>
  </si>
  <si>
    <t>Zona Bajo Balsas</t>
  </si>
  <si>
    <t>Michoacán, México, Guerrero y Jalisco.</t>
  </si>
  <si>
    <t>7-B</t>
  </si>
  <si>
    <t>Zona Alto Balsas</t>
  </si>
  <si>
    <t>Puebla, Tlaxcala, Guerrero, Morelos, México y Oaxaca.</t>
  </si>
  <si>
    <t>PACÍFICO SUR</t>
  </si>
  <si>
    <t>Oxmitlán, Ixtapa, San Jeronimito, Petatlán, Coyuquila, San Luis, Teoapan, San Jerónimo, Coyuca, Sabana, Atoyac, Papagayo, Ojipa, Sta. Catarina, Verde, Tehuantepec, De los Perros, Chicapa, Sto. Domingo, Niltepec, Ostuta, Coapan, Hixtla, Cahuacán y Suchiate.</t>
  </si>
  <si>
    <t>Guerrero, Oaxaca y Chiapas.</t>
  </si>
  <si>
    <t>CUENCA DEL RÍO BRAVO</t>
  </si>
  <si>
    <t>9-A</t>
  </si>
  <si>
    <t>Zona Río Conchos</t>
  </si>
  <si>
    <t>Florido, San Pedro, Bravo, Conchos.</t>
  </si>
  <si>
    <t>Texas (USA), Chihuahua y Durango.</t>
  </si>
  <si>
    <t>9-B</t>
  </si>
  <si>
    <t>Zona Río Salado y San Juan</t>
  </si>
  <si>
    <t>Bravo, San Diego, Salado, San Juan, Arroyo Pinto.</t>
  </si>
  <si>
    <t>Coahuila, Nuevo León, Tamaulipas, Texas (USA).</t>
  </si>
  <si>
    <t>GOLFO NORTE</t>
  </si>
  <si>
    <t>Camacho Purificación, San Fernando y Soto la Marina.</t>
  </si>
  <si>
    <t>Tamaulipas y Nuevo León.</t>
  </si>
  <si>
    <t>CUANCA DEL RÍO PANUCO</t>
  </si>
  <si>
    <t>11-A</t>
  </si>
  <si>
    <t>Zona Alto Panuco</t>
  </si>
  <si>
    <t>Río Panuco y sus Afluentes: Enramadas, Tula, San Juan del Río.</t>
  </si>
  <si>
    <t>México, Hidalgo, San Luis Potosí y Querétaro.</t>
  </si>
  <si>
    <t>11-B</t>
  </si>
  <si>
    <t>Zona Bajo Panuco</t>
  </si>
  <si>
    <t>Axtla, Tamesí, Pánuco, Tampaches, Temiahua, De las Charcas, Palo Gordo, Carvajal, Tancochin, San Miguel, Milpillas Temporal, Moctezuma, Tampaón.</t>
  </si>
  <si>
    <t>Guanajuato, San Luis Potosí, Querétaro, Hidalgo, Veracruz, Tamaulipas y Nuevo León.</t>
  </si>
  <si>
    <t>GOLFO CENTRO</t>
  </si>
  <si>
    <t>Tuxpan, Cazones, Tecolutla, Nautla, Calipa, Sta. Ana, Bca. Fernández, Juchique, Platanar, Actopan, La Antigua, Jamapa, Higueras del Pato.</t>
  </si>
  <si>
    <t>Veracruz y Puebla.</t>
  </si>
  <si>
    <t>CUENCA DEL RÍO PAPALOAPAN</t>
  </si>
  <si>
    <t>Veracruz, Oaxaca y Puebla.</t>
  </si>
  <si>
    <t>GOLFO SUR</t>
  </si>
  <si>
    <t>Veracruz, Tabasco y Oaxaca.</t>
  </si>
  <si>
    <t>SISTEMA GRIJALVA USUMACINTA</t>
  </si>
  <si>
    <t>PENINSULA DE YUCATAN</t>
  </si>
  <si>
    <t>Chumpan, San Pedro, Candelaria, Champotón, Hondo.</t>
  </si>
  <si>
    <t>Yucatán, Campeche, Tabasco y Quintana Roo.</t>
  </si>
  <si>
    <t>CUENCAS CERRADAS DEL NORTE (ZONA NORTE)</t>
  </si>
  <si>
    <t>Bravo, Casas Grandes, Sta. María, El carmen.</t>
  </si>
  <si>
    <t>Chihuahua, Texas (USA), New México (USA).</t>
  </si>
  <si>
    <t>BOLSON DE MAPIMÍ</t>
  </si>
  <si>
    <t>No se tiene datos por no existir corrientes superficiales de importancia.</t>
  </si>
  <si>
    <t>CUENCAS CERRADAS DEL NORTE (ZONA SUR)</t>
  </si>
  <si>
    <t>Nazas, Aguanaval.</t>
  </si>
  <si>
    <t>Durango, Zacatecas y Coahuila.</t>
  </si>
  <si>
    <t>EL SALADO</t>
  </si>
  <si>
    <t>Alaquines, San Luis Potosí.</t>
  </si>
  <si>
    <t>San Luis Potosí, Nuevo león, Zacatatecas, Tamaulipas.</t>
  </si>
  <si>
    <t>DURANGO</t>
  </si>
  <si>
    <t>Ríos: San Pedro, Cuatimapé. Afluentes: La Sauceda, El Tunal, Coapanco, Santiago, Poanas, Suchil.</t>
  </si>
  <si>
    <t>Durango y Zacatecas.</t>
  </si>
  <si>
    <t>CUENCAS DE CUITZEO Y PATZCUARO.</t>
  </si>
  <si>
    <t>Río Queréndaro.</t>
  </si>
  <si>
    <t>Michoacán.</t>
  </si>
  <si>
    <t>VELLE DE MÉXICO</t>
  </si>
  <si>
    <t>Sordo, Cuautitlán, Tlalnepantla, Churubusco, de la Magdalena.</t>
  </si>
  <si>
    <t>México, Distrito Federal.</t>
  </si>
  <si>
    <t>CUENCA DEL RÍO METZTITLÁN</t>
  </si>
  <si>
    <t>Río Metztitlán.</t>
  </si>
  <si>
    <t>Hidalgo.</t>
  </si>
  <si>
    <t>VALLE DEL ORIENTAL, LIBRES Y EL SECO</t>
  </si>
  <si>
    <t>MÉTODO DE ENVOLVENTES DE CREAGER</t>
  </si>
  <si>
    <t>Región</t>
  </si>
  <si>
    <t>MÉTODO DE ENVOLVENTES DE LOWRY</t>
  </si>
  <si>
    <t>La introducción de datos se hará solamente en las celdas de color gris</t>
  </si>
  <si>
    <t>6.-</t>
  </si>
  <si>
    <t>Para el cálculo de Ce, elegir el tipo de suelo que se presenta en la cuenca. (A,B,C ó NP) e</t>
  </si>
  <si>
    <t>SIGMA Y</t>
  </si>
  <si>
    <t>Adim</t>
  </si>
  <si>
    <t>Gasto</t>
  </si>
  <si>
    <t>Máxima</t>
  </si>
  <si>
    <t>Area:</t>
  </si>
  <si>
    <t>X</t>
  </si>
  <si>
    <t>Gráfica</t>
  </si>
  <si>
    <t>c</t>
  </si>
  <si>
    <t>a2 + b2</t>
  </si>
  <si>
    <t>b2</t>
  </si>
  <si>
    <t>b</t>
  </si>
  <si>
    <t>max</t>
  </si>
  <si>
    <t>min</t>
  </si>
  <si>
    <t>d al cuadrado (a2)</t>
  </si>
  <si>
    <t>tirante max seccion</t>
  </si>
  <si>
    <t>tirante max</t>
  </si>
  <si>
    <t>tirante min</t>
  </si>
  <si>
    <t>tirante eval</t>
  </si>
  <si>
    <t>tir max</t>
  </si>
  <si>
    <t>tir 2</t>
  </si>
  <si>
    <t>tir 1</t>
  </si>
  <si>
    <t>d2-d1</t>
  </si>
  <si>
    <t>diferencia con tir max</t>
  </si>
  <si>
    <t>tirante maximo</t>
  </si>
  <si>
    <t>tirante max de h1 y h2</t>
  </si>
  <si>
    <t>ancho</t>
  </si>
  <si>
    <t>Profundidad (m)</t>
  </si>
  <si>
    <t>Distancia (m)</t>
  </si>
  <si>
    <t>Estación</t>
  </si>
  <si>
    <t>Perímetro (m) =</t>
  </si>
  <si>
    <t>Area</t>
  </si>
  <si>
    <t>son triang</t>
  </si>
  <si>
    <t>triangulo2</t>
  </si>
  <si>
    <t>triangulo1</t>
  </si>
  <si>
    <t xml:space="preserve"> d final</t>
  </si>
  <si>
    <t>se calcula</t>
  </si>
  <si>
    <t>Perímetro mojado (m):</t>
  </si>
  <si>
    <t>Tirante máximo (m):</t>
  </si>
  <si>
    <r>
      <t>Area (m</t>
    </r>
    <r>
      <rPr>
        <b/>
        <vertAlign val="superscript"/>
        <sz val="12"/>
        <color indexed="8"/>
        <rFont val="Cambria"/>
        <family val="1"/>
      </rPr>
      <t>2</t>
    </r>
    <r>
      <rPr>
        <b/>
        <sz val="12"/>
        <color indexed="8"/>
        <rFont val="Cambria"/>
        <family val="1"/>
      </rPr>
      <t>):</t>
    </r>
  </si>
  <si>
    <r>
      <t>m</t>
    </r>
    <r>
      <rPr>
        <b/>
        <vertAlign val="superscript"/>
        <sz val="12"/>
        <color indexed="9"/>
        <rFont val="Cambria"/>
        <family val="1"/>
      </rPr>
      <t>2</t>
    </r>
  </si>
  <si>
    <t>DATOS DEL LEVANTAMIENTO</t>
  </si>
  <si>
    <r>
      <t>m</t>
    </r>
    <r>
      <rPr>
        <b/>
        <vertAlign val="superscript"/>
        <sz val="12"/>
        <color indexed="8"/>
        <rFont val="Cambria"/>
        <family val="1"/>
      </rPr>
      <t>2</t>
    </r>
  </si>
  <si>
    <r>
      <t>A (m</t>
    </r>
    <r>
      <rPr>
        <b/>
        <vertAlign val="superscript"/>
        <sz val="12"/>
        <rFont val="Cambria"/>
        <family val="1"/>
      </rPr>
      <t>2</t>
    </r>
    <r>
      <rPr>
        <b/>
        <sz val="12"/>
        <rFont val="Cambria"/>
        <family val="1"/>
      </rPr>
      <t>)</t>
    </r>
  </si>
  <si>
    <r>
      <t>Q (m</t>
    </r>
    <r>
      <rPr>
        <b/>
        <vertAlign val="superscript"/>
        <sz val="12"/>
        <rFont val="Cambria"/>
        <family val="1"/>
      </rPr>
      <t>3</t>
    </r>
    <r>
      <rPr>
        <b/>
        <sz val="12"/>
        <rFont val="Cambria"/>
        <family val="1"/>
      </rPr>
      <t>/s)</t>
    </r>
  </si>
  <si>
    <r>
      <t>km</t>
    </r>
    <r>
      <rPr>
        <vertAlign val="superscript"/>
        <sz val="12"/>
        <rFont val="Cambria"/>
        <family val="1"/>
      </rPr>
      <t>2</t>
    </r>
  </si>
  <si>
    <r>
      <t>m</t>
    </r>
    <r>
      <rPr>
        <vertAlign val="superscript"/>
        <sz val="12"/>
        <rFont val="Cambria"/>
        <family val="1"/>
      </rPr>
      <t>3</t>
    </r>
    <r>
      <rPr>
        <sz val="12"/>
        <rFont val="Cambria"/>
        <family val="1"/>
      </rPr>
      <t>/s/km</t>
    </r>
    <r>
      <rPr>
        <vertAlign val="superscript"/>
        <sz val="12"/>
        <rFont val="Cambria"/>
        <family val="1"/>
      </rPr>
      <t>2</t>
    </r>
  </si>
  <si>
    <r>
      <t>m</t>
    </r>
    <r>
      <rPr>
        <vertAlign val="superscript"/>
        <sz val="12"/>
        <rFont val="Cambria"/>
        <family val="1"/>
      </rPr>
      <t>3</t>
    </r>
    <r>
      <rPr>
        <sz val="12"/>
        <rFont val="Cambria"/>
        <family val="1"/>
      </rPr>
      <t>/s</t>
    </r>
  </si>
  <si>
    <r>
      <rPr>
        <b/>
        <i/>
        <u/>
        <sz val="12"/>
        <color indexed="8"/>
        <rFont val="Cambria"/>
        <family val="1"/>
      </rPr>
      <t>Río Santiago y sus Afluentes:</t>
    </r>
    <r>
      <rPr>
        <u/>
        <sz val="12"/>
        <color indexed="8"/>
        <rFont val="Cambria"/>
        <family val="1"/>
      </rPr>
      <t xml:space="preserve"> </t>
    </r>
    <r>
      <rPr>
        <sz val="12"/>
        <color indexed="8"/>
        <rFont val="Cambria"/>
        <family val="1"/>
      </rPr>
      <t>Verde, Juchipilo, Bolaños, Huaynomota.</t>
    </r>
  </si>
  <si>
    <r>
      <rPr>
        <b/>
        <i/>
        <u/>
        <sz val="12"/>
        <color indexed="8"/>
        <rFont val="Cambria"/>
        <family val="1"/>
      </rPr>
      <t>Río Lerma Y sus Afluentes:</t>
    </r>
    <r>
      <rPr>
        <sz val="12"/>
        <color indexed="8"/>
        <rFont val="Cambria"/>
        <family val="1"/>
      </rPr>
      <t xml:space="preserve"> Otzolotepec, Tepetitlán, Tarandacuao, Tigres, La Laja, Guanajuato, Silao, Turbio, Duero. </t>
    </r>
    <r>
      <rPr>
        <b/>
        <i/>
        <u/>
        <sz val="12"/>
        <color indexed="8"/>
        <rFont val="Cambria"/>
        <family val="1"/>
      </rPr>
      <t>Lago de Chapala y sus Afluentes:</t>
    </r>
    <r>
      <rPr>
        <sz val="12"/>
        <color indexed="8"/>
        <rFont val="Cambria"/>
        <family val="1"/>
      </rPr>
      <t xml:space="preserve"> Sahuayo, La Pasión, Zula.</t>
    </r>
  </si>
  <si>
    <r>
      <rPr>
        <b/>
        <i/>
        <u/>
        <sz val="12"/>
        <color indexed="8"/>
        <rFont val="Cambria"/>
        <family val="1"/>
      </rPr>
      <t>Río Balsas y sus Afluentes:</t>
    </r>
    <r>
      <rPr>
        <sz val="12"/>
        <color indexed="8"/>
        <rFont val="Cambria"/>
        <family val="1"/>
      </rPr>
      <t xml:space="preserve"> Ajuchitlán, Alahuixtlán, Cutzamala, Tacámbaro, Tepalcatepec.</t>
    </r>
  </si>
  <si>
    <r>
      <rPr>
        <b/>
        <i/>
        <u/>
        <sz val="12"/>
        <color indexed="8"/>
        <rFont val="Cambria"/>
        <family val="1"/>
      </rPr>
      <t>Río Balsas y sus Afluentes:</t>
    </r>
    <r>
      <rPr>
        <sz val="12"/>
        <color indexed="8"/>
        <rFont val="Cambria"/>
        <family val="1"/>
      </rPr>
      <t xml:space="preserve"> Atoyac, Mixteco, Tlapanaco, Amacuzac, Tepecoacuilco, Cocula.</t>
    </r>
  </si>
  <si>
    <r>
      <rPr>
        <b/>
        <i/>
        <u/>
        <sz val="12"/>
        <color indexed="8"/>
        <rFont val="Cambria"/>
        <family val="1"/>
      </rPr>
      <t>Ríos:</t>
    </r>
    <r>
      <rPr>
        <sz val="12"/>
        <color indexed="8"/>
        <rFont val="Cambria"/>
        <family val="1"/>
      </rPr>
      <t xml:space="preserve"> Papaloapan, Usila, Blanco. </t>
    </r>
    <r>
      <rPr>
        <b/>
        <u/>
        <sz val="12"/>
        <color indexed="8"/>
        <rFont val="Cambria"/>
        <family val="1"/>
      </rPr>
      <t>Afluentes:</t>
    </r>
    <r>
      <rPr>
        <sz val="12"/>
        <color indexed="8"/>
        <rFont val="Cambria"/>
        <family val="1"/>
      </rPr>
      <t xml:space="preserve"> San Juan Evangelista, Tesechoacan, Valle Nacional, Sto. Dmingo, Tonto.</t>
    </r>
  </si>
  <si>
    <r>
      <rPr>
        <b/>
        <i/>
        <u/>
        <sz val="12"/>
        <color indexed="8"/>
        <rFont val="Cambria"/>
        <family val="1"/>
      </rPr>
      <t>Ríos:</t>
    </r>
    <r>
      <rPr>
        <sz val="12"/>
        <color indexed="8"/>
        <rFont val="Cambria"/>
        <family val="1"/>
      </rPr>
      <t xml:space="preserve"> Papaloapan, Usila, Coatzacoalcos, Tonalá.</t>
    </r>
  </si>
  <si>
    <r>
      <rPr>
        <b/>
        <i/>
        <u/>
        <sz val="12"/>
        <color indexed="8"/>
        <rFont val="Cambria"/>
        <family val="1"/>
      </rPr>
      <t>Ríos:</t>
    </r>
    <r>
      <rPr>
        <sz val="12"/>
        <color indexed="8"/>
        <rFont val="Cambria"/>
        <family val="1"/>
      </rPr>
      <t xml:space="preserve"> Cintal, Soyatengo, Grijalva, Usumacinta.</t>
    </r>
  </si>
  <si>
    <t>PENDIENTE, COEFICIENTE DE RUGOSIDAD Y GASTO MÁXIMO</t>
  </si>
  <si>
    <t>MÉTODO RACIONAL</t>
  </si>
  <si>
    <t>MÉTODO RACIONAL MODIFICADO</t>
  </si>
  <si>
    <t>MÉTODO ENVOLVENTE DE CREAGER</t>
  </si>
  <si>
    <t>MÉTODO ENVOLVENTE DE LOWRY</t>
  </si>
  <si>
    <t>MÉTODO</t>
  </si>
  <si>
    <t>RESUMEN DE RESULTADOS DE GASTOS MÁXIMOS</t>
  </si>
  <si>
    <r>
      <t>GASTO (m</t>
    </r>
    <r>
      <rPr>
        <b/>
        <vertAlign val="superscript"/>
        <sz val="12"/>
        <color indexed="9"/>
        <rFont val="Cambria"/>
        <family val="1"/>
      </rPr>
      <t>3</t>
    </r>
    <r>
      <rPr>
        <b/>
        <sz val="12"/>
        <color indexed="9"/>
        <rFont val="Cambria"/>
        <family val="1"/>
      </rPr>
      <t>/s)</t>
    </r>
  </si>
  <si>
    <t>Cubierto del 25 al 50%</t>
  </si>
  <si>
    <t>NOTA: LOS PUNTOS DONDE SE REQUIERE LA INTERVENSIÓN DEL USUARIO ESTAN DE COLOR GRIS, EN LOS APARTADOS CORRRESPONDIENTES DE DATOS DE PRECIPITACIÓN O EN "DATOS", DE CADA UNO DE LOS TEMAS</t>
  </si>
  <si>
    <t>La introducción de datos se hará solamente en las celdas de color gris.</t>
  </si>
  <si>
    <t>En el apartado de Precipitación media se ha de introducir el nombre de la estación climatológica de donde se obtuvieron los datos y de igual manera se introducen los datos de  de precipitación máxima en 24 horas.</t>
  </si>
  <si>
    <t>Los datos de precipitación máxima en 24 horas, se utilizarán en el Método de Racional Modificado.</t>
  </si>
  <si>
    <t>Para los métodos de Creager y Lowry introducir el nombre la resgión hidrológica donde se localiza el sitio de estudio, basarse en el cuadro de regiones hidrológicas que se encuentra bajo la tabla de datos en la misma hoja.</t>
  </si>
  <si>
    <r>
      <t>Tiempo de concentración (t</t>
    </r>
    <r>
      <rPr>
        <b/>
        <vertAlign val="subscript"/>
        <sz val="12"/>
        <color indexed="8"/>
        <rFont val="Cambria"/>
        <family val="1"/>
      </rPr>
      <t>c</t>
    </r>
    <r>
      <rPr>
        <b/>
        <sz val="12"/>
        <color indexed="8"/>
        <rFont val="Cambria"/>
        <family val="1"/>
      </rPr>
      <t>)</t>
    </r>
  </si>
  <si>
    <t>M É T O D O  R A C I O N A L  M O D  I F I C A D O</t>
  </si>
  <si>
    <t>MÉTODO DE HUELLAS MÁXIMAS</t>
  </si>
  <si>
    <r>
      <t>Gasto máximo (m</t>
    </r>
    <r>
      <rPr>
        <b/>
        <vertAlign val="superscript"/>
        <sz val="12"/>
        <color indexed="9"/>
        <rFont val="Cambria"/>
        <family val="1"/>
      </rPr>
      <t>3</t>
    </r>
    <r>
      <rPr>
        <b/>
        <sz val="12"/>
        <color indexed="9"/>
        <rFont val="Cambria"/>
        <family val="1"/>
      </rPr>
      <t>/s)</t>
    </r>
  </si>
  <si>
    <t>M É T O D O    D E    L AS    H U E L L A S    M Á X I M A S</t>
  </si>
  <si>
    <t>Prof de huella máxima (m):</t>
  </si>
  <si>
    <r>
      <t xml:space="preserve">En el caso del método de sección-pendiente, introducir los datos de la sección transversal, iniciando con la estación 1 con distancia 0 (cero) y profundidad 0 (cero), después se capturan los valores intermedios y cerrar con la última estación con profundidad igual a cero (h = 0 metros). </t>
    </r>
    <r>
      <rPr>
        <b/>
        <sz val="10"/>
        <color indexed="15"/>
        <rFont val="Cambria"/>
        <family val="1"/>
      </rPr>
      <t>El valor de la profundidad de la huella máxima, es el valor del tirante medido a partir del fondo del cauce hasta la huella máxima en cualquiera de las márgenes de la sección, mediante esta profundidad se calcula el área y el perímetro mojado, en caso de que el levantamiento llegue hasta la huella máxima, el tirante máximo debe ser igual a la profundidad de la huella máxima.</t>
    </r>
    <r>
      <rPr>
        <b/>
        <sz val="10"/>
        <color indexed="9"/>
        <rFont val="Cambria"/>
        <family val="1"/>
      </rPr>
      <t xml:space="preserve"> Posteriormente, en la hoja siguiente, introducir el valor de la pendiente y el tipo de material de la sección. </t>
    </r>
  </si>
  <si>
    <t>Sección transversal</t>
  </si>
  <si>
    <t>Huella máxima</t>
  </si>
  <si>
    <t>Fondo del cauce</t>
  </si>
  <si>
    <t>PIÑA</t>
  </si>
  <si>
    <t>PALMA, CACAO, CAFÉ</t>
  </si>
  <si>
    <t>Erosión actual (t/ha)</t>
  </si>
  <si>
    <t>CACAHUATE</t>
  </si>
  <si>
    <t>ALGODÓN, TABACO</t>
  </si>
  <si>
    <t>Factor P Ponderado</t>
  </si>
  <si>
    <t>ARROZ</t>
  </si>
  <si>
    <t>MAIZ-SORGO MIJO</t>
  </si>
  <si>
    <t>SABANA SOBREPASTOREADA</t>
  </si>
  <si>
    <t>Factor P</t>
  </si>
  <si>
    <t>SABANA EN BUENAS CONDICIONES</t>
  </si>
  <si>
    <t>Area 5</t>
  </si>
  <si>
    <t>Area 4</t>
  </si>
  <si>
    <t>Area 3</t>
  </si>
  <si>
    <t>Area 2</t>
  </si>
  <si>
    <t>Area 1</t>
  </si>
  <si>
    <t>BOSQUE NATURAL</t>
  </si>
  <si>
    <t>TRIGO RASTROJO</t>
  </si>
  <si>
    <t>TRIGO</t>
  </si>
  <si>
    <t>Terrazas de Zing</t>
  </si>
  <si>
    <t>SOYA DESPUES DE MAÍZ C/RASTROJO</t>
  </si>
  <si>
    <t>Factor C Ponderado</t>
  </si>
  <si>
    <t>Ripper</t>
  </si>
  <si>
    <t>SOYA</t>
  </si>
  <si>
    <t>Surcado lister</t>
  </si>
  <si>
    <t>SORGO GRANO RASTROJO</t>
  </si>
  <si>
    <t>Terrazas de Banco en contrapendiente</t>
  </si>
  <si>
    <t>SORGO GRANO</t>
  </si>
  <si>
    <t>Factor C</t>
  </si>
  <si>
    <t xml:space="preserve">Terrazas de Banco </t>
  </si>
  <si>
    <t>TREBOL</t>
  </si>
  <si>
    <t>Terrazas (mayor de 13 %)</t>
  </si>
  <si>
    <t>ALFALFA</t>
  </si>
  <si>
    <t>Terrazas (7-13 % de pendiente)</t>
  </si>
  <si>
    <t>PASTIZAL</t>
  </si>
  <si>
    <t>Terrazas (2-7 % de pendiente)</t>
  </si>
  <si>
    <t>ALGODON</t>
  </si>
  <si>
    <t>Franjas al contorno*</t>
  </si>
  <si>
    <t>MAIZ RASTROJO</t>
  </si>
  <si>
    <t>Surcos rectos</t>
  </si>
  <si>
    <t>MAIZ LC</t>
  </si>
  <si>
    <t>Surcado al contorno</t>
  </si>
  <si>
    <t>MAIZ</t>
  </si>
  <si>
    <t>Erosión Potencial (t/ha)</t>
  </si>
  <si>
    <t>Codigo de eficiencia</t>
  </si>
  <si>
    <t>Código Nivel de Productividad</t>
  </si>
  <si>
    <t>Mínimo</t>
  </si>
  <si>
    <t>BAJO</t>
  </si>
  <si>
    <t>MODERADO</t>
  </si>
  <si>
    <t>ALTO</t>
  </si>
  <si>
    <t>Valor de P</t>
  </si>
  <si>
    <t xml:space="preserve">Práctica </t>
  </si>
  <si>
    <t>Código Práctica</t>
  </si>
  <si>
    <t>NIVEL PROD.</t>
  </si>
  <si>
    <t>CULTIVO</t>
  </si>
  <si>
    <t>Código cultivo</t>
  </si>
  <si>
    <t>LS Ponderado</t>
  </si>
  <si>
    <t>Practicas de conservación</t>
  </si>
  <si>
    <t>LS</t>
  </si>
  <si>
    <t>S (%)</t>
  </si>
  <si>
    <t>Cota final (Hf) (m)</t>
  </si>
  <si>
    <t>Cota inicial (Hi) (m)</t>
  </si>
  <si>
    <t>Area (ha)</t>
  </si>
  <si>
    <t>Arcilla</t>
  </si>
  <si>
    <t>Ancho del predio (m)</t>
  </si>
  <si>
    <t>Arcillo limosa</t>
  </si>
  <si>
    <t>Largo del predio (m)</t>
  </si>
  <si>
    <t>Arcillo arenosa</t>
  </si>
  <si>
    <t>Migajón arcillo limosa</t>
  </si>
  <si>
    <t>Factor LS</t>
  </si>
  <si>
    <t>Migajón arcillosa</t>
  </si>
  <si>
    <t>Migajón arcillo arenosa</t>
  </si>
  <si>
    <t>Limo</t>
  </si>
  <si>
    <t>Migajón limoso</t>
  </si>
  <si>
    <t>Migajón</t>
  </si>
  <si>
    <t>K Ponderado</t>
  </si>
  <si>
    <t>Migajón arenosa muy fina</t>
  </si>
  <si>
    <t>Migajón arenosa fina</t>
  </si>
  <si>
    <t>Migajón arenosa</t>
  </si>
  <si>
    <t>Factor K</t>
  </si>
  <si>
    <t>Arena muy fina migajosa</t>
  </si>
  <si>
    <t>Superficie (ha)</t>
  </si>
  <si>
    <t>Arena fina migajosa</t>
  </si>
  <si>
    <t>Cultivo</t>
  </si>
  <si>
    <t>Matorral</t>
  </si>
  <si>
    <t>Bosque</t>
  </si>
  <si>
    <t>Arena migajosa</t>
  </si>
  <si>
    <t>Uso del suelo</t>
  </si>
  <si>
    <t>Arena muy fina</t>
  </si>
  <si>
    <t>Arena fina</t>
  </si>
  <si>
    <t>Arena</t>
  </si>
  <si>
    <t>R</t>
  </si>
  <si>
    <t>Cod MO</t>
  </si>
  <si>
    <t>Codigo Textura</t>
  </si>
  <si>
    <t>2.0 - 4.0</t>
  </si>
  <si>
    <t>0.5 - 2.0</t>
  </si>
  <si>
    <t>0.0 - 0.5</t>
  </si>
  <si>
    <t>% de materia orgánica</t>
  </si>
  <si>
    <t>Textura</t>
  </si>
  <si>
    <t>a</t>
  </si>
  <si>
    <t>Factor R</t>
  </si>
  <si>
    <t xml:space="preserve">E potencial = R K L S </t>
  </si>
  <si>
    <t>E = R K L S C P</t>
  </si>
  <si>
    <t>ESTIMACIÓN DE SEDIMENTOS</t>
  </si>
  <si>
    <t xml:space="preserve">PARÁMETROS </t>
  </si>
  <si>
    <r>
      <t xml:space="preserve">E actual = R K L S  </t>
    </r>
    <r>
      <rPr>
        <b/>
        <sz val="12"/>
        <color indexed="10"/>
        <rFont val="Cambria"/>
        <family val="1"/>
      </rPr>
      <t>(C P)</t>
    </r>
    <r>
      <rPr>
        <b/>
        <sz val="12"/>
        <rFont val="Cambria"/>
        <family val="1"/>
      </rPr>
      <t xml:space="preserve">  (Factores de manejo)</t>
    </r>
  </si>
  <si>
    <r>
      <t>Textura (</t>
    </r>
    <r>
      <rPr>
        <i/>
        <sz val="12"/>
        <rFont val="Cambria"/>
        <family val="1"/>
      </rPr>
      <t>Seleccione el codigo que corresponda a la textura del suelo</t>
    </r>
    <r>
      <rPr>
        <b/>
        <sz val="12"/>
        <rFont val="Cambria"/>
        <family val="1"/>
      </rPr>
      <t>)</t>
    </r>
  </si>
  <si>
    <r>
      <t>Código de materia Orgánica (</t>
    </r>
    <r>
      <rPr>
        <i/>
        <sz val="12"/>
        <rFont val="Cambria"/>
        <family val="1"/>
      </rPr>
      <t>Seleccione el codigo que corresponda al contenido de materia orgánica</t>
    </r>
    <r>
      <rPr>
        <b/>
        <sz val="12"/>
        <rFont val="Cambria"/>
        <family val="1"/>
      </rPr>
      <t>)</t>
    </r>
  </si>
  <si>
    <t>Área</t>
  </si>
  <si>
    <t>Área 1</t>
  </si>
  <si>
    <t>Área 2</t>
  </si>
  <si>
    <t>Área 3</t>
  </si>
  <si>
    <t>Área 4</t>
  </si>
  <si>
    <t>Área 5</t>
  </si>
  <si>
    <t>La información necesaria para el cálculo de erosión se ingresan en las celdas marcadas en gris y los resultados están en color canela.</t>
  </si>
  <si>
    <r>
      <t>Cultivo</t>
    </r>
    <r>
      <rPr>
        <sz val="12"/>
        <rFont val="Cambria"/>
        <family val="1"/>
      </rPr>
      <t xml:space="preserve"> </t>
    </r>
    <r>
      <rPr>
        <sz val="10"/>
        <rFont val="Cambria"/>
        <family val="1"/>
      </rPr>
      <t>(</t>
    </r>
    <r>
      <rPr>
        <b/>
        <i/>
        <sz val="10"/>
        <rFont val="Cambria"/>
        <family val="1"/>
      </rPr>
      <t>Seleccione el código que corresponda al cultivo</t>
    </r>
    <r>
      <rPr>
        <sz val="10"/>
        <rFont val="Cambria"/>
        <family val="1"/>
      </rPr>
      <t>)</t>
    </r>
  </si>
  <si>
    <r>
      <t>Productividad</t>
    </r>
    <r>
      <rPr>
        <sz val="10"/>
        <rFont val="Cambria"/>
        <family val="1"/>
      </rPr>
      <t xml:space="preserve"> (</t>
    </r>
    <r>
      <rPr>
        <b/>
        <i/>
        <sz val="10"/>
        <rFont val="Cambria"/>
        <family val="1"/>
      </rPr>
      <t>Seleccione el código que corresponda al nivel de productividad</t>
    </r>
    <r>
      <rPr>
        <sz val="10"/>
        <rFont val="Cambria"/>
        <family val="1"/>
      </rPr>
      <t>)</t>
    </r>
  </si>
  <si>
    <r>
      <t>Práctica</t>
    </r>
    <r>
      <rPr>
        <sz val="12"/>
        <rFont val="Cambria"/>
        <family val="1"/>
      </rPr>
      <t xml:space="preserve"> </t>
    </r>
    <r>
      <rPr>
        <sz val="10"/>
        <rFont val="Cambria"/>
        <family val="1"/>
      </rPr>
      <t>(</t>
    </r>
    <r>
      <rPr>
        <b/>
        <i/>
        <sz val="10"/>
        <rFont val="Cambria"/>
        <family val="1"/>
      </rPr>
      <t>Seleccione el código que corresponda a la práctica</t>
    </r>
    <r>
      <rPr>
        <sz val="10"/>
        <rFont val="Cambria"/>
        <family val="1"/>
      </rPr>
      <t>)</t>
    </r>
  </si>
  <si>
    <r>
      <t>Eficiencia</t>
    </r>
    <r>
      <rPr>
        <sz val="12"/>
        <rFont val="Cambria"/>
        <family val="1"/>
      </rPr>
      <t xml:space="preserve"> </t>
    </r>
    <r>
      <rPr>
        <sz val="10"/>
        <rFont val="Cambria"/>
        <family val="1"/>
      </rPr>
      <t>(</t>
    </r>
    <r>
      <rPr>
        <b/>
        <i/>
        <sz val="10"/>
        <rFont val="Cambria"/>
        <family val="1"/>
      </rPr>
      <t>Seleccione el código que corresponda a la eficiencia de la práctica</t>
    </r>
    <r>
      <rPr>
        <sz val="10"/>
        <rFont val="Cambria"/>
        <family val="1"/>
      </rPr>
      <t>)</t>
    </r>
  </si>
  <si>
    <r>
      <t>Región</t>
    </r>
    <r>
      <rPr>
        <b/>
        <sz val="10"/>
        <rFont val="Cambria"/>
        <family val="1"/>
      </rPr>
      <t xml:space="preserve"> (</t>
    </r>
    <r>
      <rPr>
        <b/>
        <i/>
        <sz val="10"/>
        <rFont val="Cambria"/>
        <family val="1"/>
      </rPr>
      <t>En el mapa seleccione la región que corresponda</t>
    </r>
    <r>
      <rPr>
        <b/>
        <sz val="10"/>
        <rFont val="Cambria"/>
        <family val="1"/>
      </rPr>
      <t>)</t>
    </r>
  </si>
  <si>
    <t>Ecuaciones de regresión para el cálculo de R</t>
  </si>
  <si>
    <t>Ecuación</t>
  </si>
  <si>
    <r>
      <t>R</t>
    </r>
    <r>
      <rPr>
        <b/>
        <vertAlign val="superscript"/>
        <sz val="10"/>
        <color indexed="9"/>
        <rFont val="Cambria"/>
        <family val="1"/>
      </rPr>
      <t>2</t>
    </r>
  </si>
  <si>
    <r>
      <t>R = 1.2078P + 0.002276P</t>
    </r>
    <r>
      <rPr>
        <vertAlign val="superscript"/>
        <sz val="10"/>
        <color indexed="9"/>
        <rFont val="Cambria"/>
        <family val="1"/>
      </rPr>
      <t>2</t>
    </r>
  </si>
  <si>
    <r>
      <t>R = 3.4555P + 0.006470P</t>
    </r>
    <r>
      <rPr>
        <vertAlign val="superscript"/>
        <sz val="10"/>
        <color indexed="9"/>
        <rFont val="Cambria"/>
        <family val="1"/>
      </rPr>
      <t>2</t>
    </r>
  </si>
  <si>
    <r>
      <t>R = 3.6752P - 0.001720P</t>
    </r>
    <r>
      <rPr>
        <vertAlign val="superscript"/>
        <sz val="10"/>
        <color indexed="9"/>
        <rFont val="Cambria"/>
        <family val="1"/>
      </rPr>
      <t>2</t>
    </r>
  </si>
  <si>
    <r>
      <t>R = 2.8559P + 0.002983P</t>
    </r>
    <r>
      <rPr>
        <vertAlign val="superscript"/>
        <sz val="10"/>
        <color indexed="9"/>
        <rFont val="Cambria"/>
        <family val="1"/>
      </rPr>
      <t>2</t>
    </r>
  </si>
  <si>
    <r>
      <t>R = 3.4880P - 0.00088P</t>
    </r>
    <r>
      <rPr>
        <vertAlign val="superscript"/>
        <sz val="10"/>
        <color indexed="9"/>
        <rFont val="Cambria"/>
        <family val="1"/>
      </rPr>
      <t>2</t>
    </r>
  </si>
  <si>
    <r>
      <t>R = 6.6847P + 0.001680P</t>
    </r>
    <r>
      <rPr>
        <vertAlign val="superscript"/>
        <sz val="10"/>
        <color indexed="9"/>
        <rFont val="Cambria"/>
        <family val="1"/>
      </rPr>
      <t>2</t>
    </r>
  </si>
  <si>
    <r>
      <t>R = -0.0334P + 0.006661P</t>
    </r>
    <r>
      <rPr>
        <vertAlign val="superscript"/>
        <sz val="10"/>
        <color indexed="9"/>
        <rFont val="Cambria"/>
        <family val="1"/>
      </rPr>
      <t>2</t>
    </r>
  </si>
  <si>
    <r>
      <t>R = 1.9967P + 0.003270P</t>
    </r>
    <r>
      <rPr>
        <vertAlign val="superscript"/>
        <sz val="10"/>
        <color indexed="9"/>
        <rFont val="Cambria"/>
        <family val="1"/>
      </rPr>
      <t>2</t>
    </r>
  </si>
  <si>
    <r>
      <t>R = 7.0458P - 0.002096P</t>
    </r>
    <r>
      <rPr>
        <vertAlign val="superscript"/>
        <sz val="10"/>
        <color indexed="9"/>
        <rFont val="Cambria"/>
        <family val="1"/>
      </rPr>
      <t>2</t>
    </r>
  </si>
  <si>
    <r>
      <t>R = 6.8938P + 0.000442P</t>
    </r>
    <r>
      <rPr>
        <vertAlign val="superscript"/>
        <sz val="10"/>
        <color indexed="9"/>
        <rFont val="Cambria"/>
        <family val="1"/>
      </rPr>
      <t>2</t>
    </r>
  </si>
  <si>
    <r>
      <t>R = 3.7745P + 0.004540P</t>
    </r>
    <r>
      <rPr>
        <vertAlign val="superscript"/>
        <sz val="10"/>
        <color indexed="9"/>
        <rFont val="Cambria"/>
        <family val="1"/>
      </rPr>
      <t>2</t>
    </r>
  </si>
  <si>
    <r>
      <t>R = 2.4619P + 0.006067P</t>
    </r>
    <r>
      <rPr>
        <vertAlign val="superscript"/>
        <sz val="10"/>
        <color indexed="9"/>
        <rFont val="Cambria"/>
        <family val="1"/>
      </rPr>
      <t>2</t>
    </r>
  </si>
  <si>
    <r>
      <t>R = 10.7427P - 0.00108P</t>
    </r>
    <r>
      <rPr>
        <vertAlign val="superscript"/>
        <sz val="10"/>
        <color indexed="9"/>
        <rFont val="Cambria"/>
        <family val="1"/>
      </rPr>
      <t>2</t>
    </r>
  </si>
  <si>
    <r>
      <t>R = 1.5005P + 0.002640P</t>
    </r>
    <r>
      <rPr>
        <vertAlign val="superscript"/>
        <sz val="10"/>
        <color indexed="9"/>
        <rFont val="Cambria"/>
        <family val="1"/>
      </rPr>
      <t>2</t>
    </r>
  </si>
  <si>
    <t>Escenarios de manejo para la estimación de la erosión actual</t>
  </si>
  <si>
    <t>Los datos necesarios en las celdas se locolizan en los cuadros en la misma hoja.</t>
  </si>
  <si>
    <t>Se puede obtener la erosión potencial y la erosión actual introduciendo las prácticas de manejos que se tiene en la(s) parcela(s).</t>
  </si>
  <si>
    <t>Pendiente %</t>
  </si>
  <si>
    <t>&lt; 1.00</t>
  </si>
  <si>
    <t>1.00 - 3.50</t>
  </si>
  <si>
    <t>3.50 - 5.00</t>
  </si>
  <si>
    <t>5.00 - 10.0</t>
  </si>
  <si>
    <t>10.0 -20</t>
  </si>
  <si>
    <t>&gt;20</t>
  </si>
  <si>
    <t>CÁLCULO DE LA EROSIÓN (ECUACIÓN UNIVERSAL DE PÉRDIDA DE SUELO)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</si>
</sst>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_(* \(#,##0.00\);_(* &quot;-&quot;??_);_(@_)"/>
    <numFmt numFmtId="164" formatCode="_-* #,##0.00_-;\-* #,##0.00_-;_-* &quot;-&quot;??_-;_-@_-"/>
    <numFmt numFmtId="165" formatCode="0.0000"/>
    <numFmt numFmtId="166" formatCode="0.000"/>
    <numFmt numFmtId="167" formatCode="0.0"/>
    <numFmt numFmtId="168" formatCode="#,##0.0000"/>
    <numFmt numFmtId="169" formatCode="0.00\ &quot;ha&quot;"/>
    <numFmt numFmtId="170" formatCode="#,##0.000"/>
    <numFmt numFmtId="171" formatCode="0.00\ &quot;m&quot;"/>
    <numFmt numFmtId="172" formatCode="0.00\ &quot;mm/hr&quot;"/>
    <numFmt numFmtId="173" formatCode="0.00\ &quot;min&quot;"/>
    <numFmt numFmtId="174" formatCode="0.00\ &quot;m3/s&quot;"/>
    <numFmt numFmtId="175" formatCode="#,##0.00\ &quot;€&quot;;\-#,##0.00\ &quot;€&quot;"/>
    <numFmt numFmtId="176" formatCode="0.00\ &quot;km2&quot;"/>
    <numFmt numFmtId="177" formatCode="0.00\ "/>
    <numFmt numFmtId="178" formatCode="0\ &quot;% de Q&quot;"/>
    <numFmt numFmtId="179" formatCode="#,##0.00000"/>
    <numFmt numFmtId="180" formatCode="_(* #,##0_);_(* \(#,##0\);_(* &quot;-&quot;??_);_(@_)"/>
  </numFmts>
  <fonts count="64" x14ac:knownFonts="1">
    <font>
      <sz val="11"/>
      <color theme="1"/>
      <name val="Calibri"/>
      <family val="2"/>
      <scheme val="minor"/>
    </font>
    <font>
      <b/>
      <sz val="12"/>
      <color indexed="8"/>
      <name val="Cambria"/>
      <family val="1"/>
    </font>
    <font>
      <b/>
      <sz val="12"/>
      <name val="Cambria"/>
      <family val="1"/>
    </font>
    <font>
      <sz val="12"/>
      <name val="Cambria"/>
      <family val="1"/>
    </font>
    <font>
      <b/>
      <sz val="12"/>
      <color indexed="9"/>
      <name val="Cambria"/>
      <family val="1"/>
    </font>
    <font>
      <b/>
      <vertAlign val="subscript"/>
      <sz val="12"/>
      <color indexed="9"/>
      <name val="Cambria"/>
      <family val="1"/>
    </font>
    <font>
      <b/>
      <sz val="10"/>
      <color indexed="9"/>
      <name val="Cambria"/>
      <family val="1"/>
    </font>
    <font>
      <b/>
      <vertAlign val="superscript"/>
      <sz val="12"/>
      <name val="Cambria"/>
      <family val="1"/>
    </font>
    <font>
      <b/>
      <vertAlign val="superscript"/>
      <sz val="12"/>
      <color indexed="8"/>
      <name val="Cambria"/>
      <family val="1"/>
    </font>
    <font>
      <sz val="9"/>
      <color indexed="81"/>
      <name val="Tahoma"/>
      <family val="2"/>
    </font>
    <font>
      <b/>
      <sz val="9"/>
      <color indexed="81"/>
      <name val="Tahoma"/>
      <family val="2"/>
    </font>
    <font>
      <sz val="10"/>
      <name val="Arial"/>
      <family val="2"/>
    </font>
    <font>
      <vertAlign val="superscript"/>
      <sz val="12"/>
      <name val="Cambria"/>
      <family val="1"/>
    </font>
    <font>
      <b/>
      <vertAlign val="superscript"/>
      <sz val="12"/>
      <color indexed="9"/>
      <name val="Cambria"/>
      <family val="1"/>
    </font>
    <font>
      <b/>
      <i/>
      <u/>
      <sz val="12"/>
      <color indexed="8"/>
      <name val="Cambria"/>
      <family val="1"/>
    </font>
    <font>
      <u/>
      <sz val="12"/>
      <color indexed="8"/>
      <name val="Cambria"/>
      <family val="1"/>
    </font>
    <font>
      <sz val="12"/>
      <color indexed="8"/>
      <name val="Cambria"/>
      <family val="1"/>
    </font>
    <font>
      <b/>
      <u/>
      <sz val="12"/>
      <color indexed="8"/>
      <name val="Cambria"/>
      <family val="1"/>
    </font>
    <font>
      <b/>
      <vertAlign val="subscript"/>
      <sz val="12"/>
      <color indexed="8"/>
      <name val="Cambria"/>
      <family val="1"/>
    </font>
    <font>
      <b/>
      <sz val="10"/>
      <color indexed="15"/>
      <name val="Cambria"/>
      <family val="1"/>
    </font>
    <font>
      <sz val="10"/>
      <name val="Cambria"/>
      <family val="1"/>
    </font>
    <font>
      <b/>
      <sz val="10"/>
      <name val="Cambria"/>
      <family val="1"/>
    </font>
    <font>
      <b/>
      <sz val="12"/>
      <color indexed="10"/>
      <name val="Cambria"/>
      <family val="1"/>
    </font>
    <font>
      <b/>
      <i/>
      <sz val="10"/>
      <name val="Cambria"/>
      <family val="1"/>
    </font>
    <font>
      <i/>
      <sz val="12"/>
      <name val="Cambria"/>
      <family val="1"/>
    </font>
    <font>
      <b/>
      <vertAlign val="superscript"/>
      <sz val="10"/>
      <color indexed="9"/>
      <name val="Cambria"/>
      <family val="1"/>
    </font>
    <font>
      <vertAlign val="superscript"/>
      <sz val="10"/>
      <color indexed="9"/>
      <name val="Cambria"/>
      <family val="1"/>
    </font>
    <font>
      <sz val="10"/>
      <name val="Times New Roman"/>
      <family val="1"/>
    </font>
    <font>
      <sz val="11"/>
      <color theme="1"/>
      <name val="Calibri"/>
      <family val="2"/>
      <scheme val="minor"/>
    </font>
    <font>
      <u/>
      <sz val="11"/>
      <color theme="10"/>
      <name val="Calibri"/>
      <family val="2"/>
      <scheme val="minor"/>
    </font>
    <font>
      <sz val="12"/>
      <color theme="1"/>
      <name val="Cambria"/>
      <family val="1"/>
      <scheme val="major"/>
    </font>
    <font>
      <b/>
      <sz val="12"/>
      <name val="Cambria"/>
      <family val="1"/>
      <scheme val="major"/>
    </font>
    <font>
      <b/>
      <sz val="12"/>
      <color theme="1"/>
      <name val="Cambria"/>
      <family val="1"/>
      <scheme val="major"/>
    </font>
    <font>
      <sz val="11"/>
      <color theme="1"/>
      <name val="Cambria"/>
      <family val="1"/>
      <scheme val="major"/>
    </font>
    <font>
      <b/>
      <sz val="12"/>
      <color theme="0"/>
      <name val="Cambria"/>
      <family val="1"/>
      <scheme val="major"/>
    </font>
    <font>
      <sz val="12"/>
      <name val="Cambria"/>
      <family val="1"/>
      <scheme val="major"/>
    </font>
    <font>
      <sz val="12"/>
      <color theme="0"/>
      <name val="Cambria"/>
      <family val="1"/>
      <scheme val="major"/>
    </font>
    <font>
      <b/>
      <i/>
      <sz val="12"/>
      <name val="Cambria"/>
      <family val="1"/>
      <scheme val="major"/>
    </font>
    <font>
      <b/>
      <sz val="14"/>
      <color rgb="FF00FFFF"/>
      <name val="Calibri"/>
      <family val="2"/>
      <scheme val="minor"/>
    </font>
    <font>
      <b/>
      <sz val="14"/>
      <color theme="0"/>
      <name val="Cambria"/>
      <family val="1"/>
      <scheme val="major"/>
    </font>
    <font>
      <sz val="14"/>
      <color theme="0"/>
      <name val="Cambria"/>
      <family val="1"/>
      <scheme val="major"/>
    </font>
    <font>
      <b/>
      <sz val="10"/>
      <color theme="0"/>
      <name val="Cambria"/>
      <family val="1"/>
      <scheme val="major"/>
    </font>
    <font>
      <sz val="12"/>
      <color rgb="FF000000"/>
      <name val="Cambria"/>
      <family val="1"/>
      <scheme val="major"/>
    </font>
    <font>
      <i/>
      <sz val="12"/>
      <color rgb="FF000000"/>
      <name val="Cambria"/>
      <family val="1"/>
      <scheme val="major"/>
    </font>
    <font>
      <sz val="12"/>
      <color rgb="FF0070C0"/>
      <name val="Cambria"/>
      <family val="1"/>
      <scheme val="major"/>
    </font>
    <font>
      <sz val="12"/>
      <color rgb="FFFF0000"/>
      <name val="Cambria"/>
      <family val="1"/>
      <scheme val="major"/>
    </font>
    <font>
      <b/>
      <sz val="12"/>
      <color rgb="FFFF0000"/>
      <name val="Cambria"/>
      <family val="1"/>
      <scheme val="major"/>
    </font>
    <font>
      <sz val="12"/>
      <color rgb="FF002060"/>
      <name val="Cambria"/>
      <family val="1"/>
      <scheme val="major"/>
    </font>
    <font>
      <b/>
      <i/>
      <u/>
      <sz val="12"/>
      <color theme="1"/>
      <name val="Cambria"/>
      <family val="1"/>
      <scheme val="major"/>
    </font>
    <font>
      <i/>
      <u/>
      <sz val="12"/>
      <color theme="1"/>
      <name val="Cambria"/>
      <family val="1"/>
      <scheme val="major"/>
    </font>
    <font>
      <b/>
      <u/>
      <sz val="12"/>
      <color indexed="10"/>
      <name val="Cambria"/>
      <family val="1"/>
      <scheme val="major"/>
    </font>
    <font>
      <b/>
      <u/>
      <sz val="12"/>
      <name val="Cambria"/>
      <family val="1"/>
      <scheme val="major"/>
    </font>
    <font>
      <b/>
      <sz val="12"/>
      <color indexed="10"/>
      <name val="Cambria"/>
      <family val="1"/>
      <scheme val="major"/>
    </font>
    <font>
      <b/>
      <i/>
      <sz val="12"/>
      <color indexed="9"/>
      <name val="Cambria"/>
      <family val="1"/>
      <scheme val="major"/>
    </font>
    <font>
      <sz val="12"/>
      <color indexed="10"/>
      <name val="Cambria"/>
      <family val="1"/>
      <scheme val="major"/>
    </font>
    <font>
      <sz val="12"/>
      <color rgb="FFFFFF00"/>
      <name val="Cambria"/>
      <family val="1"/>
      <scheme val="major"/>
    </font>
    <font>
      <sz val="12"/>
      <color indexed="18"/>
      <name val="Cambria"/>
      <family val="1"/>
      <scheme val="major"/>
    </font>
    <font>
      <sz val="10"/>
      <color theme="0"/>
      <name val="Cambria"/>
      <family val="1"/>
      <scheme val="major"/>
    </font>
    <font>
      <b/>
      <sz val="11"/>
      <color theme="1"/>
      <name val="Cambria"/>
      <family val="1"/>
      <scheme val="major"/>
    </font>
    <font>
      <b/>
      <sz val="13"/>
      <color theme="0"/>
      <name val="Cambria"/>
      <family val="1"/>
      <scheme val="major"/>
    </font>
    <font>
      <b/>
      <sz val="12"/>
      <color rgb="FFFFFF00"/>
      <name val="Cambria"/>
      <family val="1"/>
      <scheme val="major"/>
    </font>
    <font>
      <b/>
      <i/>
      <sz val="12"/>
      <color theme="1"/>
      <name val="Cambria"/>
      <family val="1"/>
      <scheme val="major"/>
    </font>
    <font>
      <b/>
      <i/>
      <sz val="10"/>
      <color theme="0"/>
      <name val="Cambria"/>
      <family val="1"/>
      <scheme val="major"/>
    </font>
    <font>
      <b/>
      <i/>
      <sz val="14"/>
      <color theme="0"/>
      <name val="Cambria"/>
      <family val="1"/>
      <scheme val="major"/>
    </font>
  </fonts>
  <fills count="29">
    <fill>
      <patternFill patternType="none"/>
    </fill>
    <fill>
      <patternFill patternType="gray125"/>
    </fill>
    <fill>
      <patternFill patternType="solid">
        <fgColor rgb="FF00206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theme="3"/>
        <bgColor indexed="64"/>
      </patternFill>
    </fill>
    <fill>
      <patternFill patternType="solid">
        <fgColor rgb="FF7030A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4"/>
        <bgColor indexed="64"/>
      </patternFill>
    </fill>
    <fill>
      <patternFill patternType="solid">
        <fgColor theme="9" tint="-0.249977111117893"/>
        <bgColor indexed="64"/>
      </patternFill>
    </fill>
    <fill>
      <patternFill patternType="solid">
        <fgColor rgb="FF92D050"/>
        <bgColor indexed="64"/>
      </patternFill>
    </fill>
    <fill>
      <patternFill patternType="solid">
        <fgColor theme="2" tint="-0.249977111117893"/>
        <bgColor indexed="64"/>
      </patternFill>
    </fill>
    <fill>
      <patternFill patternType="solid">
        <fgColor theme="0"/>
        <bgColor indexed="64"/>
      </patternFill>
    </fill>
    <fill>
      <patternFill patternType="solid">
        <fgColor theme="3" tint="-0.499984740745262"/>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3" tint="-0.249977111117893"/>
        <bgColor indexed="64"/>
      </patternFill>
    </fill>
    <fill>
      <patternFill patternType="solid">
        <fgColor theme="1"/>
        <bgColor indexed="64"/>
      </patternFill>
    </fill>
    <fill>
      <patternFill patternType="solid">
        <fgColor rgb="FF00FF00"/>
        <bgColor indexed="64"/>
      </patternFill>
    </fill>
    <fill>
      <patternFill patternType="solid">
        <fgColor rgb="FFFFFF00"/>
        <bgColor indexed="64"/>
      </patternFill>
    </fill>
    <fill>
      <patternFill patternType="solid">
        <fgColor theme="6"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style="medium">
        <color indexed="64"/>
      </top>
      <bottom style="thin">
        <color indexed="64"/>
      </bottom>
      <diagonal/>
    </border>
  </borders>
  <cellStyleXfs count="10">
    <xf numFmtId="0" fontId="0" fillId="0" borderId="0"/>
    <xf numFmtId="43" fontId="11" fillId="0" borderId="0" applyFont="0" applyFill="0" applyBorder="0" applyAlignment="0" applyProtection="0"/>
    <xf numFmtId="175" fontId="11" fillId="0" borderId="0" applyFont="0" applyFill="0" applyBorder="0" applyAlignment="0" applyProtection="0"/>
    <xf numFmtId="0" fontId="29" fillId="0" borderId="0" applyNumberFormat="0" applyFill="0" applyBorder="0" applyAlignment="0" applyProtection="0"/>
    <xf numFmtId="164" fontId="28" fillId="0" borderId="0" applyFont="0" applyFill="0" applyBorder="0" applyAlignment="0" applyProtection="0"/>
    <xf numFmtId="0" fontId="28" fillId="0" borderId="0"/>
    <xf numFmtId="0" fontId="11" fillId="0" borderId="0"/>
    <xf numFmtId="0" fontId="28" fillId="0" borderId="0"/>
    <xf numFmtId="0" fontId="11" fillId="0" borderId="0"/>
    <xf numFmtId="0" fontId="28" fillId="0" borderId="0"/>
  </cellStyleXfs>
  <cellXfs count="492">
    <xf numFmtId="0" fontId="0" fillId="0" borderId="0" xfId="0"/>
    <xf numFmtId="0" fontId="0" fillId="2" borderId="0" xfId="0" applyFill="1"/>
    <xf numFmtId="0" fontId="30" fillId="0" borderId="0" xfId="0" applyFont="1" applyAlignment="1">
      <alignment horizontal="center" vertical="center"/>
    </xf>
    <xf numFmtId="0" fontId="30" fillId="0" borderId="0" xfId="0" applyFont="1" applyAlignment="1">
      <alignment vertical="center"/>
    </xf>
    <xf numFmtId="0" fontId="31" fillId="3" borderId="1" xfId="0" applyFont="1" applyFill="1" applyBorder="1" applyAlignment="1">
      <alignment horizontal="center" vertical="center"/>
    </xf>
    <xf numFmtId="0" fontId="32" fillId="4" borderId="1" xfId="0" applyFont="1" applyFill="1" applyBorder="1" applyAlignment="1" applyProtection="1">
      <alignment horizontal="center" vertical="center"/>
      <protection locked="0"/>
    </xf>
    <xf numFmtId="0" fontId="30" fillId="5" borderId="1" xfId="0" applyFont="1" applyFill="1" applyBorder="1" applyAlignment="1" applyProtection="1">
      <alignment horizontal="center" vertical="center"/>
    </xf>
    <xf numFmtId="1" fontId="30" fillId="5" borderId="1" xfId="0" applyNumberFormat="1" applyFont="1" applyFill="1" applyBorder="1" applyAlignment="1" applyProtection="1">
      <alignment horizontal="center" vertical="center"/>
    </xf>
    <xf numFmtId="167" fontId="30" fillId="4" borderId="1" xfId="0" applyNumberFormat="1" applyFont="1" applyFill="1" applyBorder="1" applyAlignment="1" applyProtection="1">
      <alignment horizontal="center" vertical="center"/>
      <protection locked="0"/>
    </xf>
    <xf numFmtId="2" fontId="30" fillId="4" borderId="1" xfId="0" applyNumberFormat="1" applyFont="1" applyFill="1" applyBorder="1" applyAlignment="1" applyProtection="1">
      <alignment horizontal="center" vertical="center"/>
      <protection locked="0"/>
    </xf>
    <xf numFmtId="0" fontId="30" fillId="6" borderId="0" xfId="0" applyFont="1" applyFill="1" applyAlignment="1">
      <alignment vertical="center"/>
    </xf>
    <xf numFmtId="0" fontId="33" fillId="0" borderId="0" xfId="0" applyFont="1"/>
    <xf numFmtId="0" fontId="30" fillId="0" borderId="0" xfId="0" applyFont="1"/>
    <xf numFmtId="0" fontId="30" fillId="0" borderId="1" xfId="0" applyFont="1" applyBorder="1" applyAlignment="1">
      <alignment horizontal="center" vertical="center"/>
    </xf>
    <xf numFmtId="2" fontId="30" fillId="0" borderId="1" xfId="0" applyNumberFormat="1" applyFont="1" applyBorder="1" applyAlignment="1">
      <alignment horizontal="center" vertical="center"/>
    </xf>
    <xf numFmtId="0" fontId="30" fillId="0" borderId="0" xfId="0" applyFont="1" applyBorder="1" applyAlignment="1">
      <alignment horizontal="center" vertical="center"/>
    </xf>
    <xf numFmtId="2" fontId="30" fillId="0" borderId="0" xfId="0" applyNumberFormat="1" applyFont="1" applyBorder="1" applyAlignment="1">
      <alignment horizontal="center" vertical="center"/>
    </xf>
    <xf numFmtId="0" fontId="31" fillId="0" borderId="2" xfId="0" applyFont="1" applyBorder="1" applyAlignment="1">
      <alignment horizontal="center" vertical="center"/>
    </xf>
    <xf numFmtId="2" fontId="30" fillId="0" borderId="3" xfId="0" applyNumberFormat="1" applyFont="1" applyBorder="1" applyAlignment="1">
      <alignment horizontal="center" vertical="center"/>
    </xf>
    <xf numFmtId="166" fontId="30" fillId="0" borderId="0" xfId="0" applyNumberFormat="1" applyFont="1"/>
    <xf numFmtId="0" fontId="32" fillId="0" borderId="2" xfId="0" applyFont="1" applyBorder="1" applyAlignment="1">
      <alignment horizontal="center" vertical="center"/>
    </xf>
    <xf numFmtId="0" fontId="32" fillId="0" borderId="4" xfId="0" applyFont="1" applyBorder="1" applyAlignment="1">
      <alignment horizontal="center" vertical="center"/>
    </xf>
    <xf numFmtId="0" fontId="32" fillId="0" borderId="0" xfId="0" applyFont="1" applyBorder="1" applyAlignment="1">
      <alignment horizontal="center" vertical="center"/>
    </xf>
    <xf numFmtId="0" fontId="32" fillId="3" borderId="5" xfId="0" applyFont="1" applyFill="1" applyBorder="1" applyAlignment="1">
      <alignment horizontal="center" vertical="center"/>
    </xf>
    <xf numFmtId="0" fontId="32" fillId="3" borderId="2" xfId="0" applyFont="1" applyFill="1" applyBorder="1" applyAlignment="1">
      <alignment horizontal="center" vertical="center"/>
    </xf>
    <xf numFmtId="0" fontId="32" fillId="3" borderId="3" xfId="0" applyFont="1" applyFill="1" applyBorder="1" applyAlignment="1">
      <alignment horizontal="center" vertical="center"/>
    </xf>
    <xf numFmtId="166" fontId="30" fillId="0" borderId="1" xfId="0" applyNumberFormat="1" applyFont="1" applyBorder="1" applyAlignment="1">
      <alignment horizontal="center" vertical="center"/>
    </xf>
    <xf numFmtId="166" fontId="30" fillId="7" borderId="1" xfId="0" applyNumberFormat="1" applyFont="1" applyFill="1" applyBorder="1" applyAlignment="1">
      <alignment horizontal="center" vertical="center"/>
    </xf>
    <xf numFmtId="166" fontId="30" fillId="7" borderId="3" xfId="0" applyNumberFormat="1" applyFont="1" applyFill="1" applyBorder="1" applyAlignment="1">
      <alignment horizontal="center" vertical="center"/>
    </xf>
    <xf numFmtId="166" fontId="30" fillId="0" borderId="6" xfId="0" applyNumberFormat="1" applyFont="1" applyBorder="1" applyAlignment="1">
      <alignment horizontal="center" vertical="center"/>
    </xf>
    <xf numFmtId="166" fontId="30" fillId="7" borderId="6" xfId="0" applyNumberFormat="1" applyFont="1" applyFill="1" applyBorder="1" applyAlignment="1">
      <alignment horizontal="center" vertical="center"/>
    </xf>
    <xf numFmtId="166" fontId="30" fillId="7" borderId="7" xfId="0" applyNumberFormat="1" applyFont="1" applyFill="1" applyBorder="1" applyAlignment="1">
      <alignment horizontal="center" vertical="center"/>
    </xf>
    <xf numFmtId="0" fontId="33" fillId="8" borderId="0" xfId="0" applyFont="1" applyFill="1"/>
    <xf numFmtId="0" fontId="32" fillId="8" borderId="0" xfId="0" applyFont="1" applyFill="1" applyAlignment="1">
      <alignment vertical="center"/>
    </xf>
    <xf numFmtId="0" fontId="34" fillId="8" borderId="0" xfId="0" applyFont="1" applyFill="1" applyAlignment="1">
      <alignment vertical="center"/>
    </xf>
    <xf numFmtId="0" fontId="34" fillId="8" borderId="0" xfId="0" applyFont="1" applyFill="1" applyAlignment="1">
      <alignment horizontal="center" vertical="center"/>
    </xf>
    <xf numFmtId="0" fontId="32" fillId="8" borderId="0" xfId="0" applyFont="1" applyFill="1" applyAlignment="1">
      <alignment horizontal="justify" vertical="center"/>
    </xf>
    <xf numFmtId="0" fontId="35" fillId="0" borderId="0" xfId="5" applyFont="1" applyAlignment="1">
      <alignment vertical="center"/>
    </xf>
    <xf numFmtId="0" fontId="31" fillId="7" borderId="1" xfId="5" applyFont="1" applyFill="1" applyBorder="1" applyAlignment="1">
      <alignment horizontal="center" vertical="center"/>
    </xf>
    <xf numFmtId="168" fontId="36" fillId="9" borderId="1" xfId="5" applyNumberFormat="1" applyFont="1" applyFill="1" applyBorder="1" applyAlignment="1" applyProtection="1">
      <alignment horizontal="center" vertical="center"/>
      <protection locked="0"/>
    </xf>
    <xf numFmtId="168" fontId="36" fillId="9" borderId="1" xfId="5" applyNumberFormat="1" applyFont="1" applyFill="1" applyBorder="1" applyAlignment="1" applyProtection="1">
      <alignment horizontal="center" vertical="center" wrapText="1"/>
      <protection locked="0"/>
    </xf>
    <xf numFmtId="168" fontId="35" fillId="0" borderId="1" xfId="5" applyNumberFormat="1" applyFont="1" applyFill="1" applyBorder="1" applyAlignment="1">
      <alignment horizontal="center" vertical="center"/>
    </xf>
    <xf numFmtId="0" fontId="35" fillId="0" borderId="0" xfId="5" applyFont="1" applyFill="1" applyAlignment="1">
      <alignment vertical="center"/>
    </xf>
    <xf numFmtId="165" fontId="30" fillId="0" borderId="0" xfId="0" applyNumberFormat="1" applyFont="1" applyAlignment="1">
      <alignment vertical="center"/>
    </xf>
    <xf numFmtId="168" fontId="35" fillId="0" borderId="0" xfId="5" applyNumberFormat="1" applyFont="1" applyFill="1" applyBorder="1" applyAlignment="1">
      <alignment horizontal="center" vertical="center"/>
    </xf>
    <xf numFmtId="168" fontId="37" fillId="0" borderId="1" xfId="5" applyNumberFormat="1" applyFont="1" applyFill="1" applyBorder="1" applyAlignment="1">
      <alignment horizontal="center" vertical="center"/>
    </xf>
    <xf numFmtId="168" fontId="35" fillId="0" borderId="0" xfId="5" applyNumberFormat="1" applyFont="1" applyAlignment="1">
      <alignment vertical="center"/>
    </xf>
    <xf numFmtId="168" fontId="35" fillId="0" borderId="0" xfId="5" applyNumberFormat="1" applyFont="1" applyAlignment="1">
      <alignment horizontal="center" vertical="center"/>
    </xf>
    <xf numFmtId="168" fontId="31" fillId="0" borderId="8" xfId="5" applyNumberFormat="1" applyFont="1" applyFill="1" applyBorder="1" applyAlignment="1">
      <alignment horizontal="center" vertical="center"/>
    </xf>
    <xf numFmtId="168" fontId="35" fillId="0" borderId="8" xfId="5" applyNumberFormat="1" applyFont="1" applyBorder="1" applyAlignment="1">
      <alignment horizontal="center" vertical="center"/>
    </xf>
    <xf numFmtId="165" fontId="31" fillId="0" borderId="0" xfId="5" applyNumberFormat="1" applyFont="1" applyFill="1" applyAlignment="1">
      <alignment horizontal="center" vertical="center"/>
    </xf>
    <xf numFmtId="0" fontId="31" fillId="0" borderId="0" xfId="5" applyFont="1" applyFill="1" applyAlignment="1">
      <alignment horizontal="center" vertical="center"/>
    </xf>
    <xf numFmtId="0" fontId="32" fillId="10" borderId="9" xfId="0" applyFont="1" applyFill="1" applyBorder="1" applyAlignment="1">
      <alignment horizontal="right" vertical="center"/>
    </xf>
    <xf numFmtId="165" fontId="32" fillId="10" borderId="10" xfId="0" applyNumberFormat="1" applyFont="1" applyFill="1" applyBorder="1" applyAlignment="1">
      <alignment horizontal="center" vertical="center"/>
    </xf>
    <xf numFmtId="0" fontId="30" fillId="0" borderId="1" xfId="0" applyFont="1" applyBorder="1" applyAlignment="1">
      <alignment vertical="center"/>
    </xf>
    <xf numFmtId="0" fontId="30" fillId="0" borderId="0" xfId="0" applyFont="1" applyAlignment="1">
      <alignment horizontal="center" vertical="center" wrapText="1"/>
    </xf>
    <xf numFmtId="0" fontId="30" fillId="2" borderId="0" xfId="0" applyFont="1" applyFill="1" applyAlignment="1">
      <alignment horizontal="center" vertical="center"/>
    </xf>
    <xf numFmtId="0" fontId="38" fillId="2" borderId="0" xfId="3" applyFont="1" applyFill="1" applyAlignment="1">
      <alignment horizontal="center" vertical="center"/>
    </xf>
    <xf numFmtId="0" fontId="32" fillId="11" borderId="1" xfId="0" applyFont="1" applyFill="1" applyBorder="1" applyAlignment="1" applyProtection="1">
      <alignment vertical="center"/>
      <protection locked="0"/>
    </xf>
    <xf numFmtId="0" fontId="32" fillId="11" borderId="1" xfId="0" applyFont="1" applyFill="1" applyBorder="1" applyAlignment="1">
      <alignment horizontal="left" vertical="center"/>
    </xf>
    <xf numFmtId="0" fontId="32" fillId="11" borderId="1" xfId="0" applyFont="1" applyFill="1" applyBorder="1" applyAlignment="1">
      <alignment horizontal="center" vertical="center"/>
    </xf>
    <xf numFmtId="0" fontId="31" fillId="11" borderId="1" xfId="0" applyFont="1" applyFill="1" applyBorder="1" applyAlignment="1">
      <alignment horizontal="center" vertical="center"/>
    </xf>
    <xf numFmtId="0" fontId="31" fillId="11" borderId="1" xfId="0" applyFont="1" applyFill="1" applyBorder="1" applyAlignment="1">
      <alignment vertical="center"/>
    </xf>
    <xf numFmtId="168" fontId="36" fillId="9" borderId="0" xfId="5" applyNumberFormat="1" applyFont="1" applyFill="1" applyBorder="1" applyAlignment="1" applyProtection="1">
      <alignment horizontal="center" vertical="center" wrapText="1"/>
      <protection locked="0"/>
    </xf>
    <xf numFmtId="0" fontId="32" fillId="10" borderId="0" xfId="0" applyFont="1" applyFill="1" applyBorder="1" applyAlignment="1">
      <alignment horizontal="right" vertical="center"/>
    </xf>
    <xf numFmtId="165" fontId="32" fillId="10" borderId="0" xfId="0" applyNumberFormat="1" applyFont="1" applyFill="1" applyBorder="1" applyAlignment="1">
      <alignment horizontal="center" vertical="center"/>
    </xf>
    <xf numFmtId="0" fontId="30" fillId="0" borderId="0" xfId="0" applyFont="1" applyBorder="1" applyAlignment="1">
      <alignment horizontal="left" vertical="center" wrapText="1"/>
    </xf>
    <xf numFmtId="0" fontId="32" fillId="0" borderId="1" xfId="0" applyFont="1" applyFill="1" applyBorder="1" applyAlignment="1">
      <alignment horizontal="center" vertical="center"/>
    </xf>
    <xf numFmtId="2" fontId="30" fillId="0" borderId="1" xfId="0" applyNumberFormat="1" applyFont="1" applyFill="1" applyBorder="1" applyAlignment="1">
      <alignment horizontal="center" vertical="center"/>
    </xf>
    <xf numFmtId="0" fontId="30" fillId="0" borderId="1" xfId="0" applyFont="1" applyFill="1" applyBorder="1" applyAlignment="1">
      <alignment vertical="center" wrapText="1"/>
    </xf>
    <xf numFmtId="0" fontId="32" fillId="0" borderId="11" xfId="0" applyFont="1" applyFill="1" applyBorder="1" applyAlignment="1">
      <alignment horizontal="center" vertical="center" wrapText="1"/>
    </xf>
    <xf numFmtId="0" fontId="32" fillId="0" borderId="0" xfId="0" applyFont="1" applyAlignment="1">
      <alignment vertical="center"/>
    </xf>
    <xf numFmtId="2" fontId="30" fillId="0" borderId="0" xfId="0" applyNumberFormat="1" applyFont="1" applyAlignment="1">
      <alignment vertical="center"/>
    </xf>
    <xf numFmtId="0" fontId="32" fillId="0" borderId="0" xfId="0" applyFont="1" applyBorder="1" applyAlignment="1">
      <alignment horizontal="right" vertical="center"/>
    </xf>
    <xf numFmtId="2" fontId="32" fillId="0" borderId="0" xfId="0" applyNumberFormat="1" applyFont="1" applyBorder="1" applyAlignment="1">
      <alignment horizontal="center" vertical="center"/>
    </xf>
    <xf numFmtId="0" fontId="30" fillId="0" borderId="0" xfId="0" applyFont="1" applyBorder="1" applyAlignment="1">
      <alignment vertical="center"/>
    </xf>
    <xf numFmtId="166" fontId="30" fillId="0" borderId="1" xfId="0" applyNumberFormat="1" applyFont="1" applyBorder="1" applyAlignment="1">
      <alignment vertical="center"/>
    </xf>
    <xf numFmtId="165" fontId="30" fillId="0" borderId="1" xfId="0" applyNumberFormat="1" applyFont="1" applyBorder="1" applyAlignment="1">
      <alignment vertical="center"/>
    </xf>
    <xf numFmtId="165" fontId="30" fillId="0" borderId="1" xfId="0" applyNumberFormat="1" applyFont="1" applyBorder="1" applyAlignment="1">
      <alignment horizontal="center" vertical="center"/>
    </xf>
    <xf numFmtId="166" fontId="35" fillId="0" borderId="0" xfId="5" applyNumberFormat="1" applyFont="1" applyAlignment="1">
      <alignment horizontal="center" vertical="center"/>
    </xf>
    <xf numFmtId="0" fontId="32" fillId="12" borderId="1" xfId="0" applyFont="1" applyFill="1" applyBorder="1" applyAlignment="1">
      <alignment horizontal="left" vertical="center" wrapText="1"/>
    </xf>
    <xf numFmtId="0" fontId="32" fillId="13" borderId="1" xfId="0" applyFont="1" applyFill="1" applyBorder="1" applyAlignment="1">
      <alignment horizontal="left" vertical="center" wrapText="1"/>
    </xf>
    <xf numFmtId="0" fontId="32" fillId="14" borderId="1" xfId="0" applyFont="1" applyFill="1" applyBorder="1" applyAlignment="1">
      <alignment horizontal="left" vertical="center" wrapText="1"/>
    </xf>
    <xf numFmtId="0" fontId="35" fillId="0" borderId="0" xfId="0" applyFont="1" applyAlignment="1">
      <alignment vertical="center"/>
    </xf>
    <xf numFmtId="0" fontId="34" fillId="11" borderId="12" xfId="0" applyNumberFormat="1" applyFont="1" applyFill="1" applyBorder="1" applyAlignment="1">
      <alignment horizontal="center" vertical="center"/>
    </xf>
    <xf numFmtId="0" fontId="30" fillId="2" borderId="0" xfId="0" applyFont="1" applyFill="1" applyAlignment="1">
      <alignment vertical="center"/>
    </xf>
    <xf numFmtId="0" fontId="30" fillId="2" borderId="0" xfId="0" applyFont="1" applyFill="1" applyBorder="1" applyAlignment="1">
      <alignment horizontal="left" vertical="center" wrapText="1"/>
    </xf>
    <xf numFmtId="0" fontId="35" fillId="2" borderId="0" xfId="5" applyFont="1" applyFill="1" applyAlignment="1">
      <alignment vertical="center"/>
    </xf>
    <xf numFmtId="166" fontId="35" fillId="3" borderId="1" xfId="0" applyNumberFormat="1" applyFont="1" applyFill="1" applyBorder="1" applyAlignment="1">
      <alignment horizontal="center" vertical="center"/>
    </xf>
    <xf numFmtId="0" fontId="35" fillId="4" borderId="1" xfId="0" applyFont="1" applyFill="1" applyBorder="1" applyAlignment="1" applyProtection="1">
      <alignment horizontal="left" vertical="center"/>
      <protection locked="0"/>
    </xf>
    <xf numFmtId="2" fontId="35" fillId="4" borderId="1" xfId="0" applyNumberFormat="1" applyFont="1" applyFill="1" applyBorder="1" applyAlignment="1" applyProtection="1">
      <alignment horizontal="center" vertical="center"/>
      <protection locked="0"/>
    </xf>
    <xf numFmtId="0" fontId="30" fillId="4" borderId="1" xfId="0" applyFont="1" applyFill="1" applyBorder="1" applyAlignment="1" applyProtection="1">
      <alignment horizontal="left" vertical="center"/>
      <protection locked="0"/>
    </xf>
    <xf numFmtId="169" fontId="34" fillId="15" borderId="1" xfId="0" applyNumberFormat="1" applyFont="1" applyFill="1" applyBorder="1" applyAlignment="1">
      <alignment horizontal="center" vertical="center"/>
    </xf>
    <xf numFmtId="166" fontId="36" fillId="15" borderId="1" xfId="0" applyNumberFormat="1" applyFont="1" applyFill="1" applyBorder="1" applyAlignment="1">
      <alignment vertical="center"/>
    </xf>
    <xf numFmtId="166" fontId="34" fillId="15" borderId="1" xfId="0" applyNumberFormat="1" applyFont="1" applyFill="1" applyBorder="1" applyAlignment="1">
      <alignment horizontal="center" vertical="center"/>
    </xf>
    <xf numFmtId="0" fontId="34" fillId="15" borderId="13" xfId="0" applyFont="1" applyFill="1" applyBorder="1" applyAlignment="1">
      <alignment horizontal="right" vertical="center"/>
    </xf>
    <xf numFmtId="0" fontId="34" fillId="15" borderId="14" xfId="0" applyFont="1" applyFill="1" applyBorder="1" applyAlignment="1">
      <alignment horizontal="right" vertical="center"/>
    </xf>
    <xf numFmtId="0" fontId="34" fillId="15" borderId="13" xfId="5" applyFont="1" applyFill="1" applyBorder="1" applyAlignment="1">
      <alignment horizontal="right" vertical="center"/>
    </xf>
    <xf numFmtId="2" fontId="34" fillId="15" borderId="14" xfId="5" applyNumberFormat="1" applyFont="1" applyFill="1" applyBorder="1" applyAlignment="1">
      <alignment horizontal="center" vertical="center"/>
    </xf>
    <xf numFmtId="0" fontId="34" fillId="15" borderId="15" xfId="5" applyFont="1" applyFill="1" applyBorder="1" applyAlignment="1">
      <alignment horizontal="center" vertical="center"/>
    </xf>
    <xf numFmtId="0" fontId="39" fillId="16" borderId="0" xfId="0" applyFont="1" applyFill="1" applyBorder="1" applyAlignment="1">
      <alignment horizontal="right" vertical="center"/>
    </xf>
    <xf numFmtId="0" fontId="40" fillId="16" borderId="0" xfId="0" applyFont="1" applyFill="1" applyAlignment="1">
      <alignment vertical="center"/>
    </xf>
    <xf numFmtId="166" fontId="39" fillId="16" borderId="0" xfId="5" applyNumberFormat="1" applyFont="1" applyFill="1" applyAlignment="1">
      <alignment horizontal="center" vertical="center"/>
    </xf>
    <xf numFmtId="0" fontId="32" fillId="16" borderId="0" xfId="0" applyFont="1" applyFill="1" applyBorder="1" applyAlignment="1">
      <alignment horizontal="right" vertical="center"/>
    </xf>
    <xf numFmtId="0" fontId="41" fillId="2" borderId="0" xfId="0" applyFont="1" applyFill="1" applyAlignment="1">
      <alignment vertical="center"/>
    </xf>
    <xf numFmtId="0" fontId="31" fillId="3" borderId="5" xfId="0" applyFont="1" applyFill="1" applyBorder="1" applyAlignment="1">
      <alignment horizontal="center" vertical="center"/>
    </xf>
    <xf numFmtId="0" fontId="31" fillId="3" borderId="16" xfId="0" applyFont="1" applyFill="1" applyBorder="1" applyAlignment="1">
      <alignment horizontal="center" vertical="center"/>
    </xf>
    <xf numFmtId="0" fontId="31" fillId="3" borderId="1" xfId="0" quotePrefix="1" applyFont="1" applyFill="1" applyBorder="1" applyAlignment="1">
      <alignment horizontal="center" vertical="center"/>
    </xf>
    <xf numFmtId="165" fontId="32" fillId="0" borderId="0" xfId="0" applyNumberFormat="1" applyFont="1" applyBorder="1" applyAlignment="1">
      <alignment horizontal="center" vertical="center"/>
    </xf>
    <xf numFmtId="2" fontId="31" fillId="0" borderId="0" xfId="0" applyNumberFormat="1" applyFont="1" applyBorder="1" applyAlignment="1">
      <alignment horizontal="center" vertical="center"/>
    </xf>
    <xf numFmtId="166" fontId="32" fillId="0" borderId="0" xfId="0" applyNumberFormat="1" applyFont="1" applyBorder="1" applyAlignment="1">
      <alignment horizontal="center" vertical="center"/>
    </xf>
    <xf numFmtId="2" fontId="35" fillId="7" borderId="1" xfId="0" applyNumberFormat="1" applyFont="1" applyFill="1" applyBorder="1" applyAlignment="1">
      <alignment horizontal="center" vertical="center"/>
    </xf>
    <xf numFmtId="2" fontId="35" fillId="0" borderId="1" xfId="0" applyNumberFormat="1" applyFont="1" applyBorder="1" applyAlignment="1">
      <alignment horizontal="center" vertical="center"/>
    </xf>
    <xf numFmtId="2" fontId="30" fillId="7" borderId="1" xfId="0" applyNumberFormat="1" applyFont="1" applyFill="1" applyBorder="1" applyAlignment="1">
      <alignment horizontal="center" vertical="center"/>
    </xf>
    <xf numFmtId="165" fontId="30" fillId="0" borderId="0" xfId="0" applyNumberFormat="1" applyFont="1" applyBorder="1" applyAlignment="1">
      <alignment horizontal="center" vertical="center"/>
    </xf>
    <xf numFmtId="2" fontId="35" fillId="0" borderId="0" xfId="0" applyNumberFormat="1" applyFont="1" applyBorder="1" applyAlignment="1">
      <alignment horizontal="center" vertical="center"/>
    </xf>
    <xf numFmtId="2" fontId="35" fillId="0" borderId="0" xfId="0" applyNumberFormat="1" applyFont="1" applyFill="1" applyBorder="1" applyAlignment="1">
      <alignment horizontal="center" vertical="center"/>
    </xf>
    <xf numFmtId="166" fontId="30" fillId="0" borderId="0" xfId="0" applyNumberFormat="1" applyFont="1" applyBorder="1" applyAlignment="1">
      <alignment horizontal="center" vertical="center"/>
    </xf>
    <xf numFmtId="167" fontId="30" fillId="0" borderId="1" xfId="0" applyNumberFormat="1" applyFont="1" applyBorder="1" applyAlignment="1">
      <alignment horizontal="center" vertical="center"/>
    </xf>
    <xf numFmtId="166" fontId="30" fillId="0" borderId="0" xfId="0" applyNumberFormat="1" applyFont="1" applyAlignment="1">
      <alignment vertical="center"/>
    </xf>
    <xf numFmtId="167" fontId="35" fillId="0" borderId="0" xfId="0" applyNumberFormat="1" applyFont="1" applyAlignment="1">
      <alignment vertical="center"/>
    </xf>
    <xf numFmtId="2" fontId="35" fillId="0" borderId="0" xfId="0" applyNumberFormat="1" applyFont="1" applyAlignment="1">
      <alignment vertical="center"/>
    </xf>
    <xf numFmtId="166" fontId="35" fillId="0" borderId="0" xfId="0" applyNumberFormat="1" applyFont="1" applyAlignment="1">
      <alignment vertical="center"/>
    </xf>
    <xf numFmtId="167" fontId="30" fillId="0" borderId="0" xfId="0" applyNumberFormat="1" applyFont="1" applyBorder="1" applyAlignment="1">
      <alignment vertical="center"/>
    </xf>
    <xf numFmtId="0" fontId="42" fillId="0" borderId="1" xfId="0" applyFont="1" applyBorder="1" applyAlignment="1">
      <alignment vertical="center"/>
    </xf>
    <xf numFmtId="2" fontId="30" fillId="0" borderId="0" xfId="0" applyNumberFormat="1" applyFont="1" applyAlignment="1">
      <alignment horizontal="center" vertical="center"/>
    </xf>
    <xf numFmtId="0" fontId="43" fillId="0" borderId="1" xfId="0" applyFont="1" applyBorder="1" applyAlignment="1">
      <alignment horizontal="center" vertical="center"/>
    </xf>
    <xf numFmtId="2" fontId="30" fillId="0" borderId="6" xfId="0" applyNumberFormat="1" applyFont="1" applyBorder="1" applyAlignment="1">
      <alignment horizontal="center" vertical="center"/>
    </xf>
    <xf numFmtId="0" fontId="30" fillId="17" borderId="0" xfId="0" applyFont="1" applyFill="1" applyAlignment="1">
      <alignment vertical="center"/>
    </xf>
    <xf numFmtId="1" fontId="30" fillId="7" borderId="2" xfId="0" applyNumberFormat="1" applyFont="1" applyFill="1" applyBorder="1" applyAlignment="1">
      <alignment horizontal="center" vertical="center"/>
    </xf>
    <xf numFmtId="1" fontId="30" fillId="7" borderId="4" xfId="0" applyNumberFormat="1" applyFont="1" applyFill="1" applyBorder="1" applyAlignment="1">
      <alignment horizontal="center" vertical="center"/>
    </xf>
    <xf numFmtId="0" fontId="30" fillId="0" borderId="0" xfId="0" applyFont="1" applyBorder="1"/>
    <xf numFmtId="0" fontId="30" fillId="0" borderId="0" xfId="0" applyFont="1" applyBorder="1" applyAlignment="1">
      <alignment vertical="top" wrapText="1"/>
    </xf>
    <xf numFmtId="0" fontId="30" fillId="2" borderId="0" xfId="0" applyFont="1" applyFill="1" applyAlignment="1" applyProtection="1">
      <alignment vertical="center"/>
    </xf>
    <xf numFmtId="0" fontId="32" fillId="3" borderId="1" xfId="0" applyNumberFormat="1" applyFont="1" applyFill="1" applyBorder="1" applyAlignment="1">
      <alignment vertical="center"/>
    </xf>
    <xf numFmtId="0" fontId="33" fillId="2" borderId="0" xfId="0" applyFont="1" applyFill="1"/>
    <xf numFmtId="2" fontId="30" fillId="0" borderId="0" xfId="0" applyNumberFormat="1" applyFont="1"/>
    <xf numFmtId="166" fontId="30" fillId="0" borderId="1" xfId="0" applyNumberFormat="1" applyFont="1" applyBorder="1"/>
    <xf numFmtId="0" fontId="32" fillId="3" borderId="13" xfId="0" applyFont="1" applyFill="1" applyBorder="1" applyAlignment="1">
      <alignment horizontal="center" vertical="center"/>
    </xf>
    <xf numFmtId="166" fontId="30" fillId="0" borderId="13" xfId="0" applyNumberFormat="1" applyFont="1" applyBorder="1" applyAlignment="1">
      <alignment horizontal="center" vertical="center"/>
    </xf>
    <xf numFmtId="166" fontId="30" fillId="0" borderId="17" xfId="0" applyNumberFormat="1" applyFont="1" applyBorder="1" applyAlignment="1">
      <alignment horizontal="center" vertical="center"/>
    </xf>
    <xf numFmtId="166" fontId="30" fillId="7" borderId="2" xfId="0" applyNumberFormat="1" applyFont="1" applyFill="1" applyBorder="1" applyAlignment="1">
      <alignment horizontal="center" vertical="center"/>
    </xf>
    <xf numFmtId="166" fontId="30" fillId="7" borderId="4" xfId="0" applyNumberFormat="1" applyFont="1" applyFill="1" applyBorder="1" applyAlignment="1">
      <alignment horizontal="center" vertical="center"/>
    </xf>
    <xf numFmtId="166" fontId="30" fillId="0" borderId="6" xfId="0" applyNumberFormat="1" applyFont="1" applyBorder="1"/>
    <xf numFmtId="0" fontId="34" fillId="8" borderId="0" xfId="0" applyFont="1" applyFill="1" applyAlignment="1">
      <alignment horizontal="left" vertical="center"/>
    </xf>
    <xf numFmtId="0" fontId="41" fillId="8" borderId="0" xfId="0" applyFont="1" applyFill="1" applyAlignment="1">
      <alignment horizontal="left" vertical="center"/>
    </xf>
    <xf numFmtId="0" fontId="41" fillId="8" borderId="0" xfId="0" applyFont="1" applyFill="1" applyAlignment="1">
      <alignment horizontal="left" vertical="center"/>
    </xf>
    <xf numFmtId="0" fontId="33" fillId="2" borderId="0" xfId="0" applyFont="1" applyFill="1" applyAlignment="1">
      <alignment horizontal="left" vertical="top"/>
    </xf>
    <xf numFmtId="0" fontId="32" fillId="8" borderId="0" xfId="0" applyFont="1" applyFill="1" applyAlignment="1">
      <alignment horizontal="left" vertical="top"/>
    </xf>
    <xf numFmtId="0" fontId="33" fillId="0" borderId="0" xfId="0" applyFont="1" applyAlignment="1">
      <alignment horizontal="left" vertical="top"/>
    </xf>
    <xf numFmtId="170" fontId="30" fillId="18" borderId="1" xfId="0" applyNumberFormat="1" applyFont="1" applyFill="1" applyBorder="1" applyAlignment="1">
      <alignment horizontal="right" vertical="center"/>
    </xf>
    <xf numFmtId="0" fontId="30" fillId="2" borderId="0" xfId="0" applyFont="1" applyFill="1" applyAlignment="1" applyProtection="1">
      <alignment horizontal="right" vertical="center"/>
    </xf>
    <xf numFmtId="0" fontId="30" fillId="0" borderId="0" xfId="0" applyFont="1" applyAlignment="1">
      <alignment horizontal="right" vertical="center"/>
    </xf>
    <xf numFmtId="0" fontId="30" fillId="0" borderId="0" xfId="0" applyFont="1" applyBorder="1" applyAlignment="1">
      <alignment horizontal="right" vertical="center"/>
    </xf>
    <xf numFmtId="0" fontId="30" fillId="0" borderId="0" xfId="0" applyFont="1" applyBorder="1" applyAlignment="1">
      <alignment horizontal="right" vertical="top" wrapText="1"/>
    </xf>
    <xf numFmtId="0" fontId="32" fillId="3" borderId="18" xfId="0" applyFont="1" applyFill="1" applyBorder="1" applyAlignment="1">
      <alignment horizontal="center" vertical="center"/>
    </xf>
    <xf numFmtId="0" fontId="32" fillId="3" borderId="1" xfId="0" applyFont="1" applyFill="1" applyBorder="1" applyAlignment="1">
      <alignment horizontal="center" vertical="center"/>
    </xf>
    <xf numFmtId="0" fontId="30" fillId="0" borderId="1" xfId="0" applyFont="1" applyBorder="1" applyAlignment="1">
      <alignment horizontal="center" vertical="center"/>
    </xf>
    <xf numFmtId="0" fontId="32" fillId="0" borderId="1" xfId="0" applyFont="1" applyBorder="1" applyAlignment="1">
      <alignment horizontal="center" vertical="center" wrapText="1"/>
    </xf>
    <xf numFmtId="0" fontId="30" fillId="0" borderId="1" xfId="0" applyFont="1" applyBorder="1" applyAlignment="1">
      <alignment horizontal="left" vertical="center" wrapText="1"/>
    </xf>
    <xf numFmtId="0" fontId="30" fillId="0" borderId="1" xfId="0" applyFont="1" applyBorder="1" applyAlignment="1">
      <alignment horizontal="center" vertical="center" wrapText="1"/>
    </xf>
    <xf numFmtId="0" fontId="32" fillId="14" borderId="1" xfId="0" applyFont="1" applyFill="1" applyBorder="1" applyAlignment="1">
      <alignment horizontal="left" vertical="center" wrapText="1"/>
    </xf>
    <xf numFmtId="0" fontId="32" fillId="3" borderId="1" xfId="0" applyFont="1" applyFill="1" applyBorder="1" applyAlignment="1">
      <alignment horizontal="center" vertical="center"/>
    </xf>
    <xf numFmtId="179" fontId="0" fillId="0" borderId="0" xfId="0" applyNumberFormat="1"/>
    <xf numFmtId="0" fontId="30" fillId="0" borderId="0" xfId="0" applyFont="1" applyFill="1"/>
    <xf numFmtId="0" fontId="30" fillId="0" borderId="2" xfId="0" applyFont="1" applyBorder="1" applyAlignment="1">
      <alignment horizontal="left" vertical="center"/>
    </xf>
    <xf numFmtId="0" fontId="30" fillId="0" borderId="4" xfId="0" applyFont="1" applyBorder="1" applyAlignment="1">
      <alignment horizontal="left" vertical="center"/>
    </xf>
    <xf numFmtId="0" fontId="30" fillId="0" borderId="3" xfId="0" applyFont="1" applyBorder="1" applyAlignment="1">
      <alignment horizontal="left" vertical="center"/>
    </xf>
    <xf numFmtId="0" fontId="30" fillId="0" borderId="6" xfId="0" applyFont="1" applyBorder="1" applyAlignment="1">
      <alignment horizontal="center" vertical="center"/>
    </xf>
    <xf numFmtId="0" fontId="30" fillId="0" borderId="7" xfId="0" applyFont="1" applyBorder="1" applyAlignment="1">
      <alignment horizontal="left" vertical="center"/>
    </xf>
    <xf numFmtId="0" fontId="34" fillId="2" borderId="0" xfId="0" applyFont="1" applyFill="1" applyAlignment="1">
      <alignment horizontal="center" vertical="center"/>
    </xf>
    <xf numFmtId="0" fontId="44" fillId="2" borderId="0" xfId="0" applyFont="1" applyFill="1" applyAlignment="1">
      <alignment vertical="center"/>
    </xf>
    <xf numFmtId="0" fontId="35" fillId="3" borderId="1" xfId="0" applyFont="1" applyFill="1" applyBorder="1" applyAlignment="1">
      <alignment horizontal="center" vertical="center"/>
    </xf>
    <xf numFmtId="0" fontId="44" fillId="2" borderId="0" xfId="0" applyFont="1" applyFill="1" applyBorder="1" applyAlignment="1">
      <alignment vertical="center"/>
    </xf>
    <xf numFmtId="165" fontId="32" fillId="18" borderId="1" xfId="0" applyNumberFormat="1" applyFont="1" applyFill="1" applyBorder="1" applyAlignment="1">
      <alignment horizontal="center" vertical="center"/>
    </xf>
    <xf numFmtId="0" fontId="35" fillId="3" borderId="1" xfId="0" applyFont="1" applyFill="1" applyBorder="1" applyAlignment="1">
      <alignment horizontal="left" vertical="center"/>
    </xf>
    <xf numFmtId="0" fontId="45" fillId="0" borderId="0" xfId="6" applyFont="1" applyFill="1" applyBorder="1" applyAlignment="1">
      <alignment vertical="center"/>
    </xf>
    <xf numFmtId="0" fontId="36" fillId="0" borderId="0" xfId="6" applyFont="1" applyFill="1" applyBorder="1" applyAlignment="1">
      <alignment vertical="center"/>
    </xf>
    <xf numFmtId="0" fontId="36" fillId="0" borderId="0" xfId="6" applyFont="1" applyFill="1" applyBorder="1" applyAlignment="1">
      <alignment horizontal="center" vertical="center"/>
    </xf>
    <xf numFmtId="0" fontId="34" fillId="0" borderId="0" xfId="6" applyFont="1" applyFill="1" applyBorder="1" applyAlignment="1">
      <alignment horizontal="center" vertical="center"/>
    </xf>
    <xf numFmtId="0" fontId="34" fillId="0" borderId="0" xfId="6" applyFont="1" applyFill="1" applyBorder="1" applyAlignment="1">
      <alignment vertical="center"/>
    </xf>
    <xf numFmtId="166" fontId="34" fillId="0" borderId="0" xfId="6" applyNumberFormat="1" applyFont="1" applyFill="1" applyBorder="1" applyAlignment="1">
      <alignment vertical="center"/>
    </xf>
    <xf numFmtId="0" fontId="46" fillId="0" borderId="0" xfId="6" applyFont="1" applyFill="1" applyBorder="1" applyAlignment="1">
      <alignment vertical="center"/>
    </xf>
    <xf numFmtId="166" fontId="36" fillId="0" borderId="0" xfId="6" applyNumberFormat="1" applyFont="1" applyFill="1" applyBorder="1" applyAlignment="1">
      <alignment vertical="center"/>
    </xf>
    <xf numFmtId="0" fontId="32" fillId="3" borderId="1" xfId="0" applyFont="1" applyFill="1" applyBorder="1" applyAlignment="1">
      <alignment horizontal="left" vertical="center" wrapText="1"/>
    </xf>
    <xf numFmtId="167" fontId="35" fillId="4" borderId="1" xfId="6" applyNumberFormat="1" applyFont="1" applyFill="1" applyBorder="1" applyAlignment="1" applyProtection="1">
      <alignment horizontal="center" vertical="center"/>
      <protection locked="0"/>
    </xf>
    <xf numFmtId="2" fontId="35" fillId="4" borderId="1" xfId="6" applyNumberFormat="1" applyFont="1" applyFill="1" applyBorder="1" applyAlignment="1" applyProtection="1">
      <alignment horizontal="center" vertical="center"/>
      <protection locked="0"/>
    </xf>
    <xf numFmtId="166" fontId="31" fillId="4" borderId="1" xfId="6" applyNumberFormat="1" applyFont="1" applyFill="1" applyBorder="1" applyAlignment="1" applyProtection="1">
      <alignment horizontal="center" vertical="center"/>
      <protection locked="0"/>
    </xf>
    <xf numFmtId="0" fontId="31" fillId="3" borderId="1" xfId="6" applyFont="1" applyFill="1" applyBorder="1" applyAlignment="1">
      <alignment horizontal="center" vertical="center"/>
    </xf>
    <xf numFmtId="0" fontId="47" fillId="2" borderId="0" xfId="0" applyFont="1" applyFill="1" applyAlignment="1">
      <alignment vertical="center"/>
    </xf>
    <xf numFmtId="0" fontId="30" fillId="19" borderId="0" xfId="0" applyFont="1" applyFill="1" applyAlignment="1">
      <alignment vertical="center"/>
    </xf>
    <xf numFmtId="0" fontId="30" fillId="19" borderId="0" xfId="0" applyFont="1" applyFill="1" applyAlignment="1">
      <alignment horizontal="center" vertical="center" wrapText="1"/>
    </xf>
    <xf numFmtId="0" fontId="47" fillId="2" borderId="0" xfId="0" applyFont="1" applyFill="1" applyBorder="1" applyAlignment="1">
      <alignment vertical="center"/>
    </xf>
    <xf numFmtId="0" fontId="32" fillId="3" borderId="1" xfId="0" applyFont="1" applyFill="1" applyBorder="1" applyAlignment="1">
      <alignment horizontal="center" vertical="center" wrapText="1"/>
    </xf>
    <xf numFmtId="0" fontId="30" fillId="19" borderId="0" xfId="0" applyFont="1" applyFill="1" applyBorder="1" applyAlignment="1">
      <alignment vertical="center"/>
    </xf>
    <xf numFmtId="0" fontId="47" fillId="2" borderId="0" xfId="0" applyFont="1" applyFill="1" applyBorder="1" applyAlignment="1">
      <alignment horizontal="center" vertical="center"/>
    </xf>
    <xf numFmtId="0" fontId="35" fillId="19" borderId="0" xfId="0" applyFont="1" applyFill="1" applyAlignment="1">
      <alignment vertical="center"/>
    </xf>
    <xf numFmtId="0" fontId="31" fillId="3" borderId="1" xfId="0" applyFont="1" applyFill="1" applyBorder="1" applyAlignment="1">
      <alignment horizontal="right" vertical="center"/>
    </xf>
    <xf numFmtId="165" fontId="31" fillId="4" borderId="1" xfId="0" applyNumberFormat="1" applyFont="1" applyFill="1" applyBorder="1" applyAlignment="1">
      <alignment horizontal="left" vertical="center"/>
    </xf>
    <xf numFmtId="165" fontId="35" fillId="19" borderId="1" xfId="0" applyNumberFormat="1" applyFont="1" applyFill="1" applyBorder="1" applyAlignment="1">
      <alignment horizontal="left" vertical="center"/>
    </xf>
    <xf numFmtId="166" fontId="35" fillId="18" borderId="1" xfId="0" applyNumberFormat="1" applyFont="1" applyFill="1" applyBorder="1" applyAlignment="1">
      <alignment horizontal="center" vertical="center"/>
    </xf>
    <xf numFmtId="0" fontId="35" fillId="18" borderId="1" xfId="0" applyFont="1" applyFill="1" applyBorder="1" applyAlignment="1" applyProtection="1">
      <alignment horizontal="center" vertical="center"/>
      <protection locked="0"/>
    </xf>
    <xf numFmtId="0" fontId="35" fillId="19" borderId="0" xfId="0" applyFont="1" applyFill="1" applyBorder="1" applyAlignment="1">
      <alignment horizontal="center" vertical="center" wrapText="1"/>
    </xf>
    <xf numFmtId="0" fontId="31" fillId="18" borderId="1" xfId="0" applyFont="1" applyFill="1" applyBorder="1" applyAlignment="1">
      <alignment horizontal="center" vertical="center"/>
    </xf>
    <xf numFmtId="166" fontId="31" fillId="18" borderId="1" xfId="0" applyNumberFormat="1" applyFont="1" applyFill="1" applyBorder="1" applyAlignment="1">
      <alignment horizontal="center" vertical="center"/>
    </xf>
    <xf numFmtId="0" fontId="30" fillId="19" borderId="0" xfId="0" applyFont="1" applyFill="1" applyBorder="1" applyAlignment="1">
      <alignment horizontal="center" vertical="center"/>
    </xf>
    <xf numFmtId="0" fontId="47" fillId="19" borderId="0" xfId="0" applyFont="1" applyFill="1" applyAlignment="1">
      <alignment vertical="center"/>
    </xf>
    <xf numFmtId="0" fontId="35" fillId="19" borderId="1" xfId="0" applyFont="1" applyFill="1" applyBorder="1" applyAlignment="1">
      <alignment horizontal="left" vertical="center" wrapText="1"/>
    </xf>
    <xf numFmtId="0" fontId="30" fillId="19" borderId="1" xfId="0" applyFont="1" applyFill="1" applyBorder="1" applyAlignment="1">
      <alignment horizontal="center" vertical="center"/>
    </xf>
    <xf numFmtId="0" fontId="35" fillId="19" borderId="13" xfId="0" applyFont="1" applyFill="1" applyBorder="1" applyAlignment="1">
      <alignment vertical="center"/>
    </xf>
    <xf numFmtId="0" fontId="35" fillId="19" borderId="14" xfId="0" applyFont="1" applyFill="1" applyBorder="1" applyAlignment="1">
      <alignment vertical="center"/>
    </xf>
    <xf numFmtId="0" fontId="35" fillId="19" borderId="15" xfId="0" applyFont="1" applyFill="1" applyBorder="1" applyAlignment="1">
      <alignment vertical="center"/>
    </xf>
    <xf numFmtId="0" fontId="35" fillId="19" borderId="1" xfId="0" applyFont="1" applyFill="1" applyBorder="1" applyAlignment="1">
      <alignment horizontal="center" vertical="center" wrapText="1"/>
    </xf>
    <xf numFmtId="4" fontId="35" fillId="19" borderId="1" xfId="0" applyNumberFormat="1" applyFont="1" applyFill="1" applyBorder="1" applyAlignment="1">
      <alignment horizontal="center" vertical="center" wrapText="1"/>
    </xf>
    <xf numFmtId="0" fontId="35" fillId="19" borderId="13" xfId="0" applyFont="1" applyFill="1" applyBorder="1" applyAlignment="1">
      <alignment vertical="center" wrapText="1"/>
    </xf>
    <xf numFmtId="0" fontId="35" fillId="19" borderId="14" xfId="0" applyFont="1" applyFill="1" applyBorder="1" applyAlignment="1">
      <alignment vertical="center" wrapText="1"/>
    </xf>
    <xf numFmtId="0" fontId="35" fillId="19" borderId="15" xfId="0" applyFont="1" applyFill="1" applyBorder="1" applyAlignment="1">
      <alignment vertical="center" wrapText="1"/>
    </xf>
    <xf numFmtId="166" fontId="35" fillId="18" borderId="1" xfId="0" applyNumberFormat="1" applyFont="1" applyFill="1" applyBorder="1" applyAlignment="1">
      <alignment vertical="center"/>
    </xf>
    <xf numFmtId="177" fontId="35" fillId="18" borderId="1" xfId="0" applyNumberFormat="1" applyFont="1" applyFill="1" applyBorder="1" applyAlignment="1">
      <alignment horizontal="right" vertical="center"/>
    </xf>
    <xf numFmtId="0" fontId="35" fillId="19" borderId="0" xfId="0" applyFont="1" applyFill="1" applyBorder="1" applyAlignment="1">
      <alignment horizontal="left" vertical="center"/>
    </xf>
    <xf numFmtId="0" fontId="35" fillId="19" borderId="0" xfId="0" applyFont="1" applyFill="1" applyBorder="1" applyAlignment="1">
      <alignment horizontal="center" vertical="center"/>
    </xf>
    <xf numFmtId="177" fontId="35" fillId="19" borderId="0" xfId="0" applyNumberFormat="1" applyFont="1" applyFill="1" applyBorder="1" applyAlignment="1">
      <alignment horizontal="right" vertical="center"/>
    </xf>
    <xf numFmtId="176" fontId="35" fillId="0" borderId="1" xfId="0" applyNumberFormat="1" applyFont="1" applyFill="1" applyBorder="1" applyAlignment="1">
      <alignment horizontal="center" vertical="center"/>
    </xf>
    <xf numFmtId="0" fontId="35" fillId="0" borderId="1" xfId="0" applyFont="1" applyFill="1" applyBorder="1" applyAlignment="1">
      <alignment horizontal="center" vertical="center"/>
    </xf>
    <xf numFmtId="177" fontId="35" fillId="18" borderId="1" xfId="0" applyNumberFormat="1" applyFont="1" applyFill="1" applyBorder="1" applyAlignment="1">
      <alignment horizontal="center" vertical="center"/>
    </xf>
    <xf numFmtId="0" fontId="30" fillId="0" borderId="0" xfId="0" applyFont="1" applyFill="1" applyAlignment="1">
      <alignment vertical="center"/>
    </xf>
    <xf numFmtId="0" fontId="30" fillId="0" borderId="0" xfId="0" applyFont="1" applyFill="1" applyAlignment="1">
      <alignment horizontal="center" vertical="center"/>
    </xf>
    <xf numFmtId="165" fontId="30" fillId="18" borderId="1" xfId="0" applyNumberFormat="1" applyFont="1" applyFill="1" applyBorder="1" applyAlignment="1">
      <alignment horizontal="center" vertical="center"/>
    </xf>
    <xf numFmtId="178" fontId="31" fillId="4" borderId="1" xfId="0" applyNumberFormat="1" applyFont="1" applyFill="1" applyBorder="1" applyAlignment="1">
      <alignment horizontal="center" vertical="center"/>
    </xf>
    <xf numFmtId="0" fontId="30" fillId="0" borderId="1" xfId="0" applyFont="1" applyFill="1" applyBorder="1" applyAlignment="1">
      <alignment vertical="center"/>
    </xf>
    <xf numFmtId="0" fontId="48" fillId="0" borderId="1" xfId="0" applyFont="1" applyBorder="1" applyAlignment="1">
      <alignment horizontal="center" vertical="center" wrapText="1"/>
    </xf>
    <xf numFmtId="0" fontId="49" fillId="0" borderId="1" xfId="0" applyFont="1" applyBorder="1" applyAlignment="1">
      <alignment horizontal="center" vertical="center" wrapText="1"/>
    </xf>
    <xf numFmtId="0" fontId="30" fillId="0" borderId="0" xfId="0" applyFont="1" applyBorder="1" applyAlignment="1">
      <alignment horizontal="center" vertical="center" wrapText="1"/>
    </xf>
    <xf numFmtId="0" fontId="31" fillId="0" borderId="0" xfId="0" applyFont="1" applyFill="1" applyBorder="1" applyAlignment="1">
      <alignment vertical="center"/>
    </xf>
    <xf numFmtId="0" fontId="31" fillId="0" borderId="0" xfId="0" applyFont="1" applyBorder="1" applyAlignment="1">
      <alignment vertical="center"/>
    </xf>
    <xf numFmtId="0" fontId="49" fillId="0" borderId="0" xfId="0" applyFont="1" applyAlignment="1">
      <alignment horizontal="center" vertical="center" wrapText="1"/>
    </xf>
    <xf numFmtId="0" fontId="48" fillId="0" borderId="0" xfId="0" applyFont="1" applyAlignment="1">
      <alignment horizontal="center" vertical="center" wrapText="1"/>
    </xf>
    <xf numFmtId="0" fontId="32" fillId="0" borderId="0" xfId="0" applyFont="1" applyAlignment="1">
      <alignment horizontal="center" vertical="center" wrapText="1"/>
    </xf>
    <xf numFmtId="0" fontId="47" fillId="0" borderId="0" xfId="0" applyFont="1" applyFill="1" applyAlignment="1">
      <alignment vertical="center"/>
    </xf>
    <xf numFmtId="0" fontId="30" fillId="19" borderId="0" xfId="0" applyFont="1" applyFill="1" applyAlignment="1">
      <alignment horizontal="center" vertical="center"/>
    </xf>
    <xf numFmtId="0" fontId="34" fillId="20" borderId="19" xfId="0" applyFont="1" applyFill="1" applyBorder="1" applyAlignment="1">
      <alignment horizontal="center" vertical="center" wrapText="1"/>
    </xf>
    <xf numFmtId="0" fontId="30" fillId="0" borderId="0" xfId="0" applyFont="1" applyAlignment="1">
      <alignment horizontal="center"/>
    </xf>
    <xf numFmtId="0" fontId="44" fillId="2" borderId="0" xfId="0" applyFont="1" applyFill="1" applyAlignment="1">
      <alignment horizontal="center" vertical="center"/>
    </xf>
    <xf numFmtId="0" fontId="44" fillId="2" borderId="0" xfId="0" applyFont="1" applyFill="1" applyBorder="1" applyAlignment="1">
      <alignment horizontal="center" vertical="center"/>
    </xf>
    <xf numFmtId="0" fontId="35" fillId="0" borderId="1" xfId="0" applyFont="1" applyFill="1" applyBorder="1" applyAlignment="1">
      <alignment horizontal="left" vertical="center"/>
    </xf>
    <xf numFmtId="0" fontId="35" fillId="19" borderId="1" xfId="0" applyFont="1" applyFill="1" applyBorder="1" applyAlignment="1">
      <alignment horizontal="left" vertical="center"/>
    </xf>
    <xf numFmtId="166" fontId="30" fillId="18" borderId="1" xfId="0" applyNumberFormat="1" applyFont="1" applyFill="1" applyBorder="1" applyAlignment="1">
      <alignment horizontal="center" vertical="center"/>
    </xf>
    <xf numFmtId="0" fontId="0" fillId="2" borderId="0" xfId="0" applyFill="1" applyProtection="1">
      <protection locked="0"/>
    </xf>
    <xf numFmtId="0" fontId="0" fillId="0" borderId="0" xfId="0" applyProtection="1">
      <protection locked="0"/>
    </xf>
    <xf numFmtId="0" fontId="0" fillId="8" borderId="0" xfId="0" applyFill="1" applyProtection="1">
      <protection locked="0"/>
    </xf>
    <xf numFmtId="166" fontId="35" fillId="18" borderId="1" xfId="0" applyNumberFormat="1" applyFont="1" applyFill="1" applyBorder="1" applyAlignment="1" applyProtection="1">
      <alignment horizontal="center" vertical="center"/>
      <protection locked="0"/>
    </xf>
    <xf numFmtId="1" fontId="32" fillId="3" borderId="1" xfId="0" applyNumberFormat="1" applyFont="1" applyFill="1" applyBorder="1" applyAlignment="1" applyProtection="1">
      <alignment vertical="center"/>
    </xf>
    <xf numFmtId="169" fontId="30" fillId="18" borderId="1" xfId="0" applyNumberFormat="1" applyFont="1" applyFill="1" applyBorder="1" applyAlignment="1" applyProtection="1">
      <alignment horizontal="right" vertical="center"/>
    </xf>
    <xf numFmtId="166" fontId="30" fillId="18" borderId="1" xfId="0" applyNumberFormat="1" applyFont="1" applyFill="1" applyBorder="1" applyAlignment="1" applyProtection="1">
      <alignment horizontal="right" vertical="center"/>
    </xf>
    <xf numFmtId="171" fontId="30" fillId="4" borderId="1" xfId="0" applyNumberFormat="1" applyFont="1" applyFill="1" applyBorder="1" applyAlignment="1" applyProtection="1">
      <alignment horizontal="right" vertical="center"/>
      <protection locked="0"/>
    </xf>
    <xf numFmtId="2" fontId="30" fillId="18" borderId="1" xfId="0" applyNumberFormat="1" applyFont="1" applyFill="1" applyBorder="1" applyAlignment="1" applyProtection="1">
      <alignment horizontal="right" vertical="center"/>
    </xf>
    <xf numFmtId="1" fontId="32" fillId="3" borderId="1" xfId="0" applyNumberFormat="1" applyFont="1" applyFill="1" applyBorder="1" applyAlignment="1" applyProtection="1">
      <alignment horizontal="left" vertical="center"/>
    </xf>
    <xf numFmtId="173" fontId="30" fillId="18" borderId="1" xfId="0" applyNumberFormat="1" applyFont="1" applyFill="1" applyBorder="1" applyAlignment="1" applyProtection="1">
      <alignment horizontal="right" vertical="center"/>
      <protection locked="0"/>
    </xf>
    <xf numFmtId="172" fontId="30" fillId="4" borderId="1" xfId="0" applyNumberFormat="1" applyFont="1" applyFill="1" applyBorder="1" applyAlignment="1" applyProtection="1">
      <alignment horizontal="right" vertical="center"/>
      <protection locked="0"/>
    </xf>
    <xf numFmtId="174" fontId="30" fillId="18" borderId="1" xfId="0" applyNumberFormat="1" applyFont="1" applyFill="1" applyBorder="1" applyAlignment="1" applyProtection="1">
      <alignment horizontal="right" vertical="center"/>
    </xf>
    <xf numFmtId="0" fontId="32" fillId="3" borderId="1" xfId="0" applyFont="1" applyFill="1" applyBorder="1" applyAlignment="1">
      <alignment horizontal="left" vertical="center" wrapText="1"/>
    </xf>
    <xf numFmtId="0" fontId="32" fillId="3" borderId="20" xfId="0" applyFont="1" applyFill="1" applyBorder="1" applyAlignment="1">
      <alignment vertical="center"/>
    </xf>
    <xf numFmtId="0" fontId="32" fillId="3" borderId="21" xfId="0" applyFont="1" applyFill="1" applyBorder="1" applyAlignment="1">
      <alignment vertical="center"/>
    </xf>
    <xf numFmtId="0" fontId="32" fillId="3" borderId="22" xfId="0" applyFont="1" applyFill="1" applyBorder="1" applyAlignment="1">
      <alignment vertical="center"/>
    </xf>
    <xf numFmtId="0" fontId="32" fillId="3" borderId="1" xfId="0" applyFont="1" applyFill="1" applyBorder="1" applyAlignment="1" applyProtection="1">
      <alignment vertical="center"/>
    </xf>
    <xf numFmtId="0" fontId="32" fillId="3" borderId="1" xfId="0" applyFont="1" applyFill="1" applyBorder="1" applyAlignment="1" applyProtection="1">
      <alignment horizontal="center" vertical="center"/>
    </xf>
    <xf numFmtId="2" fontId="32" fillId="3" borderId="1" xfId="0" applyNumberFormat="1" applyFont="1" applyFill="1" applyBorder="1" applyAlignment="1" applyProtection="1">
      <alignment horizontal="center" vertical="center"/>
    </xf>
    <xf numFmtId="2" fontId="32" fillId="3" borderId="1" xfId="0" applyNumberFormat="1" applyFont="1" applyFill="1" applyBorder="1" applyAlignment="1" applyProtection="1">
      <alignment vertical="center"/>
    </xf>
    <xf numFmtId="0" fontId="34" fillId="21" borderId="1" xfId="0" applyFont="1" applyFill="1" applyBorder="1" applyAlignment="1" applyProtection="1">
      <alignment vertical="center"/>
    </xf>
    <xf numFmtId="1" fontId="30" fillId="18" borderId="1" xfId="0" applyNumberFormat="1" applyFont="1" applyFill="1" applyBorder="1" applyAlignment="1" applyProtection="1">
      <alignment horizontal="center" vertical="center"/>
    </xf>
    <xf numFmtId="2" fontId="30" fillId="18" borderId="1" xfId="0" applyNumberFormat="1" applyFont="1" applyFill="1" applyBorder="1" applyAlignment="1" applyProtection="1">
      <alignment horizontal="center" vertical="center"/>
    </xf>
    <xf numFmtId="166" fontId="30" fillId="18" borderId="1" xfId="0" applyNumberFormat="1" applyFont="1" applyFill="1" applyBorder="1" applyAlignment="1" applyProtection="1">
      <alignment horizontal="center" vertical="center"/>
    </xf>
    <xf numFmtId="0" fontId="32" fillId="22" borderId="13" xfId="0" applyFont="1" applyFill="1" applyBorder="1" applyAlignment="1" applyProtection="1">
      <alignment vertical="center"/>
    </xf>
    <xf numFmtId="2" fontId="32" fillId="22" borderId="14" xfId="0" applyNumberFormat="1" applyFont="1" applyFill="1" applyBorder="1" applyAlignment="1" applyProtection="1">
      <alignment horizontal="center" vertical="center"/>
    </xf>
    <xf numFmtId="2" fontId="32" fillId="22" borderId="15" xfId="0" applyNumberFormat="1" applyFont="1" applyFill="1" applyBorder="1" applyAlignment="1" applyProtection="1">
      <alignment vertical="center"/>
    </xf>
    <xf numFmtId="2" fontId="35" fillId="18" borderId="1" xfId="0" applyNumberFormat="1" applyFont="1" applyFill="1" applyBorder="1" applyAlignment="1">
      <alignment horizontal="center" vertical="center"/>
    </xf>
    <xf numFmtId="0" fontId="45" fillId="19" borderId="0" xfId="6" applyFont="1" applyFill="1" applyBorder="1" applyAlignment="1">
      <alignment vertical="center"/>
    </xf>
    <xf numFmtId="0" fontId="36" fillId="19" borderId="0" xfId="6" applyFont="1" applyFill="1" applyBorder="1" applyAlignment="1">
      <alignment vertical="center"/>
    </xf>
    <xf numFmtId="0" fontId="46" fillId="19" borderId="0" xfId="6" applyFont="1" applyFill="1" applyBorder="1" applyAlignment="1">
      <alignment horizontal="left" vertical="center"/>
    </xf>
    <xf numFmtId="0" fontId="36" fillId="19" borderId="0" xfId="6" applyFont="1" applyFill="1" applyBorder="1" applyAlignment="1">
      <alignment horizontal="center" vertical="center"/>
    </xf>
    <xf numFmtId="0" fontId="36" fillId="19" borderId="0" xfId="6" applyFont="1" applyFill="1" applyBorder="1" applyAlignment="1">
      <alignment horizontal="left" vertical="center"/>
    </xf>
    <xf numFmtId="166" fontId="36" fillId="19" borderId="0" xfId="6" applyNumberFormat="1" applyFont="1" applyFill="1" applyBorder="1" applyAlignment="1">
      <alignment vertical="center"/>
    </xf>
    <xf numFmtId="0" fontId="36" fillId="19" borderId="0" xfId="6" applyFont="1" applyFill="1" applyBorder="1" applyAlignment="1">
      <alignment horizontal="right" vertical="center"/>
    </xf>
    <xf numFmtId="2" fontId="34" fillId="19" borderId="0" xfId="6" applyNumberFormat="1" applyFont="1" applyFill="1" applyBorder="1" applyAlignment="1">
      <alignment horizontal="center" vertical="center"/>
    </xf>
    <xf numFmtId="0" fontId="34" fillId="19" borderId="0" xfId="6" applyFont="1" applyFill="1" applyBorder="1" applyAlignment="1">
      <alignment vertical="center"/>
    </xf>
    <xf numFmtId="0" fontId="45" fillId="19" borderId="0" xfId="6" applyFont="1" applyFill="1" applyBorder="1" applyAlignment="1">
      <alignment horizontal="center" vertical="center"/>
    </xf>
    <xf numFmtId="167" fontId="36" fillId="19" borderId="0" xfId="6" applyNumberFormat="1" applyFont="1" applyFill="1" applyBorder="1" applyAlignment="1">
      <alignment vertical="center"/>
    </xf>
    <xf numFmtId="166" fontId="36" fillId="19" borderId="0" xfId="6" applyNumberFormat="1" applyFont="1" applyFill="1" applyBorder="1" applyAlignment="1">
      <alignment horizontal="center" vertical="center"/>
    </xf>
    <xf numFmtId="0" fontId="46" fillId="19" borderId="0" xfId="6" applyFont="1" applyFill="1" applyBorder="1" applyAlignment="1">
      <alignment vertical="center"/>
    </xf>
    <xf numFmtId="0" fontId="34" fillId="19" borderId="0" xfId="6" applyFont="1" applyFill="1" applyBorder="1" applyAlignment="1">
      <alignment horizontal="center" vertical="center"/>
    </xf>
    <xf numFmtId="167" fontId="36" fillId="19" borderId="0" xfId="6" applyNumberFormat="1" applyFont="1" applyFill="1" applyBorder="1" applyAlignment="1">
      <alignment horizontal="right" vertical="center"/>
    </xf>
    <xf numFmtId="167" fontId="36" fillId="19" borderId="0" xfId="6" applyNumberFormat="1" applyFont="1" applyFill="1" applyBorder="1" applyAlignment="1">
      <alignment horizontal="center" vertical="center"/>
    </xf>
    <xf numFmtId="0" fontId="34" fillId="19" borderId="0" xfId="6" applyFont="1" applyFill="1" applyBorder="1" applyAlignment="1">
      <alignment horizontal="left" vertical="center"/>
    </xf>
    <xf numFmtId="0" fontId="35" fillId="19" borderId="0" xfId="6" applyFont="1" applyFill="1" applyBorder="1" applyAlignment="1">
      <alignment vertical="center"/>
    </xf>
    <xf numFmtId="0" fontId="34" fillId="2" borderId="0" xfId="0" applyFont="1" applyFill="1" applyAlignment="1">
      <alignment vertical="center"/>
    </xf>
    <xf numFmtId="0" fontId="35" fillId="0" borderId="0" xfId="6" applyFont="1" applyAlignment="1">
      <alignment vertical="center"/>
    </xf>
    <xf numFmtId="0" fontId="35" fillId="0" borderId="0" xfId="6" applyFont="1" applyAlignment="1">
      <alignment horizontal="center" vertical="center"/>
    </xf>
    <xf numFmtId="0" fontId="35" fillId="23" borderId="1" xfId="6" applyFont="1" applyFill="1" applyBorder="1" applyAlignment="1">
      <alignment vertical="center"/>
    </xf>
    <xf numFmtId="0" fontId="31" fillId="3" borderId="1" xfId="6" applyFont="1" applyFill="1" applyBorder="1" applyAlignment="1">
      <alignment vertical="center" wrapText="1"/>
    </xf>
    <xf numFmtId="0" fontId="35" fillId="3" borderId="1" xfId="6" applyFont="1" applyFill="1" applyBorder="1" applyAlignment="1">
      <alignment vertical="center"/>
    </xf>
    <xf numFmtId="0" fontId="31" fillId="3" borderId="1" xfId="6" applyFont="1" applyFill="1" applyBorder="1" applyAlignment="1">
      <alignment vertical="center"/>
    </xf>
    <xf numFmtId="0" fontId="35" fillId="19" borderId="0" xfId="6" applyFont="1" applyFill="1" applyAlignment="1">
      <alignment vertical="center"/>
    </xf>
    <xf numFmtId="0" fontId="35" fillId="19" borderId="1" xfId="6" applyFont="1" applyFill="1" applyBorder="1" applyAlignment="1">
      <alignment vertical="center"/>
    </xf>
    <xf numFmtId="0" fontId="50" fillId="19" borderId="0" xfId="6" applyFont="1" applyFill="1" applyAlignment="1">
      <alignment vertical="center"/>
    </xf>
    <xf numFmtId="0" fontId="51" fillId="19" borderId="0" xfId="6" applyFont="1" applyFill="1" applyAlignment="1">
      <alignment vertical="center"/>
    </xf>
    <xf numFmtId="0" fontId="31" fillId="19" borderId="1" xfId="6" applyFont="1" applyFill="1" applyBorder="1" applyAlignment="1">
      <alignment vertical="center"/>
    </xf>
    <xf numFmtId="166" fontId="35" fillId="19" borderId="0" xfId="6" applyNumberFormat="1" applyFont="1" applyFill="1" applyBorder="1" applyAlignment="1">
      <alignment vertical="center"/>
    </xf>
    <xf numFmtId="166" fontId="35" fillId="19" borderId="1" xfId="6" applyNumberFormat="1" applyFont="1" applyFill="1" applyBorder="1" applyAlignment="1">
      <alignment vertical="center"/>
    </xf>
    <xf numFmtId="0" fontId="52" fillId="19" borderId="0" xfId="6" applyFont="1" applyFill="1" applyBorder="1" applyAlignment="1">
      <alignment vertical="center"/>
    </xf>
    <xf numFmtId="0" fontId="37" fillId="19" borderId="1" xfId="6" applyFont="1" applyFill="1" applyBorder="1" applyAlignment="1">
      <alignment vertical="center"/>
    </xf>
    <xf numFmtId="0" fontId="35" fillId="19" borderId="1" xfId="6" applyFont="1" applyFill="1" applyBorder="1" applyAlignment="1">
      <alignment horizontal="left" vertical="center"/>
    </xf>
    <xf numFmtId="0" fontId="37" fillId="19" borderId="0" xfId="6" applyFont="1" applyFill="1" applyBorder="1" applyAlignment="1">
      <alignment vertical="center"/>
    </xf>
    <xf numFmtId="0" fontId="53" fillId="23" borderId="1" xfId="6" applyFont="1" applyFill="1" applyBorder="1" applyAlignment="1">
      <alignment horizontal="center" vertical="center"/>
    </xf>
    <xf numFmtId="2" fontId="53" fillId="23" borderId="1" xfId="6" applyNumberFormat="1" applyFont="1" applyFill="1" applyBorder="1" applyAlignment="1">
      <alignment horizontal="center" vertical="center"/>
    </xf>
    <xf numFmtId="0" fontId="31" fillId="3" borderId="11" xfId="6" applyFont="1" applyFill="1" applyBorder="1" applyAlignment="1">
      <alignment vertical="center" wrapText="1"/>
    </xf>
    <xf numFmtId="166" fontId="35" fillId="23" borderId="1" xfId="6" applyNumberFormat="1" applyFont="1" applyFill="1" applyBorder="1" applyAlignment="1">
      <alignment vertical="center"/>
    </xf>
    <xf numFmtId="0" fontId="54" fillId="19" borderId="0" xfId="6" applyFont="1" applyFill="1" applyAlignment="1">
      <alignment vertical="center"/>
    </xf>
    <xf numFmtId="0" fontId="37" fillId="19" borderId="0" xfId="6" applyFont="1" applyFill="1" applyAlignment="1">
      <alignment vertical="center"/>
    </xf>
    <xf numFmtId="0" fontId="31" fillId="19" borderId="1" xfId="6" applyFont="1" applyFill="1" applyBorder="1" applyAlignment="1">
      <alignment horizontal="center" vertical="center"/>
    </xf>
    <xf numFmtId="0" fontId="35" fillId="19" borderId="0" xfId="6" applyFont="1" applyFill="1" applyBorder="1" applyAlignment="1">
      <alignment horizontal="left" vertical="center"/>
    </xf>
    <xf numFmtId="0" fontId="35" fillId="19" borderId="0" xfId="6" quotePrefix="1" applyFont="1" applyFill="1" applyBorder="1" applyAlignment="1">
      <alignment horizontal="left" vertical="center"/>
    </xf>
    <xf numFmtId="0" fontId="35" fillId="19" borderId="0" xfId="6" quotePrefix="1" applyFont="1" applyFill="1" applyBorder="1" applyAlignment="1">
      <alignment horizontal="left" vertical="center" wrapText="1"/>
    </xf>
    <xf numFmtId="166" fontId="53" fillId="23" borderId="1" xfId="6" applyNumberFormat="1" applyFont="1" applyFill="1" applyBorder="1" applyAlignment="1">
      <alignment vertical="center"/>
    </xf>
    <xf numFmtId="170" fontId="35" fillId="23" borderId="1" xfId="6" applyNumberFormat="1" applyFont="1" applyFill="1" applyBorder="1" applyAlignment="1">
      <alignment vertical="center"/>
    </xf>
    <xf numFmtId="43" fontId="37" fillId="23" borderId="1" xfId="1" applyFont="1" applyFill="1" applyBorder="1" applyAlignment="1">
      <alignment vertical="center"/>
    </xf>
    <xf numFmtId="0" fontId="37" fillId="23" borderId="1" xfId="6" applyFont="1" applyFill="1" applyBorder="1" applyAlignment="1">
      <alignment vertical="center"/>
    </xf>
    <xf numFmtId="166" fontId="53" fillId="23" borderId="1" xfId="6" applyNumberFormat="1" applyFont="1" applyFill="1" applyBorder="1" applyAlignment="1">
      <alignment horizontal="center" vertical="center"/>
    </xf>
    <xf numFmtId="0" fontId="45" fillId="19" borderId="0" xfId="6" applyFont="1" applyFill="1" applyAlignment="1">
      <alignment vertical="center"/>
    </xf>
    <xf numFmtId="0" fontId="35" fillId="19" borderId="0" xfId="6" applyFont="1" applyFill="1" applyAlignment="1">
      <alignment horizontal="center" vertical="center"/>
    </xf>
    <xf numFmtId="0" fontId="54" fillId="19" borderId="1" xfId="6" applyFont="1" applyFill="1" applyBorder="1" applyAlignment="1">
      <alignment horizontal="center" vertical="center"/>
    </xf>
    <xf numFmtId="0" fontId="52" fillId="19" borderId="1" xfId="6" applyFont="1" applyFill="1" applyBorder="1" applyAlignment="1">
      <alignment horizontal="center" vertical="center"/>
    </xf>
    <xf numFmtId="0" fontId="37" fillId="3" borderId="1" xfId="6" applyFont="1" applyFill="1" applyBorder="1" applyAlignment="1">
      <alignment horizontal="center" vertical="center"/>
    </xf>
    <xf numFmtId="43" fontId="34" fillId="24" borderId="1" xfId="1" applyFont="1" applyFill="1" applyBorder="1" applyAlignment="1">
      <alignment vertical="center"/>
    </xf>
    <xf numFmtId="164" fontId="53" fillId="23" borderId="1" xfId="4" applyFont="1" applyFill="1" applyBorder="1" applyAlignment="1">
      <alignment horizontal="center" vertical="center"/>
    </xf>
    <xf numFmtId="165" fontId="53" fillId="23" borderId="1" xfId="6" applyNumberFormat="1" applyFont="1" applyFill="1" applyBorder="1" applyAlignment="1">
      <alignment horizontal="center" vertical="center"/>
    </xf>
    <xf numFmtId="0" fontId="35" fillId="4" borderId="1" xfId="6" applyFont="1" applyFill="1" applyBorder="1" applyAlignment="1" applyProtection="1">
      <alignment vertical="center"/>
      <protection locked="0"/>
    </xf>
    <xf numFmtId="0" fontId="55" fillId="25" borderId="1" xfId="6" applyFont="1" applyFill="1" applyBorder="1" applyAlignment="1" applyProtection="1">
      <alignment vertical="center"/>
      <protection locked="0"/>
    </xf>
    <xf numFmtId="0" fontId="31" fillId="4" borderId="1" xfId="6" applyFont="1" applyFill="1" applyBorder="1" applyAlignment="1" applyProtection="1">
      <alignment vertical="center"/>
      <protection locked="0"/>
    </xf>
    <xf numFmtId="180" fontId="35" fillId="4" borderId="1" xfId="1" applyNumberFormat="1" applyFont="1" applyFill="1" applyBorder="1" applyAlignment="1" applyProtection="1">
      <alignment vertical="center"/>
      <protection locked="0"/>
    </xf>
    <xf numFmtId="0" fontId="35" fillId="4" borderId="11" xfId="6" applyFont="1" applyFill="1" applyBorder="1" applyAlignment="1" applyProtection="1">
      <alignment vertical="center"/>
      <protection locked="0"/>
    </xf>
    <xf numFmtId="0" fontId="31" fillId="19" borderId="1" xfId="6" applyFont="1" applyFill="1" applyBorder="1" applyAlignment="1">
      <alignment horizontal="center" vertical="center"/>
    </xf>
    <xf numFmtId="0" fontId="35" fillId="19" borderId="1" xfId="6" applyFont="1" applyFill="1" applyBorder="1" applyAlignment="1">
      <alignment horizontal="center" vertical="center"/>
    </xf>
    <xf numFmtId="43" fontId="37" fillId="16" borderId="1" xfId="1" applyFont="1" applyFill="1" applyBorder="1" applyAlignment="1">
      <alignment vertical="center" wrapText="1"/>
    </xf>
    <xf numFmtId="166" fontId="37" fillId="16" borderId="1" xfId="6" applyNumberFormat="1" applyFont="1" applyFill="1" applyBorder="1" applyAlignment="1">
      <alignment horizontal="center" vertical="center" wrapText="1"/>
    </xf>
    <xf numFmtId="43" fontId="31" fillId="16" borderId="1" xfId="1" applyFont="1" applyFill="1" applyBorder="1" applyAlignment="1">
      <alignment vertical="center"/>
    </xf>
    <xf numFmtId="166" fontId="31" fillId="16" borderId="1" xfId="6" applyNumberFormat="1" applyFont="1" applyFill="1" applyBorder="1" applyAlignment="1">
      <alignment horizontal="center" vertical="center"/>
    </xf>
    <xf numFmtId="0" fontId="31" fillId="4" borderId="1" xfId="6" applyFont="1" applyFill="1" applyBorder="1" applyAlignment="1" applyProtection="1">
      <alignment horizontal="center" vertical="center"/>
      <protection locked="0"/>
    </xf>
    <xf numFmtId="0" fontId="35" fillId="4" borderId="1" xfId="6" applyFont="1" applyFill="1" applyBorder="1" applyAlignment="1" applyProtection="1">
      <alignment horizontal="center" vertical="center"/>
      <protection locked="0"/>
    </xf>
    <xf numFmtId="2" fontId="30" fillId="0" borderId="3" xfId="0" applyNumberFormat="1" applyFont="1" applyBorder="1" applyAlignment="1">
      <alignment horizontal="center" vertical="center"/>
    </xf>
    <xf numFmtId="0" fontId="45" fillId="19" borderId="1" xfId="6" applyFont="1" applyFill="1" applyBorder="1" applyAlignment="1">
      <alignment horizontal="center" vertical="center"/>
    </xf>
    <xf numFmtId="0" fontId="56" fillId="19" borderId="1" xfId="6" applyFont="1" applyFill="1" applyBorder="1" applyAlignment="1">
      <alignment horizontal="center" vertical="center"/>
    </xf>
    <xf numFmtId="0" fontId="41" fillId="19" borderId="0" xfId="0" applyFont="1" applyFill="1" applyBorder="1" applyAlignment="1">
      <alignment horizontal="center" vertical="center"/>
    </xf>
    <xf numFmtId="2" fontId="41" fillId="19" borderId="0" xfId="0" applyNumberFormat="1" applyFont="1" applyFill="1" applyBorder="1" applyAlignment="1">
      <alignment horizontal="center" vertical="center"/>
    </xf>
    <xf numFmtId="0" fontId="57" fillId="19" borderId="0" xfId="0" applyFont="1" applyFill="1" applyBorder="1" applyAlignment="1">
      <alignment horizontal="center" vertical="center"/>
    </xf>
    <xf numFmtId="0" fontId="57" fillId="19" borderId="0" xfId="0" applyFont="1" applyFill="1" applyBorder="1" applyAlignment="1">
      <alignment vertical="center"/>
    </xf>
    <xf numFmtId="2" fontId="57" fillId="19" borderId="0" xfId="0" applyNumberFormat="1" applyFont="1" applyFill="1" applyBorder="1" applyAlignment="1">
      <alignment vertical="center"/>
    </xf>
    <xf numFmtId="166" fontId="34" fillId="19" borderId="0" xfId="6" applyNumberFormat="1" applyFont="1" applyFill="1" applyBorder="1" applyAlignment="1" applyProtection="1">
      <alignment horizontal="center" vertical="center"/>
    </xf>
    <xf numFmtId="166" fontId="45" fillId="19" borderId="0" xfId="6" applyNumberFormat="1" applyFont="1" applyFill="1" applyBorder="1" applyAlignment="1">
      <alignment vertical="center"/>
    </xf>
    <xf numFmtId="2" fontId="36" fillId="19" borderId="0" xfId="6" applyNumberFormat="1" applyFont="1" applyFill="1" applyBorder="1" applyAlignment="1">
      <alignment vertical="center"/>
    </xf>
    <xf numFmtId="0" fontId="11" fillId="0" borderId="4" xfId="0" applyFont="1" applyBorder="1" applyAlignment="1">
      <alignment horizontal="center" vertical="center"/>
    </xf>
    <xf numFmtId="2" fontId="0" fillId="0" borderId="7" xfId="0" applyNumberFormat="1" applyBorder="1" applyAlignment="1">
      <alignment horizontal="center" vertical="center"/>
    </xf>
    <xf numFmtId="0" fontId="31" fillId="3" borderId="23" xfId="0" applyFont="1" applyFill="1" applyBorder="1" applyAlignment="1">
      <alignment horizontal="center" vertical="center"/>
    </xf>
    <xf numFmtId="0" fontId="31" fillId="3" borderId="24" xfId="0" applyFont="1" applyFill="1" applyBorder="1" applyAlignment="1">
      <alignment horizontal="center" vertical="center"/>
    </xf>
    <xf numFmtId="0" fontId="35" fillId="0" borderId="5" xfId="0" applyFont="1" applyBorder="1" applyAlignment="1">
      <alignment horizontal="center" vertical="center"/>
    </xf>
    <xf numFmtId="2" fontId="30" fillId="0" borderId="25" xfId="0" applyNumberFormat="1" applyFont="1" applyBorder="1" applyAlignment="1">
      <alignment horizontal="center" vertical="center"/>
    </xf>
    <xf numFmtId="0" fontId="35" fillId="0" borderId="2" xfId="0" applyFont="1" applyBorder="1" applyAlignment="1">
      <alignment horizontal="center" vertical="center"/>
    </xf>
    <xf numFmtId="0" fontId="11" fillId="0" borderId="0" xfId="0" applyFont="1" applyAlignment="1">
      <alignment vertical="center"/>
    </xf>
    <xf numFmtId="0" fontId="0" fillId="0" borderId="0" xfId="0" applyAlignment="1">
      <alignment vertical="center"/>
    </xf>
    <xf numFmtId="166" fontId="27" fillId="0" borderId="0" xfId="0" applyNumberFormat="1" applyFont="1"/>
    <xf numFmtId="164" fontId="53" fillId="23" borderId="1" xfId="6" applyNumberFormat="1" applyFont="1" applyFill="1" applyBorder="1" applyAlignment="1">
      <alignment horizontal="center" vertical="center"/>
    </xf>
    <xf numFmtId="0" fontId="41" fillId="8" borderId="0" xfId="0" applyFont="1" applyFill="1" applyAlignment="1">
      <alignment horizontal="left" vertical="center" wrapText="1"/>
    </xf>
    <xf numFmtId="0" fontId="34" fillId="8" borderId="0" xfId="0" applyFont="1" applyFill="1" applyAlignment="1">
      <alignment horizontal="center" vertical="center"/>
    </xf>
    <xf numFmtId="49" fontId="58" fillId="26" borderId="0" xfId="0" applyNumberFormat="1" applyFont="1" applyFill="1" applyAlignment="1">
      <alignment horizontal="justify" vertical="center" wrapText="1"/>
    </xf>
    <xf numFmtId="0" fontId="41" fillId="8" borderId="0" xfId="0" applyFont="1" applyFill="1" applyAlignment="1">
      <alignment horizontal="left" vertical="top" wrapText="1"/>
    </xf>
    <xf numFmtId="0" fontId="41" fillId="8" borderId="0" xfId="0" applyFont="1" applyFill="1" applyAlignment="1">
      <alignment horizontal="left" vertical="center"/>
    </xf>
    <xf numFmtId="0" fontId="32" fillId="27" borderId="0" xfId="0" applyFont="1" applyFill="1" applyAlignment="1">
      <alignment horizontal="left" vertical="top" wrapText="1"/>
    </xf>
    <xf numFmtId="0" fontId="59" fillId="20" borderId="13" xfId="0" applyFont="1" applyFill="1" applyBorder="1" applyAlignment="1">
      <alignment horizontal="left" vertical="center" wrapText="1"/>
    </xf>
    <xf numFmtId="0" fontId="59" fillId="20" borderId="14" xfId="0" applyFont="1" applyFill="1" applyBorder="1" applyAlignment="1">
      <alignment horizontal="left" vertical="center" wrapText="1"/>
    </xf>
    <xf numFmtId="0" fontId="59" fillId="20" borderId="15" xfId="0" applyFont="1" applyFill="1" applyBorder="1" applyAlignment="1">
      <alignment horizontal="left" vertical="center" wrapText="1"/>
    </xf>
    <xf numFmtId="0" fontId="32" fillId="4" borderId="1" xfId="0" applyFont="1" applyFill="1" applyBorder="1" applyAlignment="1" applyProtection="1">
      <alignment horizontal="center" vertical="center"/>
      <protection locked="0"/>
    </xf>
    <xf numFmtId="0" fontId="39" fillId="20" borderId="26" xfId="0" applyFont="1" applyFill="1" applyBorder="1" applyAlignment="1">
      <alignment horizontal="center" vertical="center" wrapText="1"/>
    </xf>
    <xf numFmtId="0" fontId="39" fillId="20" borderId="27" xfId="0" applyFont="1" applyFill="1" applyBorder="1" applyAlignment="1">
      <alignment horizontal="center" vertical="center" wrapText="1"/>
    </xf>
    <xf numFmtId="0" fontId="30" fillId="0" borderId="13" xfId="0" applyFont="1" applyFill="1" applyBorder="1" applyAlignment="1">
      <alignment vertical="center" wrapText="1"/>
    </xf>
    <xf numFmtId="0" fontId="30" fillId="0" borderId="15" xfId="0" applyFont="1" applyFill="1" applyBorder="1" applyAlignment="1">
      <alignment vertical="center" wrapText="1"/>
    </xf>
    <xf numFmtId="0" fontId="30" fillId="0" borderId="11" xfId="0" applyFont="1" applyFill="1" applyBorder="1" applyAlignment="1">
      <alignment horizontal="left" vertical="center" wrapText="1"/>
    </xf>
    <xf numFmtId="0" fontId="30" fillId="0" borderId="28" xfId="0" applyFont="1" applyFill="1" applyBorder="1" applyAlignment="1">
      <alignment horizontal="left" vertical="center" wrapText="1"/>
    </xf>
    <xf numFmtId="0" fontId="30" fillId="0" borderId="12" xfId="0" applyFont="1" applyFill="1" applyBorder="1" applyAlignment="1">
      <alignment horizontal="left" vertical="center" wrapText="1"/>
    </xf>
    <xf numFmtId="0" fontId="32" fillId="0" borderId="13" xfId="0" applyFont="1" applyFill="1" applyBorder="1" applyAlignment="1">
      <alignment horizontal="left" vertical="center" wrapText="1"/>
    </xf>
    <xf numFmtId="0" fontId="32" fillId="0" borderId="14" xfId="0" applyFont="1" applyFill="1" applyBorder="1" applyAlignment="1">
      <alignment horizontal="left" vertical="center" wrapText="1"/>
    </xf>
    <xf numFmtId="0" fontId="32" fillId="0" borderId="15" xfId="0" applyFont="1" applyFill="1" applyBorder="1" applyAlignment="1">
      <alignment horizontal="left" vertical="center" wrapText="1"/>
    </xf>
    <xf numFmtId="0" fontId="34" fillId="15" borderId="1" xfId="0" applyFont="1" applyFill="1" applyBorder="1" applyAlignment="1">
      <alignment horizontal="right" vertical="center"/>
    </xf>
    <xf numFmtId="0" fontId="34" fillId="11" borderId="12" xfId="5" applyFont="1" applyFill="1" applyBorder="1" applyAlignment="1">
      <alignment horizontal="center" vertical="center"/>
    </xf>
    <xf numFmtId="0" fontId="32" fillId="0" borderId="1" xfId="0" applyFont="1" applyFill="1" applyBorder="1" applyAlignment="1">
      <alignment horizontal="center" vertical="center" wrapText="1"/>
    </xf>
    <xf numFmtId="0" fontId="31" fillId="28" borderId="1" xfId="0" applyFont="1" applyFill="1" applyBorder="1" applyAlignment="1">
      <alignment horizontal="left" vertical="center" wrapText="1"/>
    </xf>
    <xf numFmtId="0" fontId="32" fillId="14" borderId="1" xfId="0" applyFont="1" applyFill="1" applyBorder="1" applyAlignment="1">
      <alignment horizontal="left" vertical="center" wrapText="1"/>
    </xf>
    <xf numFmtId="0" fontId="32" fillId="13" borderId="1" xfId="0" applyFont="1" applyFill="1" applyBorder="1" applyAlignment="1">
      <alignment horizontal="left" vertical="center" wrapText="1"/>
    </xf>
    <xf numFmtId="0" fontId="32" fillId="28" borderId="1" xfId="0" applyFont="1" applyFill="1" applyBorder="1" applyAlignment="1">
      <alignment horizontal="left" vertical="center" wrapText="1"/>
    </xf>
    <xf numFmtId="0" fontId="32" fillId="12" borderId="1" xfId="0" applyFont="1" applyFill="1" applyBorder="1" applyAlignment="1">
      <alignment horizontal="left" vertical="center" wrapText="1"/>
    </xf>
    <xf numFmtId="0" fontId="30" fillId="0" borderId="27"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Fill="1" applyBorder="1" applyAlignment="1">
      <alignment horizontal="center" vertical="center"/>
    </xf>
    <xf numFmtId="0" fontId="30" fillId="0" borderId="1" xfId="0" applyFont="1" applyBorder="1" applyAlignment="1">
      <alignment horizontal="left" vertical="center" wrapText="1"/>
    </xf>
    <xf numFmtId="0" fontId="30" fillId="0" borderId="1" xfId="0" applyFont="1" applyBorder="1" applyAlignment="1">
      <alignment horizontal="center" vertical="center" wrapText="1"/>
    </xf>
    <xf numFmtId="0" fontId="30" fillId="0" borderId="1" xfId="0" applyFont="1" applyBorder="1" applyAlignment="1">
      <alignment vertical="center" wrapText="1"/>
    </xf>
    <xf numFmtId="0" fontId="30" fillId="0" borderId="1" xfId="0" applyFont="1" applyFill="1" applyBorder="1" applyAlignment="1">
      <alignment vertical="center" wrapText="1"/>
    </xf>
    <xf numFmtId="0" fontId="34" fillId="20" borderId="1" xfId="0" applyFont="1" applyFill="1" applyBorder="1" applyAlignment="1">
      <alignment horizontal="center" vertical="center" wrapText="1"/>
    </xf>
    <xf numFmtId="0" fontId="34" fillId="2" borderId="29" xfId="0" applyFont="1" applyFill="1" applyBorder="1" applyAlignment="1" applyProtection="1">
      <alignment horizontal="center" vertical="center"/>
    </xf>
    <xf numFmtId="0" fontId="34" fillId="25" borderId="13" xfId="0" applyFont="1" applyFill="1" applyBorder="1" applyAlignment="1" applyProtection="1">
      <alignment horizontal="center" vertical="center" wrapText="1"/>
    </xf>
    <xf numFmtId="0" fontId="34" fillId="25" borderId="14" xfId="0" applyFont="1" applyFill="1" applyBorder="1" applyAlignment="1" applyProtection="1">
      <alignment horizontal="center" vertical="center" wrapText="1"/>
    </xf>
    <xf numFmtId="0" fontId="34" fillId="21" borderId="13" xfId="0" applyFont="1" applyFill="1" applyBorder="1" applyAlignment="1" applyProtection="1">
      <alignment horizontal="center" vertical="center"/>
    </xf>
    <xf numFmtId="0" fontId="34" fillId="21" borderId="14" xfId="0" applyFont="1" applyFill="1" applyBorder="1" applyAlignment="1" applyProtection="1">
      <alignment horizontal="center" vertical="center"/>
    </xf>
    <xf numFmtId="0" fontId="30" fillId="3" borderId="5" xfId="0" applyFont="1" applyFill="1" applyBorder="1" applyAlignment="1">
      <alignment horizontal="center"/>
    </xf>
    <xf numFmtId="0" fontId="30" fillId="3" borderId="16" xfId="0" applyFont="1" applyFill="1" applyBorder="1" applyAlignment="1">
      <alignment horizontal="center"/>
    </xf>
    <xf numFmtId="0" fontId="30" fillId="3" borderId="25" xfId="0" applyFont="1" applyFill="1" applyBorder="1" applyAlignment="1">
      <alignment horizontal="center"/>
    </xf>
    <xf numFmtId="0" fontId="30" fillId="0" borderId="1" xfId="0" applyFont="1" applyBorder="1" applyAlignment="1">
      <alignment horizontal="center" vertical="center"/>
    </xf>
    <xf numFmtId="0" fontId="30" fillId="0" borderId="3" xfId="0" applyFont="1" applyBorder="1" applyAlignment="1">
      <alignment horizontal="center" vertical="center"/>
    </xf>
    <xf numFmtId="2" fontId="30" fillId="0" borderId="1" xfId="0" applyNumberFormat="1" applyFont="1" applyBorder="1" applyAlignment="1">
      <alignment horizontal="center" vertical="center"/>
    </xf>
    <xf numFmtId="0" fontId="32" fillId="4" borderId="1" xfId="0" applyFont="1" applyFill="1" applyBorder="1" applyAlignment="1">
      <alignment horizontal="center"/>
    </xf>
    <xf numFmtId="0" fontId="32" fillId="3" borderId="18" xfId="0" applyFont="1" applyFill="1" applyBorder="1" applyAlignment="1">
      <alignment horizontal="center" vertical="center"/>
    </xf>
    <xf numFmtId="0" fontId="32" fillId="3" borderId="21" xfId="0" applyFont="1" applyFill="1" applyBorder="1" applyAlignment="1">
      <alignment horizontal="center" vertical="center"/>
    </xf>
    <xf numFmtId="0" fontId="32" fillId="3" borderId="30" xfId="0" applyFont="1" applyFill="1" applyBorder="1" applyAlignment="1">
      <alignment horizontal="center" vertical="center"/>
    </xf>
    <xf numFmtId="0" fontId="32" fillId="3" borderId="22" xfId="0" applyFont="1" applyFill="1" applyBorder="1" applyAlignment="1">
      <alignment horizontal="center" vertical="center"/>
    </xf>
    <xf numFmtId="2" fontId="30" fillId="0" borderId="3" xfId="0" applyNumberFormat="1" applyFont="1" applyBorder="1" applyAlignment="1">
      <alignment horizontal="center" vertical="center"/>
    </xf>
    <xf numFmtId="2" fontId="30" fillId="0" borderId="1" xfId="0" applyNumberFormat="1" applyFont="1" applyFill="1" applyBorder="1" applyAlignment="1">
      <alignment horizontal="center" vertical="center"/>
    </xf>
    <xf numFmtId="2" fontId="30" fillId="0" borderId="3" xfId="0" applyNumberFormat="1" applyFont="1" applyFill="1" applyBorder="1" applyAlignment="1">
      <alignment horizontal="center" vertical="center"/>
    </xf>
    <xf numFmtId="2" fontId="30" fillId="0" borderId="6" xfId="0" applyNumberFormat="1" applyFont="1" applyFill="1" applyBorder="1" applyAlignment="1">
      <alignment horizontal="center" vertical="center"/>
    </xf>
    <xf numFmtId="2" fontId="30" fillId="0" borderId="7" xfId="0" applyNumberFormat="1" applyFont="1" applyFill="1" applyBorder="1" applyAlignment="1">
      <alignment horizontal="center" vertical="center"/>
    </xf>
    <xf numFmtId="0" fontId="31" fillId="3" borderId="18" xfId="0" applyFont="1" applyFill="1" applyBorder="1" applyAlignment="1">
      <alignment horizontal="center" vertical="center"/>
    </xf>
    <xf numFmtId="0" fontId="31" fillId="3" borderId="21" xfId="0" applyFont="1" applyFill="1" applyBorder="1" applyAlignment="1">
      <alignment horizontal="center" vertical="center"/>
    </xf>
    <xf numFmtId="0" fontId="31" fillId="3" borderId="22" xfId="0" applyFont="1" applyFill="1" applyBorder="1" applyAlignment="1">
      <alignment horizontal="center" vertical="center"/>
    </xf>
    <xf numFmtId="0" fontId="31" fillId="3" borderId="30" xfId="0" applyFont="1" applyFill="1" applyBorder="1" applyAlignment="1">
      <alignment horizontal="center" vertical="center"/>
    </xf>
    <xf numFmtId="0" fontId="32" fillId="3" borderId="1" xfId="0" applyFont="1" applyFill="1" applyBorder="1" applyAlignment="1">
      <alignment horizontal="center" vertical="center"/>
    </xf>
    <xf numFmtId="0" fontId="60" fillId="25" borderId="13" xfId="0" applyFont="1" applyFill="1" applyBorder="1" applyAlignment="1" applyProtection="1">
      <alignment horizontal="left" vertical="center" wrapText="1"/>
    </xf>
    <xf numFmtId="0" fontId="60" fillId="25" borderId="14" xfId="0" applyFont="1" applyFill="1" applyBorder="1" applyAlignment="1" applyProtection="1">
      <alignment horizontal="left" vertical="center" wrapText="1"/>
    </xf>
    <xf numFmtId="0" fontId="60" fillId="25" borderId="15" xfId="0" applyFont="1" applyFill="1" applyBorder="1" applyAlignment="1" applyProtection="1">
      <alignment horizontal="left" vertical="center" wrapText="1"/>
    </xf>
    <xf numFmtId="0" fontId="32" fillId="22" borderId="13" xfId="0" applyFont="1" applyFill="1" applyBorder="1" applyAlignment="1" applyProtection="1">
      <alignment horizontal="center" vertical="center"/>
    </xf>
    <xf numFmtId="0" fontId="32" fillId="22" borderId="14" xfId="0" applyFont="1" applyFill="1" applyBorder="1" applyAlignment="1" applyProtection="1">
      <alignment horizontal="center" vertical="center"/>
    </xf>
    <xf numFmtId="0" fontId="32" fillId="22" borderId="15" xfId="0" applyFont="1" applyFill="1" applyBorder="1" applyAlignment="1" applyProtection="1">
      <alignment horizontal="center" vertical="center"/>
    </xf>
    <xf numFmtId="169" fontId="30" fillId="18" borderId="13" xfId="0" applyNumberFormat="1" applyFont="1" applyFill="1" applyBorder="1" applyAlignment="1" applyProtection="1">
      <alignment horizontal="center" vertical="center"/>
    </xf>
    <xf numFmtId="169" fontId="30" fillId="18" borderId="15" xfId="0" applyNumberFormat="1" applyFont="1" applyFill="1" applyBorder="1" applyAlignment="1" applyProtection="1">
      <alignment horizontal="center" vertical="center"/>
    </xf>
    <xf numFmtId="166" fontId="30" fillId="18" borderId="13" xfId="0" applyNumberFormat="1" applyFont="1" applyFill="1" applyBorder="1" applyAlignment="1" applyProtection="1">
      <alignment horizontal="center" vertical="center"/>
    </xf>
    <xf numFmtId="166" fontId="30" fillId="18" borderId="15" xfId="0" applyNumberFormat="1" applyFont="1" applyFill="1" applyBorder="1" applyAlignment="1" applyProtection="1">
      <alignment horizontal="center" vertical="center"/>
    </xf>
    <xf numFmtId="0" fontId="34" fillId="20" borderId="13" xfId="0" applyFont="1" applyFill="1" applyBorder="1" applyAlignment="1">
      <alignment horizontal="center" vertical="center" wrapText="1"/>
    </xf>
    <xf numFmtId="0" fontId="34" fillId="20" borderId="14" xfId="0" applyFont="1" applyFill="1" applyBorder="1" applyAlignment="1">
      <alignment horizontal="center" vertical="center" wrapText="1"/>
    </xf>
    <xf numFmtId="0" fontId="32" fillId="3" borderId="13" xfId="0" applyFont="1" applyFill="1" applyBorder="1" applyAlignment="1" applyProtection="1">
      <alignment horizontal="center" vertical="center"/>
    </xf>
    <xf numFmtId="0" fontId="32" fillId="3" borderId="14" xfId="0" applyFont="1" applyFill="1" applyBorder="1" applyAlignment="1" applyProtection="1">
      <alignment horizontal="center" vertical="center"/>
    </xf>
    <xf numFmtId="0" fontId="31" fillId="3" borderId="1" xfId="6" applyFont="1" applyFill="1" applyBorder="1" applyAlignment="1">
      <alignment horizontal="center" vertical="center"/>
    </xf>
    <xf numFmtId="0" fontId="47" fillId="2" borderId="0" xfId="0" applyFont="1" applyFill="1" applyAlignment="1">
      <alignment horizontal="center" vertical="center"/>
    </xf>
    <xf numFmtId="0" fontId="34" fillId="20" borderId="0" xfId="0" applyFont="1" applyFill="1" applyAlignment="1">
      <alignment horizontal="center" vertical="center"/>
    </xf>
    <xf numFmtId="0" fontId="32" fillId="19" borderId="29" xfId="0" applyFont="1" applyFill="1" applyBorder="1" applyAlignment="1">
      <alignment horizontal="center" vertical="center"/>
    </xf>
    <xf numFmtId="0" fontId="31" fillId="19" borderId="1" xfId="0" applyFont="1" applyFill="1" applyBorder="1" applyAlignment="1">
      <alignment horizontal="center" vertical="center" wrapText="1"/>
    </xf>
    <xf numFmtId="0" fontId="32" fillId="19" borderId="1" xfId="0" applyFont="1" applyFill="1" applyBorder="1" applyAlignment="1">
      <alignment horizontal="center" vertical="center" wrapText="1"/>
    </xf>
    <xf numFmtId="0" fontId="31" fillId="19" borderId="1" xfId="0" applyFont="1" applyFill="1" applyBorder="1" applyAlignment="1">
      <alignment horizontal="center" vertical="center"/>
    </xf>
    <xf numFmtId="0" fontId="32" fillId="3" borderId="1" xfId="0" applyFont="1" applyFill="1" applyBorder="1" applyAlignment="1">
      <alignment horizontal="left" vertical="center" wrapText="1"/>
    </xf>
    <xf numFmtId="0" fontId="30" fillId="19" borderId="0" xfId="0" applyFont="1" applyFill="1" applyBorder="1" applyAlignment="1">
      <alignment horizontal="left" vertical="center"/>
    </xf>
    <xf numFmtId="0" fontId="35" fillId="19" borderId="0" xfId="0" applyFont="1" applyFill="1" applyBorder="1" applyAlignment="1">
      <alignment horizontal="left" vertical="center" wrapText="1"/>
    </xf>
    <xf numFmtId="0" fontId="30" fillId="19" borderId="1" xfId="0" applyFont="1" applyFill="1" applyBorder="1" applyAlignment="1">
      <alignment horizontal="left" vertical="center" wrapText="1"/>
    </xf>
    <xf numFmtId="0" fontId="35" fillId="19" borderId="0" xfId="0" applyFont="1" applyFill="1" applyAlignment="1">
      <alignment horizontal="center" vertical="center"/>
    </xf>
    <xf numFmtId="0" fontId="59" fillId="2" borderId="0" xfId="0" applyFont="1" applyFill="1" applyAlignment="1">
      <alignment horizontal="center" vertical="center"/>
    </xf>
    <xf numFmtId="0" fontId="34" fillId="20" borderId="19" xfId="0" applyFont="1" applyFill="1" applyBorder="1" applyAlignment="1">
      <alignment horizontal="center" vertical="center" wrapText="1"/>
    </xf>
    <xf numFmtId="0" fontId="34" fillId="20" borderId="0" xfId="0" applyFont="1" applyFill="1" applyBorder="1" applyAlignment="1">
      <alignment horizontal="center" vertical="center" wrapText="1"/>
    </xf>
    <xf numFmtId="0" fontId="34" fillId="2" borderId="0" xfId="0" applyFont="1" applyFill="1" applyAlignment="1">
      <alignment horizontal="center" vertical="center"/>
    </xf>
    <xf numFmtId="0" fontId="31" fillId="19" borderId="11" xfId="6" applyFont="1" applyFill="1" applyBorder="1" applyAlignment="1">
      <alignment horizontal="center" vertical="center"/>
    </xf>
    <xf numFmtId="0" fontId="31" fillId="19" borderId="12" xfId="6" applyFont="1" applyFill="1" applyBorder="1" applyAlignment="1">
      <alignment horizontal="center" vertical="center"/>
    </xf>
    <xf numFmtId="0" fontId="31" fillId="19" borderId="28" xfId="6" applyFont="1" applyFill="1" applyBorder="1" applyAlignment="1">
      <alignment horizontal="center" vertical="center"/>
    </xf>
    <xf numFmtId="0" fontId="61" fillId="11" borderId="19" xfId="6" applyFont="1" applyFill="1" applyBorder="1" applyAlignment="1">
      <alignment horizontal="center" vertical="center"/>
    </xf>
    <xf numFmtId="0" fontId="61" fillId="11" borderId="0" xfId="6" applyFont="1" applyFill="1" applyBorder="1" applyAlignment="1">
      <alignment horizontal="center" vertical="center"/>
    </xf>
    <xf numFmtId="0" fontId="37" fillId="3" borderId="13" xfId="6" applyFont="1" applyFill="1" applyBorder="1" applyAlignment="1">
      <alignment horizontal="center" vertical="center"/>
    </xf>
    <xf numFmtId="0" fontId="37" fillId="3" borderId="14" xfId="6" applyFont="1" applyFill="1" applyBorder="1" applyAlignment="1">
      <alignment horizontal="center" vertical="center"/>
    </xf>
    <xf numFmtId="0" fontId="37" fillId="3" borderId="15" xfId="6" applyFont="1" applyFill="1" applyBorder="1" applyAlignment="1">
      <alignment horizontal="center" vertical="center"/>
    </xf>
    <xf numFmtId="0" fontId="31" fillId="19" borderId="13" xfId="6" applyFont="1" applyFill="1" applyBorder="1" applyAlignment="1">
      <alignment horizontal="center" vertical="center"/>
    </xf>
    <xf numFmtId="0" fontId="31" fillId="19" borderId="14" xfId="6" applyFont="1" applyFill="1" applyBorder="1" applyAlignment="1">
      <alignment horizontal="center" vertical="center"/>
    </xf>
    <xf numFmtId="0" fontId="31" fillId="19" borderId="15" xfId="6" applyFont="1" applyFill="1" applyBorder="1" applyAlignment="1">
      <alignment horizontal="center" vertical="center"/>
    </xf>
    <xf numFmtId="0" fontId="62" fillId="0" borderId="0" xfId="0" applyFont="1" applyBorder="1" applyAlignment="1">
      <alignment horizontal="center" vertical="center"/>
    </xf>
    <xf numFmtId="0" fontId="46" fillId="4" borderId="0" xfId="6" applyFont="1" applyFill="1" applyAlignment="1">
      <alignment horizontal="center" vertical="center" wrapText="1"/>
    </xf>
    <xf numFmtId="0" fontId="31" fillId="11" borderId="13" xfId="0" applyFont="1" applyFill="1" applyBorder="1" applyAlignment="1">
      <alignment horizontal="center" vertical="center"/>
    </xf>
    <xf numFmtId="0" fontId="31" fillId="11" borderId="15" xfId="0" applyFont="1" applyFill="1" applyBorder="1" applyAlignment="1">
      <alignment horizontal="center" vertical="center"/>
    </xf>
    <xf numFmtId="0" fontId="37" fillId="19" borderId="11" xfId="6" applyFont="1" applyFill="1" applyBorder="1" applyAlignment="1">
      <alignment horizontal="center" vertical="center" wrapText="1"/>
    </xf>
    <xf numFmtId="0" fontId="37" fillId="19" borderId="28" xfId="6" applyFont="1" applyFill="1" applyBorder="1" applyAlignment="1">
      <alignment horizontal="center" vertical="center" wrapText="1"/>
    </xf>
    <xf numFmtId="0" fontId="37" fillId="19" borderId="12" xfId="6" applyFont="1" applyFill="1" applyBorder="1" applyAlignment="1">
      <alignment horizontal="center" vertical="center" wrapText="1"/>
    </xf>
    <xf numFmtId="0" fontId="30" fillId="2" borderId="0" xfId="0" applyFont="1" applyFill="1" applyAlignment="1">
      <alignment horizontal="center" vertical="center"/>
    </xf>
    <xf numFmtId="0" fontId="31" fillId="28" borderId="0" xfId="6" applyFont="1" applyFill="1" applyAlignment="1">
      <alignment horizontal="center" vertical="center" wrapText="1"/>
    </xf>
    <xf numFmtId="0" fontId="31" fillId="19" borderId="1" xfId="6" applyFont="1" applyFill="1" applyBorder="1" applyAlignment="1">
      <alignment horizontal="center" vertical="center"/>
    </xf>
    <xf numFmtId="0" fontId="37" fillId="11" borderId="1" xfId="6" applyFont="1" applyFill="1" applyBorder="1" applyAlignment="1">
      <alignment horizontal="center" vertical="center"/>
    </xf>
    <xf numFmtId="0" fontId="53" fillId="23" borderId="13" xfId="6" applyFont="1" applyFill="1" applyBorder="1" applyAlignment="1">
      <alignment horizontal="center" vertical="center"/>
    </xf>
    <xf numFmtId="0" fontId="53" fillId="23" borderId="14" xfId="6" applyFont="1" applyFill="1" applyBorder="1" applyAlignment="1">
      <alignment horizontal="center" vertical="center"/>
    </xf>
    <xf numFmtId="0" fontId="53" fillId="23" borderId="15" xfId="6" applyFont="1" applyFill="1" applyBorder="1" applyAlignment="1">
      <alignment horizontal="center" vertical="center"/>
    </xf>
    <xf numFmtId="0" fontId="31" fillId="11" borderId="14" xfId="0" applyFont="1" applyFill="1" applyBorder="1" applyAlignment="1">
      <alignment horizontal="center" vertical="center"/>
    </xf>
    <xf numFmtId="0" fontId="37" fillId="3" borderId="11" xfId="6" applyFont="1" applyFill="1" applyBorder="1" applyAlignment="1">
      <alignment horizontal="center" vertical="center"/>
    </xf>
    <xf numFmtId="0" fontId="37" fillId="3" borderId="12" xfId="6" applyFont="1" applyFill="1" applyBorder="1" applyAlignment="1">
      <alignment horizontal="center" vertical="center"/>
    </xf>
    <xf numFmtId="0" fontId="53" fillId="23" borderId="1" xfId="6" applyFont="1" applyFill="1" applyBorder="1" applyAlignment="1">
      <alignment horizontal="center" vertical="center"/>
    </xf>
    <xf numFmtId="0" fontId="63" fillId="24" borderId="0" xfId="6" applyFont="1" applyFill="1" applyAlignment="1">
      <alignment horizontal="center" vertical="center"/>
    </xf>
  </cellXfs>
  <cellStyles count="10">
    <cellStyle name="Coma 2" xfId="1" xr:uid="{00000000-0005-0000-0000-000000000000}"/>
    <cellStyle name="Euro" xfId="2" xr:uid="{00000000-0005-0000-0000-000002000000}"/>
    <cellStyle name="Hipervínculo" xfId="3" builtinId="8"/>
    <cellStyle name="Millares" xfId="4" builtinId="3"/>
    <cellStyle name="Normal" xfId="0" builtinId="0"/>
    <cellStyle name="Normal 2" xfId="5" xr:uid="{00000000-0005-0000-0000-000005000000}"/>
    <cellStyle name="Normal 2 2" xfId="6" xr:uid="{00000000-0005-0000-0000-000006000000}"/>
    <cellStyle name="Normal 2 2 2" xfId="7" xr:uid="{00000000-0005-0000-0000-000007000000}"/>
    <cellStyle name="Normal 3" xfId="8" xr:uid="{00000000-0005-0000-0000-000008000000}"/>
    <cellStyle name="Normal 4" xfId="9"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styles" Target="styles.xml" /><Relationship Id="rId2" Type="http://schemas.openxmlformats.org/officeDocument/2006/relationships/worksheet" Target="worksheets/sheet2.xml" /><Relationship Id="rId16" Type="http://schemas.openxmlformats.org/officeDocument/2006/relationships/theme" Target="theme/theme1.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worksheet" Target="worksheets/sheet15.xml" /><Relationship Id="rId10" Type="http://schemas.openxmlformats.org/officeDocument/2006/relationships/worksheet" Target="worksheets/sheet10.xml" /><Relationship Id="rId19" Type="http://schemas.openxmlformats.org/officeDocument/2006/relationships/calcChain" Target="calcChain.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ysClr val="windowText" lastClr="000000"/>
                </a:solidFill>
                <a:latin typeface="Arial Black"/>
                <a:ea typeface="Arial Black"/>
                <a:cs typeface="Arial Black"/>
              </a:defRPr>
            </a:pPr>
            <a:r>
              <a:rPr lang="es-MX" sz="1400">
                <a:solidFill>
                  <a:sysClr val="windowText" lastClr="000000"/>
                </a:solidFill>
              </a:rPr>
              <a:t>SECCION TRANSVERSAL</a:t>
            </a:r>
          </a:p>
        </c:rich>
      </c:tx>
      <c:layout>
        <c:manualLayout>
          <c:xMode val="edge"/>
          <c:yMode val="edge"/>
          <c:x val="0.34762318346570314"/>
          <c:y val="1.5996294580824456E-2"/>
        </c:manualLayout>
      </c:layout>
      <c:overlay val="0"/>
      <c:spPr>
        <a:noFill/>
        <a:ln w="25400">
          <a:noFill/>
        </a:ln>
      </c:spPr>
    </c:title>
    <c:autoTitleDeleted val="0"/>
    <c:plotArea>
      <c:layout>
        <c:manualLayout>
          <c:layoutTarget val="inner"/>
          <c:xMode val="edge"/>
          <c:yMode val="edge"/>
          <c:x val="7.2110323658662809E-2"/>
          <c:y val="0.14216884197199992"/>
          <c:w val="0.89289547824403104"/>
          <c:h val="0.76144667903647389"/>
        </c:manualLayout>
      </c:layout>
      <c:scatterChart>
        <c:scatterStyle val="lineMarker"/>
        <c:varyColors val="0"/>
        <c:ser>
          <c:idx val="0"/>
          <c:order val="0"/>
          <c:tx>
            <c:strRef>
              <c:f>'SECCIÓN TRANSVERSAL'!$C$62</c:f>
              <c:strCache>
                <c:ptCount val="1"/>
                <c:pt idx="0">
                  <c:v>Sección transversal</c:v>
                </c:pt>
              </c:strCache>
            </c:strRef>
          </c:tx>
          <c:spPr>
            <a:ln w="38100">
              <a:solidFill>
                <a:srgbClr val="000080"/>
              </a:solidFill>
              <a:prstDash val="solid"/>
            </a:ln>
          </c:spPr>
          <c:marker>
            <c:symbol val="diamond"/>
            <c:size val="7"/>
            <c:spPr>
              <a:solidFill>
                <a:srgbClr val="000080"/>
              </a:solidFill>
              <a:ln w="38100">
                <a:solidFill>
                  <a:srgbClr val="000080"/>
                </a:solidFill>
                <a:prstDash val="solid"/>
              </a:ln>
            </c:spPr>
          </c:marker>
          <c:xVal>
            <c:numRef>
              <c:f>'SECCIÓN TRANSVERSAL'!$B$63:$B$113</c:f>
              <c:numCache>
                <c:formatCode>0.0</c:formatCode>
                <c:ptCount val="51"/>
                <c:pt idx="0">
                  <c:v>0</c:v>
                </c:pt>
                <c:pt idx="1">
                  <c:v>1.5</c:v>
                </c:pt>
                <c:pt idx="2">
                  <c:v>2</c:v>
                </c:pt>
                <c:pt idx="3">
                  <c:v>3</c:v>
                </c:pt>
                <c:pt idx="4">
                  <c:v>5</c:v>
                </c:pt>
                <c:pt idx="5">
                  <c:v>7</c:v>
                </c:pt>
                <c:pt idx="6">
                  <c:v>9</c:v>
                </c:pt>
                <c:pt idx="7">
                  <c:v>11</c:v>
                </c:pt>
                <c:pt idx="8">
                  <c:v>12.5</c:v>
                </c:pt>
                <c:pt idx="9">
                  <c:v>14</c:v>
                </c:pt>
                <c:pt idx="10">
                  <c:v>15.5</c:v>
                </c:pt>
                <c:pt idx="11">
                  <c:v>17</c:v>
                </c:pt>
                <c:pt idx="12">
                  <c:v>18.5</c:v>
                </c:pt>
                <c:pt idx="13">
                  <c:v>20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xVal>
          <c:yVal>
            <c:numRef>
              <c:f>'SECCIÓN TRANSVERSAL'!$C$63:$C$113</c:f>
              <c:numCache>
                <c:formatCode>0.0</c:formatCode>
                <c:ptCount val="51"/>
                <c:pt idx="0">
                  <c:v>0</c:v>
                </c:pt>
                <c:pt idx="1">
                  <c:v>-1</c:v>
                </c:pt>
                <c:pt idx="2">
                  <c:v>-2</c:v>
                </c:pt>
                <c:pt idx="3">
                  <c:v>-3.5</c:v>
                </c:pt>
                <c:pt idx="4">
                  <c:v>-4</c:v>
                </c:pt>
                <c:pt idx="5">
                  <c:v>-6</c:v>
                </c:pt>
                <c:pt idx="6">
                  <c:v>-5</c:v>
                </c:pt>
                <c:pt idx="7">
                  <c:v>-4.5</c:v>
                </c:pt>
                <c:pt idx="8">
                  <c:v>-5</c:v>
                </c:pt>
                <c:pt idx="9">
                  <c:v>-4</c:v>
                </c:pt>
                <c:pt idx="10">
                  <c:v>-3.5</c:v>
                </c:pt>
                <c:pt idx="11">
                  <c:v>-1.5</c:v>
                </c:pt>
                <c:pt idx="12">
                  <c:v>-0.75</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yVal>
          <c:smooth val="0"/>
          <c:extLst>
            <c:ext xmlns:c16="http://schemas.microsoft.com/office/drawing/2014/chart" uri="{C3380CC4-5D6E-409C-BE32-E72D297353CC}">
              <c16:uniqueId val="{00000000-0AC1-4AC9-8BE5-9C6C46DD5D42}"/>
            </c:ext>
          </c:extLst>
        </c:ser>
        <c:ser>
          <c:idx val="2"/>
          <c:order val="1"/>
          <c:tx>
            <c:strRef>
              <c:f>'SECCIÓN TRANSVERSAL'!$E$62</c:f>
              <c:strCache>
                <c:ptCount val="1"/>
                <c:pt idx="0">
                  <c:v>Fondo del cauce</c:v>
                </c:pt>
              </c:strCache>
            </c:strRef>
          </c:tx>
          <c:spPr>
            <a:ln w="25400">
              <a:solidFill>
                <a:schemeClr val="accent6">
                  <a:lumMod val="50000"/>
                </a:schemeClr>
              </a:solidFill>
              <a:prstDash val="lgDashDot"/>
            </a:ln>
          </c:spPr>
          <c:marker>
            <c:symbol val="none"/>
          </c:marker>
          <c:xVal>
            <c:numRef>
              <c:f>'SECCIÓN TRANSVERSAL'!$B$63:$B$113</c:f>
              <c:numCache>
                <c:formatCode>0.0</c:formatCode>
                <c:ptCount val="51"/>
                <c:pt idx="0">
                  <c:v>0</c:v>
                </c:pt>
                <c:pt idx="1">
                  <c:v>1.5</c:v>
                </c:pt>
                <c:pt idx="2">
                  <c:v>2</c:v>
                </c:pt>
                <c:pt idx="3">
                  <c:v>3</c:v>
                </c:pt>
                <c:pt idx="4">
                  <c:v>5</c:v>
                </c:pt>
                <c:pt idx="5">
                  <c:v>7</c:v>
                </c:pt>
                <c:pt idx="6">
                  <c:v>9</c:v>
                </c:pt>
                <c:pt idx="7">
                  <c:v>11</c:v>
                </c:pt>
                <c:pt idx="8">
                  <c:v>12.5</c:v>
                </c:pt>
                <c:pt idx="9">
                  <c:v>14</c:v>
                </c:pt>
                <c:pt idx="10">
                  <c:v>15.5</c:v>
                </c:pt>
                <c:pt idx="11">
                  <c:v>17</c:v>
                </c:pt>
                <c:pt idx="12">
                  <c:v>18.5</c:v>
                </c:pt>
                <c:pt idx="13">
                  <c:v>20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xVal>
          <c:yVal>
            <c:numRef>
              <c:f>'SECCIÓN TRANSVERSAL'!$E$63:$E$113</c:f>
              <c:numCache>
                <c:formatCode>General</c:formatCode>
                <c:ptCount val="5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numCache>
            </c:numRef>
          </c:yVal>
          <c:smooth val="0"/>
          <c:extLst>
            <c:ext xmlns:c16="http://schemas.microsoft.com/office/drawing/2014/chart" uri="{C3380CC4-5D6E-409C-BE32-E72D297353CC}">
              <c16:uniqueId val="{00000001-0AC1-4AC9-8BE5-9C6C46DD5D42}"/>
            </c:ext>
          </c:extLst>
        </c:ser>
        <c:ser>
          <c:idx val="1"/>
          <c:order val="2"/>
          <c:tx>
            <c:strRef>
              <c:f>'SECCIÓN TRANSVERSAL'!$D$62</c:f>
              <c:strCache>
                <c:ptCount val="1"/>
                <c:pt idx="0">
                  <c:v>Huella máxima</c:v>
                </c:pt>
              </c:strCache>
            </c:strRef>
          </c:tx>
          <c:spPr>
            <a:ln w="31750" cap="flat" cmpd="sng">
              <a:solidFill>
                <a:srgbClr val="00B0F0"/>
              </a:solidFill>
              <a:prstDash val="lgDashDot"/>
              <a:round/>
              <a:headEnd type="none" w="sm" len="sm"/>
            </a:ln>
          </c:spPr>
          <c:marker>
            <c:symbol val="none"/>
          </c:marker>
          <c:xVal>
            <c:numRef>
              <c:f>'SECCIÓN TRANSVERSAL'!$B$63:$B$97</c:f>
              <c:numCache>
                <c:formatCode>0.0</c:formatCode>
                <c:ptCount val="35"/>
                <c:pt idx="0">
                  <c:v>0</c:v>
                </c:pt>
                <c:pt idx="1">
                  <c:v>1.5</c:v>
                </c:pt>
                <c:pt idx="2">
                  <c:v>2</c:v>
                </c:pt>
                <c:pt idx="3">
                  <c:v>3</c:v>
                </c:pt>
                <c:pt idx="4">
                  <c:v>5</c:v>
                </c:pt>
                <c:pt idx="5">
                  <c:v>7</c:v>
                </c:pt>
                <c:pt idx="6">
                  <c:v>9</c:v>
                </c:pt>
                <c:pt idx="7">
                  <c:v>11</c:v>
                </c:pt>
                <c:pt idx="8">
                  <c:v>12.5</c:v>
                </c:pt>
                <c:pt idx="9">
                  <c:v>14</c:v>
                </c:pt>
                <c:pt idx="10">
                  <c:v>15.5</c:v>
                </c:pt>
                <c:pt idx="11">
                  <c:v>17</c:v>
                </c:pt>
                <c:pt idx="12">
                  <c:v>18.5</c:v>
                </c:pt>
                <c:pt idx="13">
                  <c:v>20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xVal>
          <c:yVal>
            <c:numRef>
              <c:f>'SECCIÓN TRANSVERSAL'!$D$63:$D$97</c:f>
              <c:numCache>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numCache>
            </c:numRef>
          </c:yVal>
          <c:smooth val="0"/>
          <c:extLst>
            <c:ext xmlns:c16="http://schemas.microsoft.com/office/drawing/2014/chart" uri="{C3380CC4-5D6E-409C-BE32-E72D297353CC}">
              <c16:uniqueId val="{00000002-0AC1-4AC9-8BE5-9C6C46DD5D42}"/>
            </c:ext>
          </c:extLst>
        </c:ser>
        <c:dLbls>
          <c:showLegendKey val="0"/>
          <c:showVal val="0"/>
          <c:showCatName val="0"/>
          <c:showSerName val="0"/>
          <c:showPercent val="0"/>
          <c:showBubbleSize val="0"/>
        </c:dLbls>
        <c:axId val="2108932447"/>
        <c:axId val="1"/>
      </c:scatterChart>
      <c:valAx>
        <c:axId val="2108932447"/>
        <c:scaling>
          <c:orientation val="minMax"/>
        </c:scaling>
        <c:delete val="0"/>
        <c:axPos val="b"/>
        <c:title>
          <c:tx>
            <c:rich>
              <a:bodyPr/>
              <a:lstStyle/>
              <a:p>
                <a:pPr>
                  <a:defRPr sz="1200" b="1" i="0" u="none" strike="noStrike" baseline="0">
                    <a:solidFill>
                      <a:srgbClr val="000000"/>
                    </a:solidFill>
                    <a:latin typeface="+mj-lt"/>
                    <a:ea typeface="Arial"/>
                    <a:cs typeface="Arial"/>
                  </a:defRPr>
                </a:pPr>
                <a:r>
                  <a:rPr lang="es-MX" sz="1200">
                    <a:latin typeface="+mj-lt"/>
                  </a:rPr>
                  <a:t>Cadenamiento (m)</a:t>
                </a:r>
              </a:p>
            </c:rich>
          </c:tx>
          <c:layout>
            <c:manualLayout>
              <c:xMode val="edge"/>
              <c:yMode val="edge"/>
              <c:x val="0.39839701855449888"/>
              <c:y val="8.224404302403375E-2"/>
            </c:manualLayout>
          </c:layout>
          <c:overlay val="0"/>
          <c:spPr>
            <a:solidFill>
              <a:srgbClr val="FFC000">
                <a:alpha val="56000"/>
              </a:srgbClr>
            </a:solidFill>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US"/>
          </a:p>
        </c:txPr>
        <c:crossAx val="1"/>
        <c:crosses val="autoZero"/>
        <c:crossBetween val="midCat"/>
        <c:majorUnit val="1"/>
      </c:valAx>
      <c:valAx>
        <c:axId val="1"/>
        <c:scaling>
          <c:orientation val="minMax"/>
        </c:scaling>
        <c:delete val="0"/>
        <c:axPos val="l"/>
        <c:title>
          <c:tx>
            <c:rich>
              <a:bodyPr/>
              <a:lstStyle/>
              <a:p>
                <a:pPr>
                  <a:defRPr sz="1200" b="1" i="0" u="none" strike="noStrike" baseline="0">
                    <a:solidFill>
                      <a:srgbClr val="000000"/>
                    </a:solidFill>
                    <a:latin typeface="+mj-lt"/>
                    <a:ea typeface="Arial"/>
                    <a:cs typeface="Arial"/>
                  </a:defRPr>
                </a:pPr>
                <a:r>
                  <a:rPr lang="es-MX" sz="1200">
                    <a:latin typeface="+mj-lt"/>
                  </a:rPr>
                  <a:t>Profundidad (m)</a:t>
                </a:r>
              </a:p>
            </c:rich>
          </c:tx>
          <c:overlay val="0"/>
        </c:title>
        <c:numFmt formatCode="General" sourceLinked="0"/>
        <c:majorTickMark val="out"/>
        <c:minorTickMark val="in"/>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s-US"/>
          </a:p>
        </c:txPr>
        <c:crossAx val="2108932447"/>
        <c:crosses val="autoZero"/>
        <c:crossBetween val="midCat"/>
      </c:valAx>
      <c:spPr>
        <a:solidFill>
          <a:srgbClr val="FFFFFF"/>
        </a:solidFill>
        <a:ln w="12700">
          <a:solidFill>
            <a:srgbClr val="808080"/>
          </a:solidFill>
          <a:prstDash val="solid"/>
        </a:ln>
      </c:spPr>
    </c:plotArea>
    <c:legend>
      <c:legendPos val="b"/>
      <c:layout>
        <c:manualLayout>
          <c:xMode val="edge"/>
          <c:yMode val="edge"/>
          <c:wMode val="edge"/>
          <c:hMode val="edge"/>
          <c:x val="0.1144505118678347"/>
          <c:y val="0.92434460398332563"/>
          <c:w val="0.85776014361841135"/>
          <c:h val="0.97572909268694352"/>
        </c:manualLayout>
      </c:layout>
      <c:overlay val="0"/>
      <c:spPr>
        <a:solidFill>
          <a:srgbClr val="FFC000">
            <a:alpha val="49000"/>
          </a:srgbClr>
        </a:solidFill>
      </c:spPr>
      <c:txPr>
        <a:bodyPr/>
        <a:lstStyle/>
        <a:p>
          <a:pPr>
            <a:defRPr sz="1200" b="1">
              <a:latin typeface="+mj-lt"/>
            </a:defRPr>
          </a:pPr>
          <a:endParaRPr lang="es-US"/>
        </a:p>
      </c:txPr>
    </c:legend>
    <c:plotVisOnly val="1"/>
    <c:dispBlanksAs val="gap"/>
    <c:showDLblsOverMax val="0"/>
  </c:chart>
  <c:spPr>
    <a:gradFill flip="none" rotWithShape="1">
      <a:gsLst>
        <a:gs pos="0">
          <a:srgbClr val="E6DCAC"/>
        </a:gs>
        <a:gs pos="12000">
          <a:srgbClr val="E6D78A"/>
        </a:gs>
        <a:gs pos="30000">
          <a:srgbClr val="C7AC4C"/>
        </a:gs>
        <a:gs pos="45000">
          <a:srgbClr val="E6D78A"/>
        </a:gs>
        <a:gs pos="77000">
          <a:srgbClr val="C7AC4C"/>
        </a:gs>
        <a:gs pos="100000">
          <a:srgbClr val="E6DCAC"/>
        </a:gs>
      </a:gsLst>
      <a:path path="shape">
        <a:fillToRect l="50000" t="50000" r="50000" b="50000"/>
      </a:path>
      <a:tileRect/>
    </a:gra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s-US"/>
    </a:p>
  </c:txPr>
  <c:printSettings>
    <c:headerFooter alignWithMargins="0"/>
    <c:pageMargins b="1" l="0.750000000000001" r="0.750000000000001" t="1" header="0.5" footer="0.5"/>
    <c:pageSetup/>
  </c:printSettings>
</c:chartSpace>
</file>

<file path=xl/ctrlProps/ctrlProp1.xml><?xml version="1.0" encoding="utf-8"?>
<formControlPr xmlns="http://schemas.microsoft.com/office/spreadsheetml/2009/9/main" objectType="Drop" dropStyle="combo" dx="22" fmlaLink="$D$5" fmlaRange="$B$30:$B$33" noThreeD="1" sel="3" val="0"/>
</file>

<file path=xl/ctrlProps/ctrlProp10.xml><?xml version="1.0" encoding="utf-8"?>
<formControlPr xmlns="http://schemas.microsoft.com/office/spreadsheetml/2009/9/main" objectType="GBox" noThreeD="1"/>
</file>

<file path=xl/ctrlProps/ctrlProp11.xml><?xml version="1.0" encoding="utf-8"?>
<formControlPr xmlns="http://schemas.microsoft.com/office/spreadsheetml/2009/9/main" objectType="Drop" dropStyle="combo" dx="22" fmlaLink="$D$10" fmlaRange="$B$30:$B$33" noThreeD="1" sel="1" val="0"/>
</file>

<file path=xl/ctrlProps/ctrlProp12.xml><?xml version="1.0" encoding="utf-8"?>
<formControlPr xmlns="http://schemas.microsoft.com/office/spreadsheetml/2009/9/main" objectType="GBox" noThreeD="1"/>
</file>

<file path=xl/ctrlProps/ctrlProp13.xml><?xml version="1.0" encoding="utf-8"?>
<formControlPr xmlns="http://schemas.microsoft.com/office/spreadsheetml/2009/9/main" objectType="Drop" dropStyle="combo" dx="22" fmlaLink="$D$11" fmlaRange="$B$30:$B$33" noThreeD="1" sel="3" val="0"/>
</file>

<file path=xl/ctrlProps/ctrlProp14.xml><?xml version="1.0" encoding="utf-8"?>
<formControlPr xmlns="http://schemas.microsoft.com/office/spreadsheetml/2009/9/main" objectType="GBox" noThreeD="1"/>
</file>

<file path=xl/ctrlProps/ctrlProp15.xml><?xml version="1.0" encoding="utf-8"?>
<formControlPr xmlns="http://schemas.microsoft.com/office/spreadsheetml/2009/9/main" objectType="Drop" dropStyle="combo" dx="22" fmlaLink="$D$12" fmlaRange="$B$30:$B$33" noThreeD="1" sel="1" val="0"/>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Drop" dropStyle="combo" dx="22" fmlaLink="$D$13" fmlaRange="$B$30:$B$33" noThreeD="1" sel="2" val="0"/>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Drop" dropStyle="combo" dx="22" fmlaLink="$D$14" fmlaRange="$B$30:$B$33" noThreeD="1" sel="3" val="0"/>
</file>

<file path=xl/ctrlProps/ctrlProp2.xml><?xml version="1.0" encoding="utf-8"?>
<formControlPr xmlns="http://schemas.microsoft.com/office/spreadsheetml/2009/9/main" objectType="GBox" noThreeD="1"/>
</file>

<file path=xl/ctrlProps/ctrlProp20.xml><?xml version="1.0" encoding="utf-8"?>
<formControlPr xmlns="http://schemas.microsoft.com/office/spreadsheetml/2009/9/main" objectType="GBox" noThreeD="1"/>
</file>

<file path=xl/ctrlProps/ctrlProp21.xml><?xml version="1.0" encoding="utf-8"?>
<formControlPr xmlns="http://schemas.microsoft.com/office/spreadsheetml/2009/9/main" objectType="Drop" dropStyle="combo" dx="22" fmlaLink="$D$15" fmlaRange="$B$30:$B$33" noThreeD="1" sel="2" val="0"/>
</file>

<file path=xl/ctrlProps/ctrlProp22.xml><?xml version="1.0" encoding="utf-8"?>
<formControlPr xmlns="http://schemas.microsoft.com/office/spreadsheetml/2009/9/main" objectType="GBox" noThreeD="1"/>
</file>

<file path=xl/ctrlProps/ctrlProp23.xml><?xml version="1.0" encoding="utf-8"?>
<formControlPr xmlns="http://schemas.microsoft.com/office/spreadsheetml/2009/9/main" objectType="Drop" dropStyle="combo" dx="22" fmlaLink="$D$16" fmlaRange="$B$30:$B$33" noThreeD="1" sel="3" val="0"/>
</file>

<file path=xl/ctrlProps/ctrlProp24.xml><?xml version="1.0" encoding="utf-8"?>
<formControlPr xmlns="http://schemas.microsoft.com/office/spreadsheetml/2009/9/main" objectType="GBox" noThreeD="1"/>
</file>

<file path=xl/ctrlProps/ctrlProp25.xml><?xml version="1.0" encoding="utf-8"?>
<formControlPr xmlns="http://schemas.microsoft.com/office/spreadsheetml/2009/9/main" objectType="Drop" dropStyle="combo" dx="22" fmlaLink="$D$17" fmlaRange="$B$30:$B$33" noThreeD="1" sel="4" val="0"/>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Drop" dropStyle="combo" dx="22" fmlaLink="$D$4" fmlaRange="$B$30:$B$33" noThreeD="1" sel="1" val="0"/>
</file>

<file path=xl/ctrlProps/ctrlProp28.xml><?xml version="1.0" encoding="utf-8"?>
<formControlPr xmlns="http://schemas.microsoft.com/office/spreadsheetml/2009/9/main" objectType="Drop" dropStyle="combo" dx="22" fmlaLink="$C$11" fmlaRange="$B$29:$C$35" noThreeD="1" sel="1" val="0"/>
</file>

<file path=xl/ctrlProps/ctrlProp29.xml><?xml version="1.0" encoding="utf-8"?>
<formControlPr xmlns="http://schemas.microsoft.com/office/spreadsheetml/2009/9/main" objectType="Drop" dropStyle="combo" dx="22" fmlaLink="$B$7" fmlaRange="$C$60:$C$87" noThreeD="1" sel="24" val="17"/>
</file>

<file path=xl/ctrlProps/ctrlProp3.xml><?xml version="1.0" encoding="utf-8"?>
<formControlPr xmlns="http://schemas.microsoft.com/office/spreadsheetml/2009/9/main" objectType="Drop" dropStyle="combo" dx="22" fmlaLink="$D$6" fmlaRange="$B$30:$B$33" noThreeD="1" sel="1" val="0"/>
</file>

<file path=xl/ctrlProps/ctrlProp30.xml><?xml version="1.0" encoding="utf-8"?>
<formControlPr xmlns="http://schemas.microsoft.com/office/spreadsheetml/2009/9/main" objectType="Drop" dropStyle="combo" dx="22" fmlaLink="$B$7" fmlaRange="$C$61:$C$88" noThreeD="1" sel="22" val="19"/>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Drop" dropStyle="combo" dx="22" fmlaLink="$D$7" fmlaRange="$B$30:$B$33" noThreeD="1" sel="3" val="0"/>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Drop" dropStyle="combo" dx="22" fmlaLink="$D$8" fmlaRange="$B$30:$B$33" noThreeD="1" sel="2" val="0"/>
</file>

<file path=xl/ctrlProps/ctrlProp8.xml><?xml version="1.0" encoding="utf-8"?>
<formControlPr xmlns="http://schemas.microsoft.com/office/spreadsheetml/2009/9/main" objectType="GBox" noThreeD="1"/>
</file>

<file path=xl/ctrlProps/ctrlProp9.xml><?xml version="1.0" encoding="utf-8"?>
<formControlPr xmlns="http://schemas.microsoft.com/office/spreadsheetml/2009/9/main" objectType="Drop" dropStyle="combo" dx="22" fmlaLink="$D$9" fmlaRange="$B$30:$B$33" noThreeD="1" sel="2" val="0"/>
</file>

<file path=xl/drawings/_rels/drawing1.xml.rels><?xml version="1.0" encoding="UTF-8" standalone="yes"?>
<Relationships xmlns="http://schemas.openxmlformats.org/package/2006/relationships"><Relationship Id="rId8" Type="http://schemas.openxmlformats.org/officeDocument/2006/relationships/hyperlink" Target="#'LOWRY)'!A1" /><Relationship Id="rId13" Type="http://schemas.openxmlformats.org/officeDocument/2006/relationships/hyperlink" Target="#INSTRUCTIVO!A1" /><Relationship Id="rId3" Type="http://schemas.openxmlformats.org/officeDocument/2006/relationships/image" Target="../media/image3.png" /><Relationship Id="rId7" Type="http://schemas.openxmlformats.org/officeDocument/2006/relationships/hyperlink" Target="#CREAGER!A1" /><Relationship Id="rId12" Type="http://schemas.openxmlformats.org/officeDocument/2006/relationships/hyperlink" Target="#'COEFICIENTE DE ESCURRIMIENTO'!A1" /><Relationship Id="rId2" Type="http://schemas.openxmlformats.org/officeDocument/2006/relationships/image" Target="../media/image2.png" /><Relationship Id="rId1" Type="http://schemas.openxmlformats.org/officeDocument/2006/relationships/image" Target="../media/image1.jpeg" /><Relationship Id="rId6" Type="http://schemas.openxmlformats.org/officeDocument/2006/relationships/hyperlink" Target="#RESULTADOS!A1" /><Relationship Id="rId11" Type="http://schemas.openxmlformats.org/officeDocument/2006/relationships/hyperlink" Target="#'M&#201;TODO RACIONAL'!A1" /><Relationship Id="rId5" Type="http://schemas.openxmlformats.org/officeDocument/2006/relationships/hyperlink" Target="#'DATOS DE PRECIPITACI&#211;N'!A1" /><Relationship Id="rId15" Type="http://schemas.openxmlformats.org/officeDocument/2006/relationships/hyperlink" Target="#'RESUMEN GASTOS M&#193;XIMOS'!A1" /><Relationship Id="rId10" Type="http://schemas.openxmlformats.org/officeDocument/2006/relationships/hyperlink" Target="#'RACIONAL MODIFICADO'!A1" /><Relationship Id="rId4" Type="http://schemas.openxmlformats.org/officeDocument/2006/relationships/image" Target="../media/image4.png" /><Relationship Id="rId9" Type="http://schemas.openxmlformats.org/officeDocument/2006/relationships/hyperlink" Target="#'SECCI&#211;N TRANSVERSAL'!A1" /><Relationship Id="rId14" Type="http://schemas.openxmlformats.org/officeDocument/2006/relationships/hyperlink" Target="#EUPS!A1" /></Relationships>
</file>

<file path=xl/drawings/_rels/drawing10.xml.rels><?xml version="1.0" encoding="UTF-8" standalone="yes"?>
<Relationships xmlns="http://schemas.openxmlformats.org/package/2006/relationships"><Relationship Id="rId3" Type="http://schemas.openxmlformats.org/officeDocument/2006/relationships/image" Target="../media/image15.emf" /><Relationship Id="rId2" Type="http://schemas.openxmlformats.org/officeDocument/2006/relationships/image" Target="../media/image14.emf" /><Relationship Id="rId1" Type="http://schemas.openxmlformats.org/officeDocument/2006/relationships/image" Target="../media/image13.emf" /><Relationship Id="rId5" Type="http://schemas.openxmlformats.org/officeDocument/2006/relationships/image" Target="../media/image5.png" /><Relationship Id="rId4" Type="http://schemas.openxmlformats.org/officeDocument/2006/relationships/hyperlink" Target="#PRESENTACI&#211;N!A1" /></Relationships>
</file>

<file path=xl/drawings/_rels/drawing11.xml.rels><?xml version="1.0" encoding="UTF-8" standalone="yes"?>
<Relationships xmlns="http://schemas.openxmlformats.org/package/2006/relationships"><Relationship Id="rId3" Type="http://schemas.openxmlformats.org/officeDocument/2006/relationships/image" Target="../media/image5.png" /><Relationship Id="rId2" Type="http://schemas.openxmlformats.org/officeDocument/2006/relationships/hyperlink" Target="#PRESENTACI&#211;N!A1" /><Relationship Id="rId1" Type="http://schemas.openxmlformats.org/officeDocument/2006/relationships/image" Target="../media/image16.jpeg" /></Relationships>
</file>

<file path=xl/drawings/_rels/drawing12.xml.rels><?xml version="1.0" encoding="UTF-8" standalone="yes"?>
<Relationships xmlns="http://schemas.openxmlformats.org/package/2006/relationships"><Relationship Id="rId3" Type="http://schemas.openxmlformats.org/officeDocument/2006/relationships/image" Target="../media/image5.png" /><Relationship Id="rId2" Type="http://schemas.openxmlformats.org/officeDocument/2006/relationships/hyperlink" Target="#PRESENTACI&#211;N!A1" /><Relationship Id="rId1" Type="http://schemas.openxmlformats.org/officeDocument/2006/relationships/image" Target="../media/image16.jpeg" /></Relationships>
</file>

<file path=xl/drawings/_rels/drawing13.xml.rels><?xml version="1.0" encoding="UTF-8" standalone="yes"?>
<Relationships xmlns="http://schemas.openxmlformats.org/package/2006/relationships"><Relationship Id="rId2" Type="http://schemas.openxmlformats.org/officeDocument/2006/relationships/image" Target="../media/image5.png" /><Relationship Id="rId1" Type="http://schemas.openxmlformats.org/officeDocument/2006/relationships/hyperlink" Target="#PRESENTACI&#211;N!A1" /></Relationships>
</file>

<file path=xl/drawings/_rels/drawing14.xml.rels><?xml version="1.0" encoding="UTF-8" standalone="yes"?>
<Relationships xmlns="http://schemas.openxmlformats.org/package/2006/relationships"><Relationship Id="rId3" Type="http://schemas.openxmlformats.org/officeDocument/2006/relationships/image" Target="../media/image19.jpeg" /><Relationship Id="rId2" Type="http://schemas.openxmlformats.org/officeDocument/2006/relationships/image" Target="../media/image18.png" /><Relationship Id="rId1" Type="http://schemas.openxmlformats.org/officeDocument/2006/relationships/image" Target="../media/image17.png" /><Relationship Id="rId5" Type="http://schemas.openxmlformats.org/officeDocument/2006/relationships/image" Target="../media/image5.png" /><Relationship Id="rId4" Type="http://schemas.openxmlformats.org/officeDocument/2006/relationships/hyperlink" Target="#PRESENTACI&#211;N!A1" /></Relationships>
</file>

<file path=xl/drawings/_rels/drawing2.xml.rels><?xml version="1.0" encoding="UTF-8" standalone="yes"?>
<Relationships xmlns="http://schemas.openxmlformats.org/package/2006/relationships"><Relationship Id="rId3" Type="http://schemas.openxmlformats.org/officeDocument/2006/relationships/hyperlink" Target="#PRESENTACI&#211;N!A1" /><Relationship Id="rId2" Type="http://schemas.openxmlformats.org/officeDocument/2006/relationships/image" Target="../media/image2.png" /><Relationship Id="rId1" Type="http://schemas.openxmlformats.org/officeDocument/2006/relationships/image" Target="../media/image1.jpeg" /><Relationship Id="rId4" Type="http://schemas.openxmlformats.org/officeDocument/2006/relationships/image" Target="../media/image5.png" /></Relationships>
</file>

<file path=xl/drawings/_rels/drawing3.xml.rels><?xml version="1.0" encoding="UTF-8" standalone="yes"?>
<Relationships xmlns="http://schemas.openxmlformats.org/package/2006/relationships"><Relationship Id="rId3" Type="http://schemas.openxmlformats.org/officeDocument/2006/relationships/image" Target="../media/image5.png" /><Relationship Id="rId2" Type="http://schemas.openxmlformats.org/officeDocument/2006/relationships/hyperlink" Target="#PRESENTACI&#211;N!A1" /><Relationship Id="rId1" Type="http://schemas.openxmlformats.org/officeDocument/2006/relationships/hyperlink" Target="#'COEFICIENTE DE ESCURRIMIENTO'!A1" /></Relationships>
</file>

<file path=xl/drawings/_rels/drawing4.xml.rels><?xml version="1.0" encoding="UTF-8" standalone="yes"?>
<Relationships xmlns="http://schemas.openxmlformats.org/package/2006/relationships"><Relationship Id="rId3" Type="http://schemas.openxmlformats.org/officeDocument/2006/relationships/hyperlink" Target="#RESULTADOS!A1" /><Relationship Id="rId2" Type="http://schemas.openxmlformats.org/officeDocument/2006/relationships/image" Target="../media/image5.png" /><Relationship Id="rId1" Type="http://schemas.openxmlformats.org/officeDocument/2006/relationships/hyperlink" Target="#PRESENTACI&#211;N!A1" /><Relationship Id="rId5" Type="http://schemas.openxmlformats.org/officeDocument/2006/relationships/hyperlink" Target="#'RACIONAL MODIFICADO'!A1" /><Relationship Id="rId4" Type="http://schemas.openxmlformats.org/officeDocument/2006/relationships/hyperlink" Target="#'M&#201;TODO RACIONAL'!A1" /></Relationships>
</file>

<file path=xl/drawings/_rels/drawing5.xml.rels><?xml version="1.0" encoding="UTF-8" standalone="yes"?>
<Relationships xmlns="http://schemas.openxmlformats.org/package/2006/relationships"><Relationship Id="rId2" Type="http://schemas.openxmlformats.org/officeDocument/2006/relationships/image" Target="../media/image5.png" /><Relationship Id="rId1" Type="http://schemas.openxmlformats.org/officeDocument/2006/relationships/hyperlink" Target="#PRESENTACI&#211;N!A1" /></Relationships>
</file>

<file path=xl/drawings/_rels/drawing6.xml.rels><?xml version="1.0" encoding="UTF-8" standalone="yes"?>
<Relationships xmlns="http://schemas.openxmlformats.org/package/2006/relationships"><Relationship Id="rId2" Type="http://schemas.openxmlformats.org/officeDocument/2006/relationships/image" Target="../media/image5.png" /><Relationship Id="rId1" Type="http://schemas.openxmlformats.org/officeDocument/2006/relationships/hyperlink" Target="#PRESENTACI&#211;N!A1" /></Relationships>
</file>

<file path=xl/drawings/_rels/drawing7.xml.rels><?xml version="1.0" encoding="UTF-8" standalone="yes"?>
<Relationships xmlns="http://schemas.openxmlformats.org/package/2006/relationships"><Relationship Id="rId3" Type="http://schemas.openxmlformats.org/officeDocument/2006/relationships/image" Target="../media/image8.png" /><Relationship Id="rId2" Type="http://schemas.openxmlformats.org/officeDocument/2006/relationships/image" Target="../media/image7.png" /><Relationship Id="rId1" Type="http://schemas.openxmlformats.org/officeDocument/2006/relationships/image" Target="../media/image6.png" /><Relationship Id="rId4" Type="http://schemas.openxmlformats.org/officeDocument/2006/relationships/image" Target="../media/image9.png" /></Relationships>
</file>

<file path=xl/drawings/_rels/drawing8.xml.rels><?xml version="1.0" encoding="UTF-8" standalone="yes"?>
<Relationships xmlns="http://schemas.openxmlformats.org/package/2006/relationships"><Relationship Id="rId2" Type="http://schemas.openxmlformats.org/officeDocument/2006/relationships/image" Target="../media/image5.png" /><Relationship Id="rId1" Type="http://schemas.openxmlformats.org/officeDocument/2006/relationships/hyperlink" Target="#PRESENTACI&#211;N!A1" /></Relationships>
</file>

<file path=xl/drawings/_rels/drawing9.xml.rels><?xml version="1.0" encoding="UTF-8" standalone="yes"?>
<Relationships xmlns="http://schemas.openxmlformats.org/package/2006/relationships"><Relationship Id="rId3" Type="http://schemas.openxmlformats.org/officeDocument/2006/relationships/hyperlink" Target="#PRESENTACI&#211;N!A1" /><Relationship Id="rId2" Type="http://schemas.openxmlformats.org/officeDocument/2006/relationships/hyperlink" Target="#'RESULT SECCI&#211;N TRANSVERSAL'!A1" /><Relationship Id="rId1" Type="http://schemas.openxmlformats.org/officeDocument/2006/relationships/chart" Target="../charts/chart1.xml" /><Relationship Id="rId4" Type="http://schemas.openxmlformats.org/officeDocument/2006/relationships/image" Target="../media/image5.png" /></Relationships>
</file>

<file path=xl/drawings/_rels/vmlDrawing2.vml.rels><?xml version="1.0" encoding="UTF-8" standalone="yes"?>
<Relationships xmlns="http://schemas.openxmlformats.org/package/2006/relationships"><Relationship Id="rId3" Type="http://schemas.openxmlformats.org/officeDocument/2006/relationships/image" Target="../media/image12.emf" /><Relationship Id="rId2" Type="http://schemas.openxmlformats.org/officeDocument/2006/relationships/image" Target="../media/image11.emf" /><Relationship Id="rId1" Type="http://schemas.openxmlformats.org/officeDocument/2006/relationships/image" Target="../media/image10.emf" /></Relationships>
</file>

<file path=xl/drawings/drawing1.xml><?xml version="1.0" encoding="utf-8"?>
<xdr:wsDr xmlns:xdr="http://schemas.openxmlformats.org/drawingml/2006/spreadsheetDrawing" xmlns:a="http://schemas.openxmlformats.org/drawingml/2006/main">
  <xdr:twoCellAnchor>
    <xdr:from>
      <xdr:col>1</xdr:col>
      <xdr:colOff>21851</xdr:colOff>
      <xdr:row>1</xdr:row>
      <xdr:rowOff>14932</xdr:rowOff>
    </xdr:from>
    <xdr:to>
      <xdr:col>11</xdr:col>
      <xdr:colOff>752474</xdr:colOff>
      <xdr:row>5</xdr:row>
      <xdr:rowOff>125894</xdr:rowOff>
    </xdr:to>
    <xdr:sp macro="" textlink="">
      <xdr:nvSpPr>
        <xdr:cNvPr id="4" name="3 CuadroTexto">
          <a:extLst>
            <a:ext uri="{FF2B5EF4-FFF2-40B4-BE49-F238E27FC236}">
              <a16:creationId xmlns:a16="http://schemas.microsoft.com/office/drawing/2014/main" id="{CEAB13AD-EF63-4C8B-8FA0-E24FE74882A9}"/>
            </a:ext>
          </a:extLst>
        </xdr:cNvPr>
        <xdr:cNvSpPr txBox="1"/>
      </xdr:nvSpPr>
      <xdr:spPr>
        <a:xfrm>
          <a:off x="336176" y="262582"/>
          <a:ext cx="7836273" cy="872962"/>
        </a:xfrm>
        <a:prstGeom prst="rect">
          <a:avLst/>
        </a:prstGeom>
        <a:solidFill>
          <a:schemeClr val="tx2">
            <a:lumMod val="60000"/>
            <a:lumOff val="40000"/>
          </a:schemeClr>
        </a:solidFill>
        <a:ln w="9525" cmpd="sng">
          <a:solidFill>
            <a:schemeClr val="lt1">
              <a:shade val="50000"/>
            </a:schemeClr>
          </a:solid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clientData/>
  </xdr:twoCellAnchor>
  <xdr:twoCellAnchor editAs="oneCell">
    <xdr:from>
      <xdr:col>1</xdr:col>
      <xdr:colOff>174789</xdr:colOff>
      <xdr:row>1</xdr:row>
      <xdr:rowOff>140094</xdr:rowOff>
    </xdr:from>
    <xdr:to>
      <xdr:col>2</xdr:col>
      <xdr:colOff>305534</xdr:colOff>
      <xdr:row>4</xdr:row>
      <xdr:rowOff>163626</xdr:rowOff>
    </xdr:to>
    <xdr:pic>
      <xdr:nvPicPr>
        <xdr:cNvPr id="2" name="1 Imagen">
          <a:extLst>
            <a:ext uri="{FF2B5EF4-FFF2-40B4-BE49-F238E27FC236}">
              <a16:creationId xmlns:a16="http://schemas.microsoft.com/office/drawing/2014/main" id="{82750B4F-8E6D-4E60-98BC-AE8111B7EED4}"/>
            </a:ext>
          </a:extLst>
        </xdr:cNvPr>
        <xdr:cNvPicPr>
          <a:picLocks noChangeAspect="1"/>
        </xdr:cNvPicPr>
      </xdr:nvPicPr>
      <xdr:blipFill>
        <a:blip xmlns:r="http://schemas.openxmlformats.org/officeDocument/2006/relationships" r:embed="rId1" cstate="print"/>
        <a:stretch>
          <a:fillRect/>
        </a:stretch>
      </xdr:blipFill>
      <xdr:spPr>
        <a:xfrm>
          <a:off x="489114" y="387744"/>
          <a:ext cx="892745" cy="59503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10</xdr:col>
      <xdr:colOff>751867</xdr:colOff>
      <xdr:row>1</xdr:row>
      <xdr:rowOff>145023</xdr:rowOff>
    </xdr:from>
    <xdr:to>
      <xdr:col>11</xdr:col>
      <xdr:colOff>668945</xdr:colOff>
      <xdr:row>4</xdr:row>
      <xdr:rowOff>173054</xdr:rowOff>
    </xdr:to>
    <xdr:pic>
      <xdr:nvPicPr>
        <xdr:cNvPr id="3" name="2 Imagen">
          <a:extLst>
            <a:ext uri="{FF2B5EF4-FFF2-40B4-BE49-F238E27FC236}">
              <a16:creationId xmlns:a16="http://schemas.microsoft.com/office/drawing/2014/main" id="{80426920-A4A3-4D8C-AB12-68DF74FD67C1}"/>
            </a:ext>
          </a:extLst>
        </xdr:cNvPr>
        <xdr:cNvPicPr>
          <a:picLocks noChangeAspect="1"/>
        </xdr:cNvPicPr>
      </xdr:nvPicPr>
      <xdr:blipFill>
        <a:blip xmlns:r="http://schemas.openxmlformats.org/officeDocument/2006/relationships" r:embed="rId2" cstate="print"/>
        <a:stretch>
          <a:fillRect/>
        </a:stretch>
      </xdr:blipFill>
      <xdr:spPr>
        <a:xfrm>
          <a:off x="7409842" y="392673"/>
          <a:ext cx="679078" cy="59953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oneCellAnchor>
    <xdr:from>
      <xdr:col>2</xdr:col>
      <xdr:colOff>428626</xdr:colOff>
      <xdr:row>1</xdr:row>
      <xdr:rowOff>111498</xdr:rowOff>
    </xdr:from>
    <xdr:ext cx="5781674" cy="640945"/>
    <xdr:sp macro="" textlink="">
      <xdr:nvSpPr>
        <xdr:cNvPr id="5" name="4 CuadroTexto">
          <a:extLst>
            <a:ext uri="{FF2B5EF4-FFF2-40B4-BE49-F238E27FC236}">
              <a16:creationId xmlns:a16="http://schemas.microsoft.com/office/drawing/2014/main" id="{B6E9DE44-F17F-47C1-95AE-5C7B7A531FFE}"/>
            </a:ext>
          </a:extLst>
        </xdr:cNvPr>
        <xdr:cNvSpPr txBox="1"/>
      </xdr:nvSpPr>
      <xdr:spPr>
        <a:xfrm>
          <a:off x="1504951" y="359148"/>
          <a:ext cx="5781674" cy="64094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spAutoFit/>
        </a:bodyPr>
        <a:lstStyle/>
        <a:p>
          <a:pPr algn="ctr"/>
          <a:r>
            <a:rPr lang="es-MX" sz="1200" b="1">
              <a:latin typeface="+mj-lt"/>
            </a:rPr>
            <a:t>SECRETARIA</a:t>
          </a:r>
          <a:r>
            <a:rPr lang="es-MX" sz="1200" b="1" baseline="0">
              <a:latin typeface="+mj-lt"/>
            </a:rPr>
            <a:t> DE AGRICULTURA, GANADERÍA,  DESARROLLO RURAL, PESCA Y ALIMENTACIÓN</a:t>
          </a:r>
        </a:p>
        <a:p>
          <a:pPr algn="ctr"/>
          <a:r>
            <a:rPr lang="es-MX" sz="1250" b="1" baseline="0">
              <a:latin typeface="+mj-lt"/>
            </a:rPr>
            <a:t>UNIDAD TÉCNICA ESPECIALIZADA CUSSA-COLPOS</a:t>
          </a:r>
          <a:endParaRPr lang="es-MX" sz="1250" b="1">
            <a:latin typeface="+mj-lt"/>
          </a:endParaRPr>
        </a:p>
      </xdr:txBody>
    </xdr:sp>
    <xdr:clientData/>
  </xdr:oneCellAnchor>
  <xdr:oneCellAnchor>
    <xdr:from>
      <xdr:col>1</xdr:col>
      <xdr:colOff>314325</xdr:colOff>
      <xdr:row>6</xdr:row>
      <xdr:rowOff>57150</xdr:rowOff>
    </xdr:from>
    <xdr:ext cx="7353299" cy="441636"/>
    <xdr:sp macro="" textlink="">
      <xdr:nvSpPr>
        <xdr:cNvPr id="14" name="13 CuadroTexto">
          <a:extLst>
            <a:ext uri="{FF2B5EF4-FFF2-40B4-BE49-F238E27FC236}">
              <a16:creationId xmlns:a16="http://schemas.microsoft.com/office/drawing/2014/main" id="{29E9FFF5-5D16-4F27-855E-CEDDE5286D6A}"/>
            </a:ext>
          </a:extLst>
        </xdr:cNvPr>
        <xdr:cNvSpPr txBox="1"/>
      </xdr:nvSpPr>
      <xdr:spPr>
        <a:xfrm>
          <a:off x="628650" y="1257300"/>
          <a:ext cx="7353299" cy="441636"/>
        </a:xfrm>
        <a:prstGeom prst="rect">
          <a:avLst/>
        </a:prstGeom>
        <a:ln/>
        <a:scene3d>
          <a:camera prst="orthographicFront"/>
          <a:lightRig rig="threePt" dir="t"/>
        </a:scene3d>
        <a:sp3d>
          <a:bevelT w="152400" h="50800" prst="softRound"/>
        </a:sp3d>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nchorCtr="0">
          <a:noAutofit/>
        </a:bodyPr>
        <a:lstStyle/>
        <a:p>
          <a:pPr algn="ctr"/>
          <a:r>
            <a:rPr lang="es-MX" sz="1400" b="1">
              <a:solidFill>
                <a:schemeClr val="bg1"/>
              </a:solidFill>
              <a:latin typeface="+mj-lt"/>
            </a:rPr>
            <a:t>ESTIMACIÓN DE PARÁMETROS</a:t>
          </a:r>
          <a:r>
            <a:rPr lang="es-MX" sz="1400" b="1" baseline="0">
              <a:solidFill>
                <a:schemeClr val="bg1"/>
              </a:solidFill>
              <a:latin typeface="+mj-lt"/>
            </a:rPr>
            <a:t> HIDROLÓGICOS PARA EL DISE</a:t>
          </a:r>
          <a:r>
            <a:rPr lang="en-US" sz="1400" b="1">
              <a:solidFill>
                <a:schemeClr val="bg1"/>
              </a:solidFill>
              <a:latin typeface="+mj-lt"/>
              <a:ea typeface="+mn-ea"/>
              <a:cs typeface="+mn-cs"/>
            </a:rPr>
            <a:t>ÑO DE OBRAS COUSSA</a:t>
          </a:r>
          <a:endParaRPr lang="es-MX" sz="1600" b="1">
            <a:solidFill>
              <a:schemeClr val="bg1"/>
            </a:solidFill>
            <a:latin typeface="+mj-lt"/>
          </a:endParaRPr>
        </a:p>
      </xdr:txBody>
    </xdr:sp>
    <xdr:clientData/>
  </xdr:oneCellAnchor>
  <xdr:twoCellAnchor>
    <xdr:from>
      <xdr:col>1</xdr:col>
      <xdr:colOff>104775</xdr:colOff>
      <xdr:row>9</xdr:row>
      <xdr:rowOff>104775</xdr:rowOff>
    </xdr:from>
    <xdr:to>
      <xdr:col>11</xdr:col>
      <xdr:colOff>581025</xdr:colOff>
      <xdr:row>36</xdr:row>
      <xdr:rowOff>47625</xdr:rowOff>
    </xdr:to>
    <xdr:grpSp>
      <xdr:nvGrpSpPr>
        <xdr:cNvPr id="72405" name="144 Grupo">
          <a:extLst>
            <a:ext uri="{FF2B5EF4-FFF2-40B4-BE49-F238E27FC236}">
              <a16:creationId xmlns:a16="http://schemas.microsoft.com/office/drawing/2014/main" id="{2E7208F0-710F-4DF4-AFE5-4A6BA49F9322}"/>
            </a:ext>
          </a:extLst>
        </xdr:cNvPr>
        <xdr:cNvGrpSpPr>
          <a:grpSpLocks/>
        </xdr:cNvGrpSpPr>
      </xdr:nvGrpSpPr>
      <xdr:grpSpPr bwMode="auto">
        <a:xfrm>
          <a:off x="442480" y="1879890"/>
          <a:ext cx="8070270" cy="5086350"/>
          <a:chOff x="676221" y="1870760"/>
          <a:chExt cx="6320253" cy="4231125"/>
        </a:xfrm>
      </xdr:grpSpPr>
      <xdr:pic>
        <xdr:nvPicPr>
          <xdr:cNvPr id="37" name=" 0">
            <a:extLst>
              <a:ext uri="{FF2B5EF4-FFF2-40B4-BE49-F238E27FC236}">
                <a16:creationId xmlns:a16="http://schemas.microsoft.com/office/drawing/2014/main" id="{48AE06E2-2FF4-4A2B-BE3D-A98DA4942414}"/>
              </a:ext>
            </a:extLst>
          </xdr:cNvPr>
          <xdr:cNvPicPr/>
        </xdr:nvPicPr>
        <xdr:blipFill rotWithShape="1">
          <a:blip xmlns:r="http://schemas.openxmlformats.org/officeDocument/2006/relationships" r:embed="rId3" cstate="print"/>
          <a:srcRect l="29638" t="17304" r="6107" b="8250"/>
          <a:stretch/>
        </xdr:blipFill>
        <xdr:spPr bwMode="auto">
          <a:xfrm>
            <a:off x="676221" y="1870760"/>
            <a:ext cx="6320253" cy="423112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pic>
        <xdr:nvPicPr>
          <xdr:cNvPr id="38" name=" 0">
            <a:extLst>
              <a:ext uri="{FF2B5EF4-FFF2-40B4-BE49-F238E27FC236}">
                <a16:creationId xmlns:a16="http://schemas.microsoft.com/office/drawing/2014/main" id="{971436BA-8A01-4F77-8DED-B6B1A18B9728}"/>
              </a:ext>
            </a:extLst>
          </xdr:cNvPr>
          <xdr:cNvPicPr/>
        </xdr:nvPicPr>
        <xdr:blipFill rotWithShape="1">
          <a:blip xmlns:r="http://schemas.openxmlformats.org/officeDocument/2006/relationships" r:embed="rId4" cstate="print"/>
          <a:srcRect l="41744" t="16298" r="28844" b="12474"/>
          <a:stretch/>
        </xdr:blipFill>
        <xdr:spPr bwMode="auto">
          <a:xfrm>
            <a:off x="4631453" y="1879519"/>
            <a:ext cx="2351222" cy="226831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xnSp macro="">
        <xdr:nvCxnSpPr>
          <xdr:cNvPr id="7" name="6 Conector recto">
            <a:extLst>
              <a:ext uri="{FF2B5EF4-FFF2-40B4-BE49-F238E27FC236}">
                <a16:creationId xmlns:a16="http://schemas.microsoft.com/office/drawing/2014/main" id="{240CEF33-18CD-4F2D-ABBE-C02D79CE2493}"/>
              </a:ext>
            </a:extLst>
          </xdr:cNvPr>
          <xdr:cNvCxnSpPr/>
        </xdr:nvCxnSpPr>
        <xdr:spPr>
          <a:xfrm flipH="1">
            <a:off x="3129686" y="1918301"/>
            <a:ext cx="1540363" cy="2305725"/>
          </a:xfrm>
          <a:prstGeom prst="line">
            <a:avLst/>
          </a:prstGeom>
          <a:ln>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 name="11 Conector recto">
            <a:extLst>
              <a:ext uri="{FF2B5EF4-FFF2-40B4-BE49-F238E27FC236}">
                <a16:creationId xmlns:a16="http://schemas.microsoft.com/office/drawing/2014/main" id="{828355D3-4CA7-4E49-B867-4198C4A0EB39}"/>
              </a:ext>
            </a:extLst>
          </xdr:cNvPr>
          <xdr:cNvCxnSpPr>
            <a:endCxn id="38" idx="2"/>
          </xdr:cNvCxnSpPr>
        </xdr:nvCxnSpPr>
        <xdr:spPr>
          <a:xfrm flipV="1">
            <a:off x="3153506" y="4144792"/>
            <a:ext cx="2651965" cy="269397"/>
          </a:xfrm>
          <a:prstGeom prst="line">
            <a:avLst/>
          </a:prstGeom>
          <a:ln>
            <a:solidFill>
              <a:srgbClr val="FF0000"/>
            </a:solidFill>
          </a:ln>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xdr:col>
      <xdr:colOff>285750</xdr:colOff>
      <xdr:row>9</xdr:row>
      <xdr:rowOff>133350</xdr:rowOff>
    </xdr:from>
    <xdr:to>
      <xdr:col>11</xdr:col>
      <xdr:colOff>419100</xdr:colOff>
      <xdr:row>35</xdr:row>
      <xdr:rowOff>47625</xdr:rowOff>
    </xdr:to>
    <xdr:grpSp>
      <xdr:nvGrpSpPr>
        <xdr:cNvPr id="72406" name="143 Grupo">
          <a:extLst>
            <a:ext uri="{FF2B5EF4-FFF2-40B4-BE49-F238E27FC236}">
              <a16:creationId xmlns:a16="http://schemas.microsoft.com/office/drawing/2014/main" id="{291071A1-BA76-4F72-8B8F-A9EE52E23DDF}"/>
            </a:ext>
          </a:extLst>
        </xdr:cNvPr>
        <xdr:cNvGrpSpPr>
          <a:grpSpLocks/>
        </xdr:cNvGrpSpPr>
      </xdr:nvGrpSpPr>
      <xdr:grpSpPr bwMode="auto">
        <a:xfrm>
          <a:off x="623455" y="1908465"/>
          <a:ext cx="7727370" cy="4867275"/>
          <a:chOff x="8885464" y="1210843"/>
          <a:chExt cx="7240540" cy="4867966"/>
        </a:xfrm>
      </xdr:grpSpPr>
      <xdr:sp macro="" textlink="">
        <xdr:nvSpPr>
          <xdr:cNvPr id="112" name="28 CuadroTexto">
            <a:hlinkClick xmlns:r="http://schemas.openxmlformats.org/officeDocument/2006/relationships" r:id="rId5"/>
            <a:extLst>
              <a:ext uri="{FF2B5EF4-FFF2-40B4-BE49-F238E27FC236}">
                <a16:creationId xmlns:a16="http://schemas.microsoft.com/office/drawing/2014/main" id="{2C6CACA3-E57E-404B-AA97-1BB6613301E7}"/>
              </a:ext>
            </a:extLst>
          </xdr:cNvPr>
          <xdr:cNvSpPr txBox="1"/>
        </xdr:nvSpPr>
        <xdr:spPr>
          <a:xfrm>
            <a:off x="9056950" y="2982745"/>
            <a:ext cx="2219797" cy="228632"/>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s-MX" sz="1200" b="1">
                <a:latin typeface="+mj-lt"/>
              </a:rPr>
              <a:t>Precipitación media anual</a:t>
            </a:r>
          </a:p>
        </xdr:txBody>
      </xdr:sp>
      <xdr:sp macro="" textlink="">
        <xdr:nvSpPr>
          <xdr:cNvPr id="114" name="64 CuadroTexto">
            <a:hlinkClick xmlns:r="http://schemas.openxmlformats.org/officeDocument/2006/relationships" r:id="rId6"/>
            <a:extLst>
              <a:ext uri="{FF2B5EF4-FFF2-40B4-BE49-F238E27FC236}">
                <a16:creationId xmlns:a16="http://schemas.microsoft.com/office/drawing/2014/main" id="{A0B4D938-D102-4F10-8F6B-81AB9E9C6240}"/>
              </a:ext>
            </a:extLst>
          </xdr:cNvPr>
          <xdr:cNvSpPr txBox="1"/>
        </xdr:nvSpPr>
        <xdr:spPr>
          <a:xfrm>
            <a:off x="9056950" y="3744853"/>
            <a:ext cx="1000338" cy="238159"/>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s-MX" sz="1200" b="1">
                <a:latin typeface="+mj-lt"/>
              </a:rPr>
              <a:t>Resultados</a:t>
            </a:r>
          </a:p>
        </xdr:txBody>
      </xdr:sp>
      <xdr:sp macro="" textlink="">
        <xdr:nvSpPr>
          <xdr:cNvPr id="115" name="66 CuadroTexto">
            <a:hlinkClick xmlns:r="http://schemas.openxmlformats.org/officeDocument/2006/relationships" r:id="rId7"/>
            <a:extLst>
              <a:ext uri="{FF2B5EF4-FFF2-40B4-BE49-F238E27FC236}">
                <a16:creationId xmlns:a16="http://schemas.microsoft.com/office/drawing/2014/main" id="{27C639C4-994C-488E-94A6-076A628E6458}"/>
              </a:ext>
            </a:extLst>
          </xdr:cNvPr>
          <xdr:cNvSpPr txBox="1"/>
        </xdr:nvSpPr>
        <xdr:spPr>
          <a:xfrm>
            <a:off x="11848369" y="4926120"/>
            <a:ext cx="1514797" cy="371528"/>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s-MX" sz="1200" b="1">
                <a:latin typeface="+mj-lt"/>
              </a:rPr>
              <a:t>Método Envolvente </a:t>
            </a:r>
          </a:p>
          <a:p>
            <a:r>
              <a:rPr lang="es-MX" sz="1200" b="1">
                <a:latin typeface="+mj-lt"/>
              </a:rPr>
              <a:t>de Creager</a:t>
            </a:r>
          </a:p>
        </xdr:txBody>
      </xdr:sp>
      <xdr:sp macro="" textlink="">
        <xdr:nvSpPr>
          <xdr:cNvPr id="116" name="67 CuadroTexto">
            <a:hlinkClick xmlns:r="http://schemas.openxmlformats.org/officeDocument/2006/relationships" r:id="rId8"/>
            <a:extLst>
              <a:ext uri="{FF2B5EF4-FFF2-40B4-BE49-F238E27FC236}">
                <a16:creationId xmlns:a16="http://schemas.microsoft.com/office/drawing/2014/main" id="{BF585B6A-87E2-4E1A-84D1-4A7E5A84BF0F}"/>
              </a:ext>
            </a:extLst>
          </xdr:cNvPr>
          <xdr:cNvSpPr txBox="1"/>
        </xdr:nvSpPr>
        <xdr:spPr>
          <a:xfrm>
            <a:off x="11848369" y="5392912"/>
            <a:ext cx="1514797" cy="352475"/>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s-MX" sz="1200" b="1">
                <a:latin typeface="+mj-lt"/>
              </a:rPr>
              <a:t>Método Envolvente </a:t>
            </a:r>
          </a:p>
          <a:p>
            <a:r>
              <a:rPr lang="es-MX" sz="1200" b="1">
                <a:latin typeface="+mj-lt"/>
              </a:rPr>
              <a:t>de Lowry</a:t>
            </a:r>
          </a:p>
        </xdr:txBody>
      </xdr:sp>
      <xdr:sp macro="" textlink="">
        <xdr:nvSpPr>
          <xdr:cNvPr id="117" name="68 CuadroTexto">
            <a:hlinkClick xmlns:r="http://schemas.openxmlformats.org/officeDocument/2006/relationships" r:id="rId9"/>
            <a:extLst>
              <a:ext uri="{FF2B5EF4-FFF2-40B4-BE49-F238E27FC236}">
                <a16:creationId xmlns:a16="http://schemas.microsoft.com/office/drawing/2014/main" id="{192EC0C8-E6ED-4DEF-B448-9571D7FC4184}"/>
              </a:ext>
            </a:extLst>
          </xdr:cNvPr>
          <xdr:cNvSpPr txBox="1"/>
        </xdr:nvSpPr>
        <xdr:spPr>
          <a:xfrm>
            <a:off x="11848369" y="4449803"/>
            <a:ext cx="1514797" cy="362001"/>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s-MX" sz="1200" b="1">
                <a:latin typeface="+mj-lt"/>
              </a:rPr>
              <a:t>Método de huellas máximas</a:t>
            </a:r>
          </a:p>
        </xdr:txBody>
      </xdr:sp>
      <xdr:sp macro="" textlink="">
        <xdr:nvSpPr>
          <xdr:cNvPr id="118" name="69 CuadroTexto">
            <a:hlinkClick xmlns:r="http://schemas.openxmlformats.org/officeDocument/2006/relationships" r:id="rId10"/>
            <a:extLst>
              <a:ext uri="{FF2B5EF4-FFF2-40B4-BE49-F238E27FC236}">
                <a16:creationId xmlns:a16="http://schemas.microsoft.com/office/drawing/2014/main" id="{EF95E34E-DEC2-403C-ABE5-0EFFCB1D9687}"/>
              </a:ext>
            </a:extLst>
          </xdr:cNvPr>
          <xdr:cNvSpPr txBox="1"/>
        </xdr:nvSpPr>
        <xdr:spPr>
          <a:xfrm>
            <a:off x="11857896" y="3916327"/>
            <a:ext cx="1495743" cy="400107"/>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s-MX" sz="1200" b="1">
                <a:latin typeface="+mj-lt"/>
              </a:rPr>
              <a:t>Método Racional </a:t>
            </a:r>
          </a:p>
          <a:p>
            <a:r>
              <a:rPr lang="es-MX" sz="1200" b="1">
                <a:latin typeface="+mj-lt"/>
              </a:rPr>
              <a:t>Modificado</a:t>
            </a:r>
          </a:p>
        </xdr:txBody>
      </xdr:sp>
      <xdr:sp macro="" textlink="">
        <xdr:nvSpPr>
          <xdr:cNvPr id="119" name="70 CuadroTexto">
            <a:hlinkClick xmlns:r="http://schemas.openxmlformats.org/officeDocument/2006/relationships" r:id="rId11"/>
            <a:extLst>
              <a:ext uri="{FF2B5EF4-FFF2-40B4-BE49-F238E27FC236}">
                <a16:creationId xmlns:a16="http://schemas.microsoft.com/office/drawing/2014/main" id="{1948E8DB-3124-4D53-AB7D-18B5669239E0}"/>
              </a:ext>
            </a:extLst>
          </xdr:cNvPr>
          <xdr:cNvSpPr txBox="1"/>
        </xdr:nvSpPr>
        <xdr:spPr>
          <a:xfrm>
            <a:off x="11857896" y="3544799"/>
            <a:ext cx="1495743" cy="247685"/>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s-MX" sz="1200" b="1">
                <a:latin typeface="+mj-lt"/>
              </a:rPr>
              <a:t>Método Racional</a:t>
            </a:r>
          </a:p>
        </xdr:txBody>
      </xdr:sp>
      <xdr:sp macro="" textlink="">
        <xdr:nvSpPr>
          <xdr:cNvPr id="120" name="73 CuadroTexto">
            <a:hlinkClick xmlns:r="http://schemas.openxmlformats.org/officeDocument/2006/relationships" r:id="rId12"/>
            <a:extLst>
              <a:ext uri="{FF2B5EF4-FFF2-40B4-BE49-F238E27FC236}">
                <a16:creationId xmlns:a16="http://schemas.microsoft.com/office/drawing/2014/main" id="{EA727190-4125-45CF-A50B-F8047F6E11A8}"/>
              </a:ext>
            </a:extLst>
          </xdr:cNvPr>
          <xdr:cNvSpPr txBox="1"/>
        </xdr:nvSpPr>
        <xdr:spPr>
          <a:xfrm>
            <a:off x="9056950" y="3363799"/>
            <a:ext cx="2238851" cy="238159"/>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s-MX" sz="1200" b="1">
                <a:latin typeface="+mj-lt"/>
              </a:rPr>
              <a:t>Coeficiente de Escurrimiento</a:t>
            </a:r>
          </a:p>
        </xdr:txBody>
      </xdr:sp>
      <xdr:sp macro="" textlink="">
        <xdr:nvSpPr>
          <xdr:cNvPr id="121" name="31 CuadroTexto">
            <a:extLst>
              <a:ext uri="{FF2B5EF4-FFF2-40B4-BE49-F238E27FC236}">
                <a16:creationId xmlns:a16="http://schemas.microsoft.com/office/drawing/2014/main" id="{8DE539F7-DC8C-4B0F-94C3-10016F4473B4}"/>
              </a:ext>
            </a:extLst>
          </xdr:cNvPr>
          <xdr:cNvSpPr txBox="1"/>
        </xdr:nvSpPr>
        <xdr:spPr>
          <a:xfrm>
            <a:off x="11333910" y="1210843"/>
            <a:ext cx="2419865" cy="457265"/>
          </a:xfrm>
          <a:prstGeom prst="rect">
            <a:avLst/>
          </a:prstGeom>
          <a:ln/>
        </xdr:spPr>
        <xdr:style>
          <a:lnRef idx="1">
            <a:schemeClr val="accent6"/>
          </a:lnRef>
          <a:fillRef idx="2">
            <a:schemeClr val="accent6"/>
          </a:fillRef>
          <a:effectRef idx="1">
            <a:schemeClr val="accent6"/>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600" b="1">
                <a:solidFill>
                  <a:sysClr val="windowText" lastClr="000000"/>
                </a:solidFill>
                <a:latin typeface="+mj-lt"/>
              </a:rPr>
              <a:t>CONTENIDO</a:t>
            </a:r>
          </a:p>
        </xdr:txBody>
      </xdr:sp>
      <xdr:sp macro="" textlink="">
        <xdr:nvSpPr>
          <xdr:cNvPr id="122" name="33 CuadroTexto">
            <a:hlinkClick xmlns:r="http://schemas.openxmlformats.org/officeDocument/2006/relationships" r:id="rId13"/>
            <a:extLst>
              <a:ext uri="{FF2B5EF4-FFF2-40B4-BE49-F238E27FC236}">
                <a16:creationId xmlns:a16="http://schemas.microsoft.com/office/drawing/2014/main" id="{D34A5873-B44F-48D5-8CD1-993932D81A1C}"/>
              </a:ext>
            </a:extLst>
          </xdr:cNvPr>
          <xdr:cNvSpPr txBox="1"/>
        </xdr:nvSpPr>
        <xdr:spPr>
          <a:xfrm>
            <a:off x="11962694" y="1849109"/>
            <a:ext cx="1152770" cy="247685"/>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s-MX" sz="1200" b="1">
                <a:solidFill>
                  <a:schemeClr val="dk1"/>
                </a:solidFill>
                <a:latin typeface="+mj-lt"/>
                <a:ea typeface="+mn-ea"/>
                <a:cs typeface="+mn-cs"/>
              </a:rPr>
              <a:t>INSTRUCTIVO </a:t>
            </a:r>
          </a:p>
        </xdr:txBody>
      </xdr:sp>
      <xdr:cxnSp macro="">
        <xdr:nvCxnSpPr>
          <xdr:cNvPr id="123" name="20 Conector recto de flecha">
            <a:extLst>
              <a:ext uri="{FF2B5EF4-FFF2-40B4-BE49-F238E27FC236}">
                <a16:creationId xmlns:a16="http://schemas.microsoft.com/office/drawing/2014/main" id="{9A8ED0EF-7AD9-4D1A-9D77-6AFC788BED3A}"/>
              </a:ext>
            </a:extLst>
          </xdr:cNvPr>
          <xdr:cNvCxnSpPr>
            <a:stCxn id="121" idx="2"/>
            <a:endCxn id="122" idx="0"/>
          </xdr:cNvCxnSpPr>
        </xdr:nvCxnSpPr>
        <xdr:spPr>
          <a:xfrm rot="5400000">
            <a:off x="12453341" y="1758609"/>
            <a:ext cx="181001"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24" name="27 Conector angular">
            <a:extLst>
              <a:ext uri="{FF2B5EF4-FFF2-40B4-BE49-F238E27FC236}">
                <a16:creationId xmlns:a16="http://schemas.microsoft.com/office/drawing/2014/main" id="{8778F4AB-DAB7-44C1-AD8C-BB87280C03AC}"/>
              </a:ext>
            </a:extLst>
          </xdr:cNvPr>
          <xdr:cNvCxnSpPr>
            <a:endCxn id="113" idx="0"/>
          </xdr:cNvCxnSpPr>
        </xdr:nvCxnSpPr>
        <xdr:spPr>
          <a:xfrm rot="10800000" flipV="1">
            <a:off x="10085869" y="2182531"/>
            <a:ext cx="2467500" cy="181001"/>
          </a:xfrm>
          <a:prstGeom prst="bentConnector2">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25" name="61 Conector angular">
            <a:extLst>
              <a:ext uri="{FF2B5EF4-FFF2-40B4-BE49-F238E27FC236}">
                <a16:creationId xmlns:a16="http://schemas.microsoft.com/office/drawing/2014/main" id="{C7275C8B-7058-4C7F-8743-D791091DAB5F}"/>
              </a:ext>
            </a:extLst>
          </xdr:cNvPr>
          <xdr:cNvCxnSpPr>
            <a:endCxn id="127" idx="0"/>
          </xdr:cNvCxnSpPr>
        </xdr:nvCxnSpPr>
        <xdr:spPr>
          <a:xfrm>
            <a:off x="12534315" y="2182531"/>
            <a:ext cx="2391284" cy="181001"/>
          </a:xfrm>
          <a:prstGeom prst="bentConnector2">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26" name="66 Conector recto de flecha">
            <a:extLst>
              <a:ext uri="{FF2B5EF4-FFF2-40B4-BE49-F238E27FC236}">
                <a16:creationId xmlns:a16="http://schemas.microsoft.com/office/drawing/2014/main" id="{D888C2FA-1D40-4D70-8D81-450E79937E50}"/>
              </a:ext>
            </a:extLst>
          </xdr:cNvPr>
          <xdr:cNvCxnSpPr>
            <a:stCxn id="122" idx="2"/>
            <a:endCxn id="128" idx="0"/>
          </xdr:cNvCxnSpPr>
        </xdr:nvCxnSpPr>
        <xdr:spPr>
          <a:xfrm>
            <a:off x="12543842" y="2096794"/>
            <a:ext cx="0" cy="266738"/>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29" name="80 Conector recto">
            <a:extLst>
              <a:ext uri="{FF2B5EF4-FFF2-40B4-BE49-F238E27FC236}">
                <a16:creationId xmlns:a16="http://schemas.microsoft.com/office/drawing/2014/main" id="{9D931B6A-4FDA-4C59-ABCD-B6CDCC1142E5}"/>
              </a:ext>
            </a:extLst>
          </xdr:cNvPr>
          <xdr:cNvCxnSpPr/>
        </xdr:nvCxnSpPr>
        <xdr:spPr>
          <a:xfrm>
            <a:off x="8914045" y="2801744"/>
            <a:ext cx="0" cy="1086004"/>
          </a:xfrm>
          <a:prstGeom prst="line">
            <a:avLst/>
          </a:prstGeom>
        </xdr:spPr>
        <xdr:style>
          <a:lnRef idx="3">
            <a:schemeClr val="accent6"/>
          </a:lnRef>
          <a:fillRef idx="0">
            <a:schemeClr val="accent6"/>
          </a:fillRef>
          <a:effectRef idx="2">
            <a:schemeClr val="accent6"/>
          </a:effectRef>
          <a:fontRef idx="minor">
            <a:schemeClr val="tx1"/>
          </a:fontRef>
        </xdr:style>
      </xdr:cxnSp>
      <xdr:cxnSp macro="">
        <xdr:nvCxnSpPr>
          <xdr:cNvPr id="130" name="82 Conector recto de flecha">
            <a:extLst>
              <a:ext uri="{FF2B5EF4-FFF2-40B4-BE49-F238E27FC236}">
                <a16:creationId xmlns:a16="http://schemas.microsoft.com/office/drawing/2014/main" id="{2C6BAEC0-8662-4800-BFDD-0AE3AD067DBB}"/>
              </a:ext>
            </a:extLst>
          </xdr:cNvPr>
          <xdr:cNvCxnSpPr>
            <a:endCxn id="112" idx="1"/>
          </xdr:cNvCxnSpPr>
        </xdr:nvCxnSpPr>
        <xdr:spPr>
          <a:xfrm flipV="1">
            <a:off x="8914045" y="3097061"/>
            <a:ext cx="142905" cy="9526"/>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31" name="86 Conector recto de flecha">
            <a:extLst>
              <a:ext uri="{FF2B5EF4-FFF2-40B4-BE49-F238E27FC236}">
                <a16:creationId xmlns:a16="http://schemas.microsoft.com/office/drawing/2014/main" id="{FA51FE4A-2038-4628-8233-18731360F20C}"/>
              </a:ext>
            </a:extLst>
          </xdr:cNvPr>
          <xdr:cNvCxnSpPr>
            <a:endCxn id="120" idx="1"/>
          </xdr:cNvCxnSpPr>
        </xdr:nvCxnSpPr>
        <xdr:spPr>
          <a:xfrm flipV="1">
            <a:off x="8914045" y="3487641"/>
            <a:ext cx="142905"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32" name="90 Conector recto de flecha">
            <a:extLst>
              <a:ext uri="{FF2B5EF4-FFF2-40B4-BE49-F238E27FC236}">
                <a16:creationId xmlns:a16="http://schemas.microsoft.com/office/drawing/2014/main" id="{F7A58613-AED6-48B3-9B38-BB5F023F35D6}"/>
              </a:ext>
            </a:extLst>
          </xdr:cNvPr>
          <xdr:cNvCxnSpPr>
            <a:endCxn id="114" idx="1"/>
          </xdr:cNvCxnSpPr>
        </xdr:nvCxnSpPr>
        <xdr:spPr>
          <a:xfrm>
            <a:off x="8914045" y="3859169"/>
            <a:ext cx="142905"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33" name="98 Conector recto">
            <a:extLst>
              <a:ext uri="{FF2B5EF4-FFF2-40B4-BE49-F238E27FC236}">
                <a16:creationId xmlns:a16="http://schemas.microsoft.com/office/drawing/2014/main" id="{A82718AF-91E0-4CC5-B5F6-F74DAB4B3568}"/>
              </a:ext>
            </a:extLst>
          </xdr:cNvPr>
          <xdr:cNvCxnSpPr/>
        </xdr:nvCxnSpPr>
        <xdr:spPr>
          <a:xfrm rot="5400000">
            <a:off x="10147905" y="4340249"/>
            <a:ext cx="3105591" cy="9527"/>
          </a:xfrm>
          <a:prstGeom prst="line">
            <a:avLst/>
          </a:prstGeom>
        </xdr:spPr>
        <xdr:style>
          <a:lnRef idx="3">
            <a:schemeClr val="accent6"/>
          </a:lnRef>
          <a:fillRef idx="0">
            <a:schemeClr val="accent6"/>
          </a:fillRef>
          <a:effectRef idx="2">
            <a:schemeClr val="accent6"/>
          </a:effectRef>
          <a:fontRef idx="minor">
            <a:schemeClr val="tx1"/>
          </a:fontRef>
        </xdr:style>
      </xdr:cxnSp>
      <xdr:cxnSp macro="">
        <xdr:nvCxnSpPr>
          <xdr:cNvPr id="134" name="99 Conector recto de flecha">
            <a:extLst>
              <a:ext uri="{FF2B5EF4-FFF2-40B4-BE49-F238E27FC236}">
                <a16:creationId xmlns:a16="http://schemas.microsoft.com/office/drawing/2014/main" id="{7027181A-1368-4620-9953-E9F9ED0237D8}"/>
              </a:ext>
            </a:extLst>
          </xdr:cNvPr>
          <xdr:cNvCxnSpPr/>
        </xdr:nvCxnSpPr>
        <xdr:spPr>
          <a:xfrm>
            <a:off x="11705464" y="3668642"/>
            <a:ext cx="142905"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35" name="100 Conector recto de flecha">
            <a:extLst>
              <a:ext uri="{FF2B5EF4-FFF2-40B4-BE49-F238E27FC236}">
                <a16:creationId xmlns:a16="http://schemas.microsoft.com/office/drawing/2014/main" id="{589899DD-2429-489B-BF80-7ED2CAB851BE}"/>
              </a:ext>
            </a:extLst>
          </xdr:cNvPr>
          <xdr:cNvCxnSpPr/>
        </xdr:nvCxnSpPr>
        <xdr:spPr>
          <a:xfrm>
            <a:off x="11705464" y="4106854"/>
            <a:ext cx="142905"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36" name="101 Conector recto de flecha">
            <a:extLst>
              <a:ext uri="{FF2B5EF4-FFF2-40B4-BE49-F238E27FC236}">
                <a16:creationId xmlns:a16="http://schemas.microsoft.com/office/drawing/2014/main" id="{EB0BCCAF-AE25-41F1-9D8D-1C4A63837448}"/>
              </a:ext>
            </a:extLst>
          </xdr:cNvPr>
          <xdr:cNvCxnSpPr/>
        </xdr:nvCxnSpPr>
        <xdr:spPr>
          <a:xfrm>
            <a:off x="11705464" y="5573912"/>
            <a:ext cx="152432"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37" name="103 Conector recto de flecha">
            <a:extLst>
              <a:ext uri="{FF2B5EF4-FFF2-40B4-BE49-F238E27FC236}">
                <a16:creationId xmlns:a16="http://schemas.microsoft.com/office/drawing/2014/main" id="{AF313DEC-2072-4050-8858-E010A2F1C50F}"/>
              </a:ext>
            </a:extLst>
          </xdr:cNvPr>
          <xdr:cNvCxnSpPr/>
        </xdr:nvCxnSpPr>
        <xdr:spPr>
          <a:xfrm>
            <a:off x="11705464" y="4630803"/>
            <a:ext cx="142905"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38" name="104 Conector recto de flecha">
            <a:extLst>
              <a:ext uri="{FF2B5EF4-FFF2-40B4-BE49-F238E27FC236}">
                <a16:creationId xmlns:a16="http://schemas.microsoft.com/office/drawing/2014/main" id="{F1A4F419-2AA5-4A0E-B373-D478CB5D6350}"/>
              </a:ext>
            </a:extLst>
          </xdr:cNvPr>
          <xdr:cNvCxnSpPr/>
        </xdr:nvCxnSpPr>
        <xdr:spPr>
          <a:xfrm>
            <a:off x="11714991" y="5135700"/>
            <a:ext cx="142905"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139" name="28 CuadroTexto">
            <a:hlinkClick xmlns:r="http://schemas.openxmlformats.org/officeDocument/2006/relationships" r:id="rId14"/>
            <a:extLst>
              <a:ext uri="{FF2B5EF4-FFF2-40B4-BE49-F238E27FC236}">
                <a16:creationId xmlns:a16="http://schemas.microsoft.com/office/drawing/2014/main" id="{B6CFE96E-ABA7-4687-A6B8-B15C75EEDFF9}"/>
              </a:ext>
            </a:extLst>
          </xdr:cNvPr>
          <xdr:cNvSpPr txBox="1"/>
        </xdr:nvSpPr>
        <xdr:spPr>
          <a:xfrm>
            <a:off x="14058639" y="2897007"/>
            <a:ext cx="2057838" cy="619213"/>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s-MX" sz="1200" b="1">
                <a:latin typeface="+mj-lt"/>
              </a:rPr>
              <a:t>Estimación de la erosión (Erosión potencial y erosión actual)</a:t>
            </a:r>
          </a:p>
        </xdr:txBody>
      </xdr:sp>
      <xdr:cxnSp macro="">
        <xdr:nvCxnSpPr>
          <xdr:cNvPr id="141" name="114 Conector recto">
            <a:extLst>
              <a:ext uri="{FF2B5EF4-FFF2-40B4-BE49-F238E27FC236}">
                <a16:creationId xmlns:a16="http://schemas.microsoft.com/office/drawing/2014/main" id="{24301005-609F-460E-98B9-EE9949622B6B}"/>
              </a:ext>
            </a:extLst>
          </xdr:cNvPr>
          <xdr:cNvCxnSpPr/>
        </xdr:nvCxnSpPr>
        <xdr:spPr>
          <a:xfrm rot="16200000" flipH="1">
            <a:off x="13529907" y="3006560"/>
            <a:ext cx="476318" cy="9527"/>
          </a:xfrm>
          <a:prstGeom prst="line">
            <a:avLst/>
          </a:prstGeom>
        </xdr:spPr>
        <xdr:style>
          <a:lnRef idx="3">
            <a:schemeClr val="accent6"/>
          </a:lnRef>
          <a:fillRef idx="0">
            <a:schemeClr val="accent6"/>
          </a:fillRef>
          <a:effectRef idx="2">
            <a:schemeClr val="accent6"/>
          </a:effectRef>
          <a:fontRef idx="minor">
            <a:schemeClr val="tx1"/>
          </a:fontRef>
        </xdr:style>
      </xdr:cxnSp>
      <xdr:cxnSp macro="">
        <xdr:nvCxnSpPr>
          <xdr:cNvPr id="142" name="115 Conector recto de flecha">
            <a:extLst>
              <a:ext uri="{FF2B5EF4-FFF2-40B4-BE49-F238E27FC236}">
                <a16:creationId xmlns:a16="http://schemas.microsoft.com/office/drawing/2014/main" id="{6E8025A5-37C5-41BE-9FC1-AC3C3806182C}"/>
              </a:ext>
            </a:extLst>
          </xdr:cNvPr>
          <xdr:cNvCxnSpPr>
            <a:endCxn id="139" idx="1"/>
          </xdr:cNvCxnSpPr>
        </xdr:nvCxnSpPr>
        <xdr:spPr>
          <a:xfrm flipV="1">
            <a:off x="13753774" y="3211377"/>
            <a:ext cx="304865"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113" name="30 CuadroTexto">
            <a:extLst>
              <a:ext uri="{FF2B5EF4-FFF2-40B4-BE49-F238E27FC236}">
                <a16:creationId xmlns:a16="http://schemas.microsoft.com/office/drawing/2014/main" id="{81D55E43-566C-4DC9-979D-3920C36293C3}"/>
              </a:ext>
            </a:extLst>
          </xdr:cNvPr>
          <xdr:cNvSpPr txBox="1"/>
        </xdr:nvSpPr>
        <xdr:spPr>
          <a:xfrm>
            <a:off x="8885464" y="2363532"/>
            <a:ext cx="2400811" cy="438212"/>
          </a:xfrm>
          <a:prstGeom prst="rect">
            <a:avLst/>
          </a:prstGeom>
          <a:solidFill>
            <a:schemeClr val="accent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b="1">
                <a:latin typeface="+mj-lt"/>
              </a:rPr>
              <a:t>VOLUMEN DE ESCURRIMIENTO </a:t>
            </a:r>
          </a:p>
          <a:p>
            <a:pPr algn="ctr"/>
            <a:r>
              <a:rPr lang="en-US" sz="1200" b="1">
                <a:latin typeface="+mj-lt"/>
              </a:rPr>
              <a:t>MEDIO ANUAL</a:t>
            </a:r>
            <a:endParaRPr lang="es-MX" sz="1200" b="1">
              <a:latin typeface="+mj-lt"/>
            </a:endParaRPr>
          </a:p>
        </xdr:txBody>
      </xdr:sp>
      <xdr:sp macro="" textlink="">
        <xdr:nvSpPr>
          <xdr:cNvPr id="128" name="30 CuadroTexto">
            <a:extLst>
              <a:ext uri="{FF2B5EF4-FFF2-40B4-BE49-F238E27FC236}">
                <a16:creationId xmlns:a16="http://schemas.microsoft.com/office/drawing/2014/main" id="{E9045D87-3E75-4542-9B6A-6DD7206F1459}"/>
              </a:ext>
            </a:extLst>
          </xdr:cNvPr>
          <xdr:cNvSpPr txBox="1"/>
        </xdr:nvSpPr>
        <xdr:spPr>
          <a:xfrm>
            <a:off x="11686410" y="2363532"/>
            <a:ext cx="1714865" cy="438212"/>
          </a:xfrm>
          <a:prstGeom prst="rect">
            <a:avLst/>
          </a:prstGeom>
          <a:solidFill>
            <a:schemeClr val="accent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b="1"/>
              <a:t>AVENIDA MÁXIMA</a:t>
            </a:r>
            <a:endParaRPr lang="es-MX" sz="1200" b="1"/>
          </a:p>
        </xdr:txBody>
      </xdr:sp>
      <xdr:sp macro="" textlink="">
        <xdr:nvSpPr>
          <xdr:cNvPr id="127" name="30 CuadroTexto">
            <a:extLst>
              <a:ext uri="{FF2B5EF4-FFF2-40B4-BE49-F238E27FC236}">
                <a16:creationId xmlns:a16="http://schemas.microsoft.com/office/drawing/2014/main" id="{F1555719-91FC-493A-8CC1-E44B8623C531}"/>
              </a:ext>
            </a:extLst>
          </xdr:cNvPr>
          <xdr:cNvSpPr txBox="1"/>
        </xdr:nvSpPr>
        <xdr:spPr>
          <a:xfrm>
            <a:off x="13725193" y="2363532"/>
            <a:ext cx="2400811" cy="438212"/>
          </a:xfrm>
          <a:prstGeom prst="rect">
            <a:avLst/>
          </a:prstGeom>
          <a:solidFill>
            <a:schemeClr val="accent3"/>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b="1">
                <a:latin typeface="+mj-lt"/>
              </a:rPr>
              <a:t>ESTIMACIÓN DE SEDIMENTOS</a:t>
            </a:r>
            <a:endParaRPr lang="es-MX" sz="1200" b="1">
              <a:latin typeface="+mj-lt"/>
            </a:endParaRPr>
          </a:p>
        </xdr:txBody>
      </xdr:sp>
      <xdr:sp macro="" textlink="">
        <xdr:nvSpPr>
          <xdr:cNvPr id="48" name="67 CuadroTexto">
            <a:hlinkClick xmlns:r="http://schemas.openxmlformats.org/officeDocument/2006/relationships" r:id="rId15"/>
            <a:extLst>
              <a:ext uri="{FF2B5EF4-FFF2-40B4-BE49-F238E27FC236}">
                <a16:creationId xmlns:a16="http://schemas.microsoft.com/office/drawing/2014/main" id="{7A315771-31FF-423B-AA38-2BB67866E586}"/>
              </a:ext>
            </a:extLst>
          </xdr:cNvPr>
          <xdr:cNvSpPr txBox="1"/>
        </xdr:nvSpPr>
        <xdr:spPr>
          <a:xfrm>
            <a:off x="11848369" y="5802545"/>
            <a:ext cx="1514797" cy="276264"/>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l"/>
            <a:r>
              <a:rPr lang="es-MX" sz="1200" b="1">
                <a:latin typeface="+mj-lt"/>
              </a:rPr>
              <a:t>Resultados</a:t>
            </a:r>
          </a:p>
        </xdr:txBody>
      </xdr:sp>
      <xdr:cxnSp macro="">
        <xdr:nvCxnSpPr>
          <xdr:cNvPr id="49" name="101 Conector recto de flecha">
            <a:extLst>
              <a:ext uri="{FF2B5EF4-FFF2-40B4-BE49-F238E27FC236}">
                <a16:creationId xmlns:a16="http://schemas.microsoft.com/office/drawing/2014/main" id="{5B2B4784-3209-4B63-BB0F-807CF3492317}"/>
              </a:ext>
            </a:extLst>
          </xdr:cNvPr>
          <xdr:cNvCxnSpPr/>
        </xdr:nvCxnSpPr>
        <xdr:spPr>
          <a:xfrm>
            <a:off x="11705464" y="5878756"/>
            <a:ext cx="152432"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grpSp>
    <xdr:clientData/>
  </xdr:twoCellAnchor>
  <xdr:twoCellAnchor>
    <xdr:from>
      <xdr:col>5</xdr:col>
      <xdr:colOff>196202</xdr:colOff>
      <xdr:row>18</xdr:row>
      <xdr:rowOff>145774</xdr:rowOff>
    </xdr:from>
    <xdr:to>
      <xdr:col>7</xdr:col>
      <xdr:colOff>198344</xdr:colOff>
      <xdr:row>21</xdr:row>
      <xdr:rowOff>62753</xdr:rowOff>
    </xdr:to>
    <xdr:sp macro="" textlink="">
      <xdr:nvSpPr>
        <xdr:cNvPr id="146" name="70 CuadroTexto">
          <a:hlinkClick xmlns:r="http://schemas.openxmlformats.org/officeDocument/2006/relationships" r:id="rId5"/>
          <a:extLst>
            <a:ext uri="{FF2B5EF4-FFF2-40B4-BE49-F238E27FC236}">
              <a16:creationId xmlns:a16="http://schemas.microsoft.com/office/drawing/2014/main" id="{FBEE840A-03C6-4808-9D54-D607A30A290E}"/>
            </a:ext>
          </a:extLst>
        </xdr:cNvPr>
        <xdr:cNvSpPr txBox="1"/>
      </xdr:nvSpPr>
      <xdr:spPr>
        <a:xfrm>
          <a:off x="3557967" y="3630803"/>
          <a:ext cx="1526142" cy="488479"/>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wrap="square" rtlCol="0" anchor="ctr" anchorCtr="0">
          <a:noAutofit/>
        </a:bodyPr>
        <a:lstStyle>
          <a:defPPr>
            <a:defRPr lang="es-MX"/>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s-MX" sz="1200" b="1">
              <a:latin typeface="+mj-lt"/>
            </a:rPr>
            <a:t>Precipitación</a:t>
          </a:r>
          <a:r>
            <a:rPr lang="es-MX" sz="1200" b="1" baseline="0">
              <a:latin typeface="+mj-lt"/>
            </a:rPr>
            <a:t> máxima en 24 hrs</a:t>
          </a:r>
          <a:endParaRPr lang="es-MX" sz="1200" b="1">
            <a:latin typeface="+mj-lt"/>
          </a:endParaRPr>
        </a:p>
      </xdr:txBody>
    </xdr:sp>
    <xdr:clientData/>
  </xdr:twoCellAnchor>
  <xdr:twoCellAnchor>
    <xdr:from>
      <xdr:col>5</xdr:col>
      <xdr:colOff>56353</xdr:colOff>
      <xdr:row>20</xdr:row>
      <xdr:rowOff>31221</xdr:rowOff>
    </xdr:from>
    <xdr:to>
      <xdr:col>5</xdr:col>
      <xdr:colOff>205420</xdr:colOff>
      <xdr:row>20</xdr:row>
      <xdr:rowOff>31221</xdr:rowOff>
    </xdr:to>
    <xdr:cxnSp macro="">
      <xdr:nvCxnSpPr>
        <xdr:cNvPr id="147" name="99 Conector recto de flecha">
          <a:extLst>
            <a:ext uri="{FF2B5EF4-FFF2-40B4-BE49-F238E27FC236}">
              <a16:creationId xmlns:a16="http://schemas.microsoft.com/office/drawing/2014/main" id="{9935C47A-271A-43C7-A90D-505EA791D2FA}"/>
            </a:ext>
          </a:extLst>
        </xdr:cNvPr>
        <xdr:cNvCxnSpPr/>
      </xdr:nvCxnSpPr>
      <xdr:spPr>
        <a:xfrm>
          <a:off x="3418118" y="3897250"/>
          <a:ext cx="149067"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19050</xdr:colOff>
      <xdr:row>2</xdr:row>
      <xdr:rowOff>209550</xdr:rowOff>
    </xdr:from>
    <xdr:to>
      <xdr:col>7</xdr:col>
      <xdr:colOff>361950</xdr:colOff>
      <xdr:row>2</xdr:row>
      <xdr:rowOff>209550</xdr:rowOff>
    </xdr:to>
    <xdr:pic>
      <xdr:nvPicPr>
        <xdr:cNvPr id="19675" name="Picture 9">
          <a:extLst>
            <a:ext uri="{FF2B5EF4-FFF2-40B4-BE49-F238E27FC236}">
              <a16:creationId xmlns:a16="http://schemas.microsoft.com/office/drawing/2014/main" id="{C9461A57-A3E4-4682-9F80-114889BC74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24425" y="600075"/>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9525</xdr:colOff>
      <xdr:row>2</xdr:row>
      <xdr:rowOff>209550</xdr:rowOff>
    </xdr:from>
    <xdr:to>
      <xdr:col>7</xdr:col>
      <xdr:colOff>361950</xdr:colOff>
      <xdr:row>2</xdr:row>
      <xdr:rowOff>209550</xdr:rowOff>
    </xdr:to>
    <xdr:pic>
      <xdr:nvPicPr>
        <xdr:cNvPr id="19676" name="Picture 10">
          <a:extLst>
            <a:ext uri="{FF2B5EF4-FFF2-40B4-BE49-F238E27FC236}">
              <a16:creationId xmlns:a16="http://schemas.microsoft.com/office/drawing/2014/main" id="{B7FCC4B2-C728-40B6-91D0-6F6EEA0262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14900" y="600075"/>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9525</xdr:colOff>
      <xdr:row>2</xdr:row>
      <xdr:rowOff>209550</xdr:rowOff>
    </xdr:from>
    <xdr:to>
      <xdr:col>7</xdr:col>
      <xdr:colOff>361950</xdr:colOff>
      <xdr:row>2</xdr:row>
      <xdr:rowOff>209550</xdr:rowOff>
    </xdr:to>
    <xdr:pic>
      <xdr:nvPicPr>
        <xdr:cNvPr id="19677" name="Picture 11">
          <a:extLst>
            <a:ext uri="{FF2B5EF4-FFF2-40B4-BE49-F238E27FC236}">
              <a16:creationId xmlns:a16="http://schemas.microsoft.com/office/drawing/2014/main" id="{7BE50780-650A-48FC-B433-7FCFC8AB98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14900" y="600075"/>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666750</xdr:colOff>
      <xdr:row>0</xdr:row>
      <xdr:rowOff>66675</xdr:rowOff>
    </xdr:from>
    <xdr:to>
      <xdr:col>7</xdr:col>
      <xdr:colOff>66675</xdr:colOff>
      <xdr:row>1</xdr:row>
      <xdr:rowOff>190500</xdr:rowOff>
    </xdr:to>
    <xdr:pic>
      <xdr:nvPicPr>
        <xdr:cNvPr id="19678" name="5 Imagen">
          <a:hlinkClick xmlns:r="http://schemas.openxmlformats.org/officeDocument/2006/relationships" r:id="rId4"/>
          <a:extLst>
            <a:ext uri="{FF2B5EF4-FFF2-40B4-BE49-F238E27FC236}">
              <a16:creationId xmlns:a16="http://schemas.microsoft.com/office/drawing/2014/main" id="{D621F4CF-675D-47A2-97F7-706DFE9465C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400800" y="66675"/>
          <a:ext cx="3714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466725</xdr:colOff>
          <xdr:row>11</xdr:row>
          <xdr:rowOff>9525</xdr:rowOff>
        </xdr:to>
        <xdr:sp macro="" textlink="">
          <xdr:nvSpPr>
            <xdr:cNvPr id="19474" name="Drop Down 18" hidden="1">
              <a:extLst>
                <a:ext uri="{63B3BB69-23CF-44E3-9099-C40C66FF867C}">
                  <a14:compatExt spid="_x0000_s19474"/>
                </a:ext>
                <a:ext uri="{FF2B5EF4-FFF2-40B4-BE49-F238E27FC236}">
                  <a16:creationId xmlns:a16="http://schemas.microsoft.com/office/drawing/2014/main" id="{D4FD45FA-5EAF-4E25-9E76-61F326CDCAF9}"/>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2</xdr:row>
          <xdr:rowOff>209550</xdr:rowOff>
        </xdr:from>
        <xdr:to>
          <xdr:col>7</xdr:col>
          <xdr:colOff>361950</xdr:colOff>
          <xdr:row>2</xdr:row>
          <xdr:rowOff>209550</xdr:rowOff>
        </xdr:to>
        <xdr:sp macro="" textlink="">
          <xdr:nvSpPr>
            <xdr:cNvPr id="19465" name="Object 9" hidden="1">
              <a:extLst>
                <a:ext uri="{63B3BB69-23CF-44E3-9099-C40C66FF867C}">
                  <a14:compatExt spid="_x0000_s19465"/>
                </a:ext>
                <a:ext uri="{FF2B5EF4-FFF2-40B4-BE49-F238E27FC236}">
                  <a16:creationId xmlns:a16="http://schemas.microsoft.com/office/drawing/2014/main" id="{36DDC714-888E-4EEF-843A-F3D27121BE4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9525</xdr:colOff>
          <xdr:row>2</xdr:row>
          <xdr:rowOff>209550</xdr:rowOff>
        </xdr:from>
        <xdr:to>
          <xdr:col>7</xdr:col>
          <xdr:colOff>361950</xdr:colOff>
          <xdr:row>2</xdr:row>
          <xdr:rowOff>209550</xdr:rowOff>
        </xdr:to>
        <xdr:sp macro="" textlink="">
          <xdr:nvSpPr>
            <xdr:cNvPr id="19466" name="Object 10" hidden="1">
              <a:extLst>
                <a:ext uri="{63B3BB69-23CF-44E3-9099-C40C66FF867C}">
                  <a14:compatExt spid="_x0000_s19466"/>
                </a:ext>
                <a:ext uri="{FF2B5EF4-FFF2-40B4-BE49-F238E27FC236}">
                  <a16:creationId xmlns:a16="http://schemas.microsoft.com/office/drawing/2014/main" id="{06A153DD-73CC-4199-8DF4-0114DB9897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9525</xdr:colOff>
          <xdr:row>2</xdr:row>
          <xdr:rowOff>209550</xdr:rowOff>
        </xdr:from>
        <xdr:to>
          <xdr:col>7</xdr:col>
          <xdr:colOff>361950</xdr:colOff>
          <xdr:row>2</xdr:row>
          <xdr:rowOff>209550</xdr:rowOff>
        </xdr:to>
        <xdr:sp macro="" textlink="">
          <xdr:nvSpPr>
            <xdr:cNvPr id="19467" name="Object 11" hidden="1">
              <a:extLst>
                <a:ext uri="{63B3BB69-23CF-44E3-9099-C40C66FF867C}">
                  <a14:compatExt spid="_x0000_s19467"/>
                </a:ext>
                <a:ext uri="{FF2B5EF4-FFF2-40B4-BE49-F238E27FC236}">
                  <a16:creationId xmlns:a16="http://schemas.microsoft.com/office/drawing/2014/main" id="{C9EA5175-F8B9-45DF-9555-E0799060FE0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editAs="oneCell">
    <xdr:from>
      <xdr:col>9</xdr:col>
      <xdr:colOff>0</xdr:colOff>
      <xdr:row>18</xdr:row>
      <xdr:rowOff>0</xdr:rowOff>
    </xdr:from>
    <xdr:to>
      <xdr:col>23</xdr:col>
      <xdr:colOff>76200</xdr:colOff>
      <xdr:row>29</xdr:row>
      <xdr:rowOff>38100</xdr:rowOff>
    </xdr:to>
    <xdr:pic>
      <xdr:nvPicPr>
        <xdr:cNvPr id="21609" name="1 Imagen" descr="Regiones Hidrológicas.jpg">
          <a:extLst>
            <a:ext uri="{FF2B5EF4-FFF2-40B4-BE49-F238E27FC236}">
              <a16:creationId xmlns:a16="http://schemas.microsoft.com/office/drawing/2014/main" id="{680BDCAF-A2C8-45B0-90A3-59521AC46B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82225" y="3838575"/>
          <a:ext cx="10744200" cy="643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523875</xdr:colOff>
      <xdr:row>0</xdr:row>
      <xdr:rowOff>47625</xdr:rowOff>
    </xdr:from>
    <xdr:to>
      <xdr:col>5</xdr:col>
      <xdr:colOff>342900</xdr:colOff>
      <xdr:row>1</xdr:row>
      <xdr:rowOff>161925</xdr:rowOff>
    </xdr:to>
    <xdr:pic>
      <xdr:nvPicPr>
        <xdr:cNvPr id="21610" name="5 Imagen">
          <a:hlinkClick xmlns:r="http://schemas.openxmlformats.org/officeDocument/2006/relationships" r:id="rId2"/>
          <a:extLst>
            <a:ext uri="{FF2B5EF4-FFF2-40B4-BE49-F238E27FC236}">
              <a16:creationId xmlns:a16="http://schemas.microsoft.com/office/drawing/2014/main" id="{38F870B9-5ABD-46BB-96E9-611DE758873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62575" y="47625"/>
          <a:ext cx="3619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mc:AlternateContent xmlns:mc="http://schemas.openxmlformats.org/markup-compatibility/2006">
    <mc:Choice xmlns:a14="http://schemas.microsoft.com/office/drawing/2010/main" Requires="a14">
      <xdr:twoCellAnchor editAs="oneCell">
        <xdr:from>
          <xdr:col>1</xdr:col>
          <xdr:colOff>9525</xdr:colOff>
          <xdr:row>6</xdr:row>
          <xdr:rowOff>0</xdr:rowOff>
        </xdr:from>
        <xdr:to>
          <xdr:col>2</xdr:col>
          <xdr:colOff>0</xdr:colOff>
          <xdr:row>7</xdr:row>
          <xdr:rowOff>38100</xdr:rowOff>
        </xdr:to>
        <xdr:sp macro="" textlink="">
          <xdr:nvSpPr>
            <xdr:cNvPr id="21508" name="Drop Down 4" hidden="1">
              <a:extLst>
                <a:ext uri="{63B3BB69-23CF-44E3-9099-C40C66FF867C}">
                  <a14:compatExt spid="_x0000_s21508"/>
                </a:ext>
                <a:ext uri="{FF2B5EF4-FFF2-40B4-BE49-F238E27FC236}">
                  <a16:creationId xmlns:a16="http://schemas.microsoft.com/office/drawing/2014/main" id="{21D4DCFA-8BE4-456E-85AA-FB89515279B2}"/>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9</xdr:col>
      <xdr:colOff>0</xdr:colOff>
      <xdr:row>19</xdr:row>
      <xdr:rowOff>0</xdr:rowOff>
    </xdr:from>
    <xdr:to>
      <xdr:col>23</xdr:col>
      <xdr:colOff>76200</xdr:colOff>
      <xdr:row>31</xdr:row>
      <xdr:rowOff>38100</xdr:rowOff>
    </xdr:to>
    <xdr:pic>
      <xdr:nvPicPr>
        <xdr:cNvPr id="22634" name="1 Imagen" descr="Regiones Hidrológicas.jpg">
          <a:extLst>
            <a:ext uri="{FF2B5EF4-FFF2-40B4-BE49-F238E27FC236}">
              <a16:creationId xmlns:a16="http://schemas.microsoft.com/office/drawing/2014/main" id="{ECD9B32E-03C5-4451-BDD1-A15BD407CF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77650" y="4552950"/>
          <a:ext cx="10744200" cy="643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523875</xdr:colOff>
      <xdr:row>0</xdr:row>
      <xdr:rowOff>47625</xdr:rowOff>
    </xdr:from>
    <xdr:to>
      <xdr:col>5</xdr:col>
      <xdr:colOff>228600</xdr:colOff>
      <xdr:row>1</xdr:row>
      <xdr:rowOff>161925</xdr:rowOff>
    </xdr:to>
    <xdr:pic>
      <xdr:nvPicPr>
        <xdr:cNvPr id="22635" name="3 Imagen">
          <a:hlinkClick xmlns:r="http://schemas.openxmlformats.org/officeDocument/2006/relationships" r:id="rId2"/>
          <a:extLst>
            <a:ext uri="{FF2B5EF4-FFF2-40B4-BE49-F238E27FC236}">
              <a16:creationId xmlns:a16="http://schemas.microsoft.com/office/drawing/2014/main" id="{7DB565CC-2C45-4196-8C6D-E9EFD49F9E3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62600" y="47625"/>
          <a:ext cx="3619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mc:AlternateContent xmlns:mc="http://schemas.openxmlformats.org/markup-compatibility/2006">
    <mc:Choice xmlns:a14="http://schemas.microsoft.com/office/drawing/2010/main" Requires="a14">
      <xdr:twoCellAnchor editAs="oneCell">
        <xdr:from>
          <xdr:col>1</xdr:col>
          <xdr:colOff>0</xdr:colOff>
          <xdr:row>6</xdr:row>
          <xdr:rowOff>9525</xdr:rowOff>
        </xdr:from>
        <xdr:to>
          <xdr:col>2</xdr:col>
          <xdr:colOff>0</xdr:colOff>
          <xdr:row>7</xdr:row>
          <xdr:rowOff>9525</xdr:rowOff>
        </xdr:to>
        <xdr:sp macro="" textlink="">
          <xdr:nvSpPr>
            <xdr:cNvPr id="22533" name="Drop Down 5" hidden="1">
              <a:extLst>
                <a:ext uri="{63B3BB69-23CF-44E3-9099-C40C66FF867C}">
                  <a14:compatExt spid="_x0000_s24577"/>
                </a:ext>
                <a:ext uri="{FF2B5EF4-FFF2-40B4-BE49-F238E27FC236}">
                  <a16:creationId xmlns:a16="http://schemas.microsoft.com/office/drawing/2014/main" id="{8EDC0330-98DD-4B73-8F18-4E851F3D2E4A}"/>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editAs="oneCell">
    <xdr:from>
      <xdr:col>2</xdr:col>
      <xdr:colOff>1895475</xdr:colOff>
      <xdr:row>0</xdr:row>
      <xdr:rowOff>76200</xdr:rowOff>
    </xdr:from>
    <xdr:to>
      <xdr:col>3</xdr:col>
      <xdr:colOff>114300</xdr:colOff>
      <xdr:row>2</xdr:row>
      <xdr:rowOff>28575</xdr:rowOff>
    </xdr:to>
    <xdr:pic>
      <xdr:nvPicPr>
        <xdr:cNvPr id="34867" name="3 Imagen">
          <a:hlinkClick xmlns:r="http://schemas.openxmlformats.org/officeDocument/2006/relationships" r:id="rId1"/>
          <a:extLst>
            <a:ext uri="{FF2B5EF4-FFF2-40B4-BE49-F238E27FC236}">
              <a16:creationId xmlns:a16="http://schemas.microsoft.com/office/drawing/2014/main" id="{563032D6-4AFE-4C6D-B549-72287AD3C2E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05375" y="76200"/>
          <a:ext cx="4000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14.xml><?xml version="1.0" encoding="utf-8"?>
<xdr:wsDr xmlns:xdr="http://schemas.openxmlformats.org/drawingml/2006/spreadsheetDrawing" xmlns:a="http://schemas.openxmlformats.org/drawingml/2006/main">
  <xdr:twoCellAnchor>
    <xdr:from>
      <xdr:col>11</xdr:col>
      <xdr:colOff>361950</xdr:colOff>
      <xdr:row>27</xdr:row>
      <xdr:rowOff>85725</xdr:rowOff>
    </xdr:from>
    <xdr:to>
      <xdr:col>11</xdr:col>
      <xdr:colOff>2143125</xdr:colOff>
      <xdr:row>30</xdr:row>
      <xdr:rowOff>19050</xdr:rowOff>
    </xdr:to>
    <xdr:pic>
      <xdr:nvPicPr>
        <xdr:cNvPr id="24711" name="Picture 70">
          <a:extLst>
            <a:ext uri="{FF2B5EF4-FFF2-40B4-BE49-F238E27FC236}">
              <a16:creationId xmlns:a16="http://schemas.microsoft.com/office/drawing/2014/main" id="{3F85C906-4010-4A0B-800A-7F238147CCA6}"/>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744450" y="5610225"/>
          <a:ext cx="17811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838200</xdr:colOff>
      <xdr:row>18</xdr:row>
      <xdr:rowOff>47625</xdr:rowOff>
    </xdr:from>
    <xdr:to>
      <xdr:col>11</xdr:col>
      <xdr:colOff>2524125</xdr:colOff>
      <xdr:row>20</xdr:row>
      <xdr:rowOff>123825</xdr:rowOff>
    </xdr:to>
    <xdr:pic>
      <xdr:nvPicPr>
        <xdr:cNvPr id="24712" name="Picture 1">
          <a:extLst>
            <a:ext uri="{FF2B5EF4-FFF2-40B4-BE49-F238E27FC236}">
              <a16:creationId xmlns:a16="http://schemas.microsoft.com/office/drawing/2014/main" id="{C15B803E-8A25-4EB4-BFDA-19D9D6BE85C8}"/>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087225" y="3343275"/>
          <a:ext cx="28194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238125</xdr:colOff>
      <xdr:row>17</xdr:row>
      <xdr:rowOff>47625</xdr:rowOff>
    </xdr:from>
    <xdr:to>
      <xdr:col>14</xdr:col>
      <xdr:colOff>590550</xdr:colOff>
      <xdr:row>34</xdr:row>
      <xdr:rowOff>47625</xdr:rowOff>
    </xdr:to>
    <xdr:pic>
      <xdr:nvPicPr>
        <xdr:cNvPr id="24713" name="Picture 30" descr="Mapa de erosividad-color-01">
          <a:extLst>
            <a:ext uri="{FF2B5EF4-FFF2-40B4-BE49-F238E27FC236}">
              <a16:creationId xmlns:a16="http://schemas.microsoft.com/office/drawing/2014/main" id="{39F3792E-F403-4A8F-AABC-8C28F8B86D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553700" y="3143250"/>
          <a:ext cx="6115050" cy="38290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381000</xdr:colOff>
      <xdr:row>3</xdr:row>
      <xdr:rowOff>19050</xdr:rowOff>
    </xdr:from>
    <xdr:to>
      <xdr:col>7</xdr:col>
      <xdr:colOff>923925</xdr:colOff>
      <xdr:row>6</xdr:row>
      <xdr:rowOff>9525</xdr:rowOff>
    </xdr:to>
    <xdr:pic>
      <xdr:nvPicPr>
        <xdr:cNvPr id="24714" name="7 Imagen">
          <a:hlinkClick xmlns:r="http://schemas.openxmlformats.org/officeDocument/2006/relationships" r:id="rId4"/>
          <a:extLst>
            <a:ext uri="{FF2B5EF4-FFF2-40B4-BE49-F238E27FC236}">
              <a16:creationId xmlns:a16="http://schemas.microsoft.com/office/drawing/2014/main" id="{57F41131-1BE3-40EC-AD6E-1C95C384358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239250" y="619125"/>
          <a:ext cx="5429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1</xdr:col>
      <xdr:colOff>114300</xdr:colOff>
      <xdr:row>1</xdr:row>
      <xdr:rowOff>104775</xdr:rowOff>
    </xdr:from>
    <xdr:to>
      <xdr:col>8</xdr:col>
      <xdr:colOff>695325</xdr:colOff>
      <xdr:row>5</xdr:row>
      <xdr:rowOff>66675</xdr:rowOff>
    </xdr:to>
    <xdr:grpSp>
      <xdr:nvGrpSpPr>
        <xdr:cNvPr id="27021" name="8 Grupo">
          <a:extLst>
            <a:ext uri="{FF2B5EF4-FFF2-40B4-BE49-F238E27FC236}">
              <a16:creationId xmlns:a16="http://schemas.microsoft.com/office/drawing/2014/main" id="{DE9DA7E7-296B-4A05-A5AC-40C69605E67A}"/>
            </a:ext>
          </a:extLst>
        </xdr:cNvPr>
        <xdr:cNvGrpSpPr>
          <a:grpSpLocks/>
        </xdr:cNvGrpSpPr>
      </xdr:nvGrpSpPr>
      <xdr:grpSpPr bwMode="auto">
        <a:xfrm>
          <a:off x="384464" y="277955"/>
          <a:ext cx="5963517" cy="654628"/>
          <a:chOff x="247650" y="192698"/>
          <a:chExt cx="6119446" cy="825284"/>
        </a:xfrm>
      </xdr:grpSpPr>
      <xdr:sp macro="" textlink="">
        <xdr:nvSpPr>
          <xdr:cNvPr id="2" name="1 CuadroTexto">
            <a:extLst>
              <a:ext uri="{FF2B5EF4-FFF2-40B4-BE49-F238E27FC236}">
                <a16:creationId xmlns:a16="http://schemas.microsoft.com/office/drawing/2014/main" id="{41A76DA1-DDB6-430C-8204-985040BA5DCC}"/>
              </a:ext>
            </a:extLst>
          </xdr:cNvPr>
          <xdr:cNvSpPr txBox="1"/>
        </xdr:nvSpPr>
        <xdr:spPr>
          <a:xfrm>
            <a:off x="247650" y="192698"/>
            <a:ext cx="6119446" cy="825284"/>
          </a:xfrm>
          <a:prstGeom prst="rect">
            <a:avLst/>
          </a:prstGeom>
          <a:solidFill>
            <a:schemeClr val="tx2">
              <a:lumMod val="60000"/>
              <a:lumOff val="40000"/>
            </a:schemeClr>
          </a:solidFill>
          <a:ln w="9525" cmpd="sng">
            <a:solidFill>
              <a:schemeClr val="lt1">
                <a:shade val="50000"/>
              </a:schemeClr>
            </a:solidFill>
          </a:ln>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pic>
        <xdr:nvPicPr>
          <xdr:cNvPr id="27026" name="2 Imagen">
            <a:extLst>
              <a:ext uri="{FF2B5EF4-FFF2-40B4-BE49-F238E27FC236}">
                <a16:creationId xmlns:a16="http://schemas.microsoft.com/office/drawing/2014/main" id="{203A3779-E175-4465-97B4-4829A46B78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165" y="202223"/>
            <a:ext cx="1143000" cy="770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7027" name="3 Imagen">
            <a:extLst>
              <a:ext uri="{FF2B5EF4-FFF2-40B4-BE49-F238E27FC236}">
                <a16:creationId xmlns:a16="http://schemas.microsoft.com/office/drawing/2014/main" id="{C7A32729-55A9-4577-B4AB-92C1699960A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36021" y="209348"/>
            <a:ext cx="765133" cy="6865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 name="4 CuadroTexto">
            <a:extLst>
              <a:ext uri="{FF2B5EF4-FFF2-40B4-BE49-F238E27FC236}">
                <a16:creationId xmlns:a16="http://schemas.microsoft.com/office/drawing/2014/main" id="{4FD1D1B6-7093-41FA-AFB7-D793191679C1}"/>
              </a:ext>
            </a:extLst>
          </xdr:cNvPr>
          <xdr:cNvSpPr txBox="1"/>
        </xdr:nvSpPr>
        <xdr:spPr>
          <a:xfrm>
            <a:off x="1483902" y="215623"/>
            <a:ext cx="3956005" cy="69919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spAutoFit/>
          </a:bodyPr>
          <a:lstStyle/>
          <a:p>
            <a:pPr algn="ctr"/>
            <a:r>
              <a:rPr lang="es-MX" sz="1100" b="1">
                <a:latin typeface="+mj-lt"/>
              </a:rPr>
              <a:t>SECRETARIA</a:t>
            </a:r>
            <a:r>
              <a:rPr lang="es-MX" sz="1100" b="1" baseline="0">
                <a:latin typeface="+mj-lt"/>
              </a:rPr>
              <a:t> DE AGRICULTURA, GANADERÍA,  DESARROLLO RURAL, PESCA Y ALIMENTACIÓN</a:t>
            </a:r>
          </a:p>
          <a:p>
            <a:pPr algn="ctr"/>
            <a:r>
              <a:rPr lang="es-MX" sz="1100" b="1" baseline="0">
                <a:latin typeface="+mj-lt"/>
              </a:rPr>
              <a:t>UNIDAD TÉCNICA ESPECIALIZADA CUSSA-COLPOS</a:t>
            </a:r>
            <a:endParaRPr lang="es-MX" sz="1100" b="1">
              <a:latin typeface="+mj-lt"/>
            </a:endParaRPr>
          </a:p>
        </xdr:txBody>
      </xdr:sp>
    </xdr:grpSp>
    <xdr:clientData/>
  </xdr:twoCellAnchor>
  <xdr:oneCellAnchor>
    <xdr:from>
      <xdr:col>1</xdr:col>
      <xdr:colOff>103311</xdr:colOff>
      <xdr:row>6</xdr:row>
      <xdr:rowOff>47625</xdr:rowOff>
    </xdr:from>
    <xdr:ext cx="5743574" cy="362683"/>
    <xdr:sp macro="" textlink="">
      <xdr:nvSpPr>
        <xdr:cNvPr id="12" name="11 CuadroTexto">
          <a:extLst>
            <a:ext uri="{FF2B5EF4-FFF2-40B4-BE49-F238E27FC236}">
              <a16:creationId xmlns:a16="http://schemas.microsoft.com/office/drawing/2014/main" id="{9BF78E08-756C-468D-B93F-3BAECA333F9A}"/>
            </a:ext>
          </a:extLst>
        </xdr:cNvPr>
        <xdr:cNvSpPr txBox="1"/>
      </xdr:nvSpPr>
      <xdr:spPr>
        <a:xfrm>
          <a:off x="352426" y="1146663"/>
          <a:ext cx="5743574" cy="362683"/>
        </a:xfrm>
        <a:prstGeom prst="rect">
          <a:avLst/>
        </a:prstGeom>
        <a:ln/>
        <a:scene3d>
          <a:camera prst="orthographicFront"/>
          <a:lightRig rig="threePt" dir="t"/>
        </a:scene3d>
        <a:sp3d>
          <a:bevelT w="152400" h="50800" prst="softRound"/>
        </a:sp3d>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nchorCtr="0">
          <a:noAutofit/>
        </a:bodyPr>
        <a:lstStyle/>
        <a:p>
          <a:pPr algn="l"/>
          <a:r>
            <a:rPr lang="es-MX" sz="1400" b="1">
              <a:solidFill>
                <a:schemeClr val="bg1"/>
              </a:solidFill>
              <a:latin typeface="+mj-lt"/>
            </a:rPr>
            <a:t>                 INSTRUCTIVO PARA</a:t>
          </a:r>
          <a:r>
            <a:rPr lang="es-MX" sz="1400" b="1" baseline="0">
              <a:solidFill>
                <a:schemeClr val="bg1"/>
              </a:solidFill>
              <a:latin typeface="+mj-lt"/>
            </a:rPr>
            <a:t> LA INTRODUCCIÓN DE DATOS </a:t>
          </a:r>
          <a:endParaRPr lang="es-MX" sz="1600" b="1">
            <a:solidFill>
              <a:schemeClr val="bg1"/>
            </a:solidFill>
            <a:latin typeface="+mj-lt"/>
          </a:endParaRPr>
        </a:p>
      </xdr:txBody>
    </xdr:sp>
    <xdr:clientData/>
  </xdr:oneCellAnchor>
  <xdr:twoCellAnchor editAs="oneCell">
    <xdr:from>
      <xdr:col>8</xdr:col>
      <xdr:colOff>276225</xdr:colOff>
      <xdr:row>6</xdr:row>
      <xdr:rowOff>0</xdr:rowOff>
    </xdr:from>
    <xdr:to>
      <xdr:col>8</xdr:col>
      <xdr:colOff>762000</xdr:colOff>
      <xdr:row>8</xdr:row>
      <xdr:rowOff>66675</xdr:rowOff>
    </xdr:to>
    <xdr:pic>
      <xdr:nvPicPr>
        <xdr:cNvPr id="27023" name="17 Imagen">
          <a:hlinkClick xmlns:r="http://schemas.openxmlformats.org/officeDocument/2006/relationships" r:id="rId3"/>
          <a:extLst>
            <a:ext uri="{FF2B5EF4-FFF2-40B4-BE49-F238E27FC236}">
              <a16:creationId xmlns:a16="http://schemas.microsoft.com/office/drawing/2014/main" id="{AA55714F-9D2D-4A6D-A102-8A46760CFEE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00700" y="1085850"/>
          <a:ext cx="4857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314325</xdr:colOff>
      <xdr:row>37</xdr:row>
      <xdr:rowOff>190500</xdr:rowOff>
    </xdr:from>
    <xdr:to>
      <xdr:col>8</xdr:col>
      <xdr:colOff>771525</xdr:colOff>
      <xdr:row>40</xdr:row>
      <xdr:rowOff>9525</xdr:rowOff>
    </xdr:to>
    <xdr:pic>
      <xdr:nvPicPr>
        <xdr:cNvPr id="27024" name="10 Imagen">
          <a:hlinkClick xmlns:r="http://schemas.openxmlformats.org/officeDocument/2006/relationships" r:id="rId3"/>
          <a:extLst>
            <a:ext uri="{FF2B5EF4-FFF2-40B4-BE49-F238E27FC236}">
              <a16:creationId xmlns:a16="http://schemas.microsoft.com/office/drawing/2014/main" id="{D0F1C503-5F7D-47F8-84FC-B1FB8EAA59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38800" y="9363075"/>
          <a:ext cx="4572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38101</xdr:colOff>
      <xdr:row>54</xdr:row>
      <xdr:rowOff>104777</xdr:rowOff>
    </xdr:from>
    <xdr:to>
      <xdr:col>5</xdr:col>
      <xdr:colOff>742951</xdr:colOff>
      <xdr:row>55</xdr:row>
      <xdr:rowOff>200024</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id="{488AC61F-744C-4F99-91CB-5D9421326BD6}"/>
            </a:ext>
          </a:extLst>
        </xdr:cNvPr>
        <xdr:cNvSpPr/>
      </xdr:nvSpPr>
      <xdr:spPr>
        <a:xfrm>
          <a:off x="5295901" y="10953752"/>
          <a:ext cx="704850" cy="295272"/>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s-MX" sz="700" b="1">
              <a:solidFill>
                <a:schemeClr val="tx1"/>
              </a:solidFill>
              <a:latin typeface="+mj-lt"/>
            </a:rPr>
            <a:t>SIGUIENTE</a:t>
          </a:r>
        </a:p>
      </xdr:txBody>
    </xdr:sp>
    <xdr:clientData/>
  </xdr:twoCellAnchor>
  <xdr:twoCellAnchor editAs="oneCell">
    <xdr:from>
      <xdr:col>5</xdr:col>
      <xdr:colOff>276225</xdr:colOff>
      <xdr:row>0</xdr:row>
      <xdr:rowOff>47625</xdr:rowOff>
    </xdr:from>
    <xdr:to>
      <xdr:col>5</xdr:col>
      <xdr:colOff>638175</xdr:colOff>
      <xdr:row>1</xdr:row>
      <xdr:rowOff>133350</xdr:rowOff>
    </xdr:to>
    <xdr:pic>
      <xdr:nvPicPr>
        <xdr:cNvPr id="27750" name="3 Imagen">
          <a:hlinkClick xmlns:r="http://schemas.openxmlformats.org/officeDocument/2006/relationships" r:id="rId2"/>
          <a:extLst>
            <a:ext uri="{FF2B5EF4-FFF2-40B4-BE49-F238E27FC236}">
              <a16:creationId xmlns:a16="http://schemas.microsoft.com/office/drawing/2014/main" id="{CFEDA068-7A3E-4E11-87C7-4EA9262D36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34025" y="47625"/>
          <a:ext cx="3619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4.xml><?xml version="1.0" encoding="utf-8"?>
<xdr:wsDr xmlns:xdr="http://schemas.openxmlformats.org/drawingml/2006/spreadsheetDrawing" xmlns:a="http://schemas.openxmlformats.org/drawingml/2006/main">
  <xdr:twoCellAnchor editAs="oneCell">
    <xdr:from>
      <xdr:col>7</xdr:col>
      <xdr:colOff>381000</xdr:colOff>
      <xdr:row>0</xdr:row>
      <xdr:rowOff>114300</xdr:rowOff>
    </xdr:from>
    <xdr:to>
      <xdr:col>7</xdr:col>
      <xdr:colOff>857250</xdr:colOff>
      <xdr:row>2</xdr:row>
      <xdr:rowOff>133350</xdr:rowOff>
    </xdr:to>
    <xdr:pic>
      <xdr:nvPicPr>
        <xdr:cNvPr id="9469" name="29 Imagen">
          <a:hlinkClick xmlns:r="http://schemas.openxmlformats.org/officeDocument/2006/relationships" r:id="rId1"/>
          <a:extLst>
            <a:ext uri="{FF2B5EF4-FFF2-40B4-BE49-F238E27FC236}">
              <a16:creationId xmlns:a16="http://schemas.microsoft.com/office/drawing/2014/main" id="{2768568D-F7B0-4D48-8B3D-88BDBD286D0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15600" y="114300"/>
          <a:ext cx="4762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xdr:from>
      <xdr:col>7</xdr:col>
      <xdr:colOff>19050</xdr:colOff>
      <xdr:row>15</xdr:row>
      <xdr:rowOff>66675</xdr:rowOff>
    </xdr:from>
    <xdr:to>
      <xdr:col>7</xdr:col>
      <xdr:colOff>1257300</xdr:colOff>
      <xdr:row>16</xdr:row>
      <xdr:rowOff>152400</xdr:rowOff>
    </xdr:to>
    <xdr:sp macro="" textlink="">
      <xdr:nvSpPr>
        <xdr:cNvPr id="31" name="30 Flecha derecha">
          <a:hlinkClick xmlns:r="http://schemas.openxmlformats.org/officeDocument/2006/relationships" r:id="rId3"/>
          <a:extLst>
            <a:ext uri="{FF2B5EF4-FFF2-40B4-BE49-F238E27FC236}">
              <a16:creationId xmlns:a16="http://schemas.microsoft.com/office/drawing/2014/main" id="{39C38869-1A9F-46A0-A169-E9B93205534C}"/>
            </a:ext>
          </a:extLst>
        </xdr:cNvPr>
        <xdr:cNvSpPr/>
      </xdr:nvSpPr>
      <xdr:spPr>
        <a:xfrm>
          <a:off x="10153650" y="3124200"/>
          <a:ext cx="1238250" cy="2952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s-MX" sz="700" b="1">
              <a:solidFill>
                <a:schemeClr val="tx1"/>
              </a:solidFill>
              <a:latin typeface="+mj-lt"/>
            </a:rPr>
            <a:t>VEMA</a:t>
          </a:r>
        </a:p>
      </xdr:txBody>
    </xdr:sp>
    <xdr:clientData/>
  </xdr:twoCellAnchor>
  <xdr:twoCellAnchor>
    <xdr:from>
      <xdr:col>7</xdr:col>
      <xdr:colOff>19050</xdr:colOff>
      <xdr:row>16</xdr:row>
      <xdr:rowOff>171450</xdr:rowOff>
    </xdr:from>
    <xdr:to>
      <xdr:col>7</xdr:col>
      <xdr:colOff>1276349</xdr:colOff>
      <xdr:row>21</xdr:row>
      <xdr:rowOff>66675</xdr:rowOff>
    </xdr:to>
    <xdr:sp macro="" textlink="">
      <xdr:nvSpPr>
        <xdr:cNvPr id="4" name="3 Flecha derecha">
          <a:hlinkClick xmlns:r="http://schemas.openxmlformats.org/officeDocument/2006/relationships" r:id="rId4"/>
          <a:extLst>
            <a:ext uri="{FF2B5EF4-FFF2-40B4-BE49-F238E27FC236}">
              <a16:creationId xmlns:a16="http://schemas.microsoft.com/office/drawing/2014/main" id="{EE53DE6C-0083-4BDF-BEB3-CD2F3A70A2D1}"/>
            </a:ext>
          </a:extLst>
        </xdr:cNvPr>
        <xdr:cNvSpPr/>
      </xdr:nvSpPr>
      <xdr:spPr>
        <a:xfrm>
          <a:off x="10153650" y="3438525"/>
          <a:ext cx="1257299" cy="2952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s-MX" sz="700" b="1">
              <a:solidFill>
                <a:schemeClr val="tx1"/>
              </a:solidFill>
              <a:latin typeface="+mj-lt"/>
            </a:rPr>
            <a:t>MÉTODO</a:t>
          </a:r>
          <a:r>
            <a:rPr lang="es-MX" sz="700" b="1" baseline="0">
              <a:solidFill>
                <a:schemeClr val="tx1"/>
              </a:solidFill>
              <a:latin typeface="+mj-lt"/>
            </a:rPr>
            <a:t> RACIONAL</a:t>
          </a:r>
          <a:endParaRPr lang="es-MX" sz="700" b="1">
            <a:solidFill>
              <a:schemeClr val="tx1"/>
            </a:solidFill>
            <a:latin typeface="+mj-lt"/>
          </a:endParaRPr>
        </a:p>
      </xdr:txBody>
    </xdr:sp>
    <xdr:clientData/>
  </xdr:twoCellAnchor>
  <xdr:twoCellAnchor>
    <xdr:from>
      <xdr:col>7</xdr:col>
      <xdr:colOff>28575</xdr:colOff>
      <xdr:row>21</xdr:row>
      <xdr:rowOff>76200</xdr:rowOff>
    </xdr:from>
    <xdr:to>
      <xdr:col>7</xdr:col>
      <xdr:colOff>1285874</xdr:colOff>
      <xdr:row>22</xdr:row>
      <xdr:rowOff>142875</xdr:rowOff>
    </xdr:to>
    <xdr:sp macro="" textlink="">
      <xdr:nvSpPr>
        <xdr:cNvPr id="5" name="4 Flecha derecha">
          <a:hlinkClick xmlns:r="http://schemas.openxmlformats.org/officeDocument/2006/relationships" r:id="rId5"/>
          <a:extLst>
            <a:ext uri="{FF2B5EF4-FFF2-40B4-BE49-F238E27FC236}">
              <a16:creationId xmlns:a16="http://schemas.microsoft.com/office/drawing/2014/main" id="{86DD7FBE-DC0D-4E67-8A45-DEB70E2ACE37}"/>
            </a:ext>
          </a:extLst>
        </xdr:cNvPr>
        <xdr:cNvSpPr/>
      </xdr:nvSpPr>
      <xdr:spPr>
        <a:xfrm>
          <a:off x="10163175" y="3743325"/>
          <a:ext cx="1257299" cy="2952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s-MX" sz="700" b="1">
              <a:solidFill>
                <a:schemeClr val="tx1"/>
              </a:solidFill>
              <a:latin typeface="+mj-lt"/>
            </a:rPr>
            <a:t>RACIONAL MODIFICADO</a:t>
          </a:r>
        </a:p>
      </xdr:txBody>
    </xdr:sp>
    <xdr:clientData/>
  </xdr:twoCellAnchor>
  <mc:AlternateContent xmlns:mc="http://schemas.openxmlformats.org/markup-compatibility/2006">
    <mc:Choice xmlns:a14="http://schemas.microsoft.com/office/drawing/2010/main" Requires="a14">
      <xdr:twoCellAnchor editAs="oneCell">
        <xdr:from>
          <xdr:col>3</xdr:col>
          <xdr:colOff>0</xdr:colOff>
          <xdr:row>3</xdr:row>
          <xdr:rowOff>190500</xdr:rowOff>
        </xdr:from>
        <xdr:to>
          <xdr:col>4</xdr:col>
          <xdr:colOff>0</xdr:colOff>
          <xdr:row>4</xdr:row>
          <xdr:rowOff>190500</xdr:rowOff>
        </xdr:to>
        <xdr:sp macro="" textlink="">
          <xdr:nvSpPr>
            <xdr:cNvPr id="9235" name="Lista desplegable 19" hidden="1">
              <a:extLst>
                <a:ext uri="{63B3BB69-23CF-44E3-9099-C40C66FF867C}">
                  <a14:compatExt spid="_x0000_s9235"/>
                </a:ext>
                <a:ext uri="{FF2B5EF4-FFF2-40B4-BE49-F238E27FC236}">
                  <a16:creationId xmlns:a16="http://schemas.microsoft.com/office/drawing/2014/main" id="{DAFC5235-4192-4B6F-9E42-E7ED0363A78D}"/>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190500</xdr:rowOff>
        </xdr:from>
        <xdr:to>
          <xdr:col>4</xdr:col>
          <xdr:colOff>0</xdr:colOff>
          <xdr:row>5</xdr:row>
          <xdr:rowOff>38100</xdr:rowOff>
        </xdr:to>
        <xdr:sp macro="" textlink="">
          <xdr:nvSpPr>
            <xdr:cNvPr id="9237" name="Cuadro de grupo 21" hidden="1">
              <a:extLst>
                <a:ext uri="{63B3BB69-23CF-44E3-9099-C40C66FF867C}">
                  <a14:compatExt spid="_x0000_s9237"/>
                </a:ext>
                <a:ext uri="{FF2B5EF4-FFF2-40B4-BE49-F238E27FC236}">
                  <a16:creationId xmlns:a16="http://schemas.microsoft.com/office/drawing/2014/main" id="{8098F3D2-A9AA-4708-AEAE-58BBE98E9687}"/>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xdr:row>
          <xdr:rowOff>9525</xdr:rowOff>
        </xdr:from>
        <xdr:to>
          <xdr:col>3</xdr:col>
          <xdr:colOff>1771650</xdr:colOff>
          <xdr:row>6</xdr:row>
          <xdr:rowOff>9525</xdr:rowOff>
        </xdr:to>
        <xdr:sp macro="" textlink="">
          <xdr:nvSpPr>
            <xdr:cNvPr id="9238" name="Lista desplegable 22" hidden="1">
              <a:extLst>
                <a:ext uri="{63B3BB69-23CF-44E3-9099-C40C66FF867C}">
                  <a14:compatExt spid="_x0000_s9238"/>
                </a:ext>
                <a:ext uri="{FF2B5EF4-FFF2-40B4-BE49-F238E27FC236}">
                  <a16:creationId xmlns:a16="http://schemas.microsoft.com/office/drawing/2014/main" id="{7229A992-8C1C-4A95-B561-E86FB611AAB0}"/>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xdr:row>
          <xdr:rowOff>9525</xdr:rowOff>
        </xdr:from>
        <xdr:to>
          <xdr:col>3</xdr:col>
          <xdr:colOff>1771650</xdr:colOff>
          <xdr:row>6</xdr:row>
          <xdr:rowOff>57150</xdr:rowOff>
        </xdr:to>
        <xdr:sp macro="" textlink="">
          <xdr:nvSpPr>
            <xdr:cNvPr id="9239" name="Cuadro de grupo 23" hidden="1">
              <a:extLst>
                <a:ext uri="{63B3BB69-23CF-44E3-9099-C40C66FF867C}">
                  <a14:compatExt spid="_x0000_s9239"/>
                </a:ext>
                <a:ext uri="{FF2B5EF4-FFF2-40B4-BE49-F238E27FC236}">
                  <a16:creationId xmlns:a16="http://schemas.microsoft.com/office/drawing/2014/main" id="{6767169C-D51D-45BD-BD59-6DA8B4CF61D8}"/>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xdr:row>
          <xdr:rowOff>9525</xdr:rowOff>
        </xdr:from>
        <xdr:to>
          <xdr:col>3</xdr:col>
          <xdr:colOff>1771650</xdr:colOff>
          <xdr:row>7</xdr:row>
          <xdr:rowOff>9525</xdr:rowOff>
        </xdr:to>
        <xdr:sp macro="" textlink="">
          <xdr:nvSpPr>
            <xdr:cNvPr id="9240" name="Lista desplegable 24" hidden="1">
              <a:extLst>
                <a:ext uri="{63B3BB69-23CF-44E3-9099-C40C66FF867C}">
                  <a14:compatExt spid="_x0000_s9240"/>
                </a:ext>
                <a:ext uri="{FF2B5EF4-FFF2-40B4-BE49-F238E27FC236}">
                  <a16:creationId xmlns:a16="http://schemas.microsoft.com/office/drawing/2014/main" id="{41ADF1D1-CC9B-410F-89FF-C4B63DD26014}"/>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xdr:row>
          <xdr:rowOff>0</xdr:rowOff>
        </xdr:from>
        <xdr:to>
          <xdr:col>4</xdr:col>
          <xdr:colOff>0</xdr:colOff>
          <xdr:row>7</xdr:row>
          <xdr:rowOff>47625</xdr:rowOff>
        </xdr:to>
        <xdr:sp macro="" textlink="">
          <xdr:nvSpPr>
            <xdr:cNvPr id="9241" name="Cuadro de grupo 25" hidden="1">
              <a:extLst>
                <a:ext uri="{63B3BB69-23CF-44E3-9099-C40C66FF867C}">
                  <a14:compatExt spid="_x0000_s9241"/>
                </a:ext>
                <a:ext uri="{FF2B5EF4-FFF2-40B4-BE49-F238E27FC236}">
                  <a16:creationId xmlns:a16="http://schemas.microsoft.com/office/drawing/2014/main" id="{78483D69-D3F0-406D-8B9D-5EC34EE91A4D}"/>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3</xdr:col>
          <xdr:colOff>1771650</xdr:colOff>
          <xdr:row>8</xdr:row>
          <xdr:rowOff>0</xdr:rowOff>
        </xdr:to>
        <xdr:sp macro="" textlink="">
          <xdr:nvSpPr>
            <xdr:cNvPr id="9242" name="Lista desplegable 26" hidden="1">
              <a:extLst>
                <a:ext uri="{63B3BB69-23CF-44E3-9099-C40C66FF867C}">
                  <a14:compatExt spid="_x0000_s9242"/>
                </a:ext>
                <a:ext uri="{FF2B5EF4-FFF2-40B4-BE49-F238E27FC236}">
                  <a16:creationId xmlns:a16="http://schemas.microsoft.com/office/drawing/2014/main" id="{E69442CD-8CD1-48C0-902B-3691DB0B4F4C}"/>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xdr:row>
          <xdr:rowOff>190500</xdr:rowOff>
        </xdr:from>
        <xdr:to>
          <xdr:col>4</xdr:col>
          <xdr:colOff>0</xdr:colOff>
          <xdr:row>8</xdr:row>
          <xdr:rowOff>38100</xdr:rowOff>
        </xdr:to>
        <xdr:sp macro="" textlink="">
          <xdr:nvSpPr>
            <xdr:cNvPr id="9243" name="Cuadro de grupo 27" hidden="1">
              <a:extLst>
                <a:ext uri="{63B3BB69-23CF-44E3-9099-C40C66FF867C}">
                  <a14:compatExt spid="_x0000_s9243"/>
                </a:ext>
                <a:ext uri="{FF2B5EF4-FFF2-40B4-BE49-F238E27FC236}">
                  <a16:creationId xmlns:a16="http://schemas.microsoft.com/office/drawing/2014/main" id="{9535C4BF-89AE-47B2-BD36-0B29523CBE5D}"/>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3</xdr:col>
          <xdr:colOff>1771650</xdr:colOff>
          <xdr:row>9</xdr:row>
          <xdr:rowOff>0</xdr:rowOff>
        </xdr:to>
        <xdr:sp macro="" textlink="">
          <xdr:nvSpPr>
            <xdr:cNvPr id="9244" name="Lista desplegable 28" hidden="1">
              <a:extLst>
                <a:ext uri="{63B3BB69-23CF-44E3-9099-C40C66FF867C}">
                  <a14:compatExt spid="_x0000_s9244"/>
                </a:ext>
                <a:ext uri="{FF2B5EF4-FFF2-40B4-BE49-F238E27FC236}">
                  <a16:creationId xmlns:a16="http://schemas.microsoft.com/office/drawing/2014/main" id="{936A7FC7-5B93-45BA-A5BA-36259CF0566D}"/>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8</xdr:row>
          <xdr:rowOff>0</xdr:rowOff>
        </xdr:from>
        <xdr:to>
          <xdr:col>4</xdr:col>
          <xdr:colOff>0</xdr:colOff>
          <xdr:row>9</xdr:row>
          <xdr:rowOff>47625</xdr:rowOff>
        </xdr:to>
        <xdr:sp macro="" textlink="">
          <xdr:nvSpPr>
            <xdr:cNvPr id="9245" name="Cuadro de grupo 29" hidden="1">
              <a:extLst>
                <a:ext uri="{63B3BB69-23CF-44E3-9099-C40C66FF867C}">
                  <a14:compatExt spid="_x0000_s9245"/>
                </a:ext>
                <a:ext uri="{FF2B5EF4-FFF2-40B4-BE49-F238E27FC236}">
                  <a16:creationId xmlns:a16="http://schemas.microsoft.com/office/drawing/2014/main" id="{FBB0191F-89F1-41E3-AD94-8DA506BE2A36}"/>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4</xdr:col>
          <xdr:colOff>0</xdr:colOff>
          <xdr:row>10</xdr:row>
          <xdr:rowOff>0</xdr:rowOff>
        </xdr:to>
        <xdr:sp macro="" textlink="">
          <xdr:nvSpPr>
            <xdr:cNvPr id="9246" name="Lista desplegable 30" hidden="1">
              <a:extLst>
                <a:ext uri="{63B3BB69-23CF-44E3-9099-C40C66FF867C}">
                  <a14:compatExt spid="_x0000_s9246"/>
                </a:ext>
                <a:ext uri="{FF2B5EF4-FFF2-40B4-BE49-F238E27FC236}">
                  <a16:creationId xmlns:a16="http://schemas.microsoft.com/office/drawing/2014/main" id="{E399718F-07A5-4DBA-BECC-E7186D30B3E8}"/>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3</xdr:col>
          <xdr:colOff>1771650</xdr:colOff>
          <xdr:row>10</xdr:row>
          <xdr:rowOff>47625</xdr:rowOff>
        </xdr:to>
        <xdr:sp macro="" textlink="">
          <xdr:nvSpPr>
            <xdr:cNvPr id="9247" name="Cuadro de grupo 31" hidden="1">
              <a:extLst>
                <a:ext uri="{63B3BB69-23CF-44E3-9099-C40C66FF867C}">
                  <a14:compatExt spid="_x0000_s9247"/>
                </a:ext>
                <a:ext uri="{FF2B5EF4-FFF2-40B4-BE49-F238E27FC236}">
                  <a16:creationId xmlns:a16="http://schemas.microsoft.com/office/drawing/2014/main" id="{4B69C216-F39A-443A-B8AD-0983D7E0C8CB}"/>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3</xdr:col>
          <xdr:colOff>1771650</xdr:colOff>
          <xdr:row>11</xdr:row>
          <xdr:rowOff>0</xdr:rowOff>
        </xdr:to>
        <xdr:sp macro="" textlink="">
          <xdr:nvSpPr>
            <xdr:cNvPr id="9248" name="Lista desplegable 32" hidden="1">
              <a:extLst>
                <a:ext uri="{63B3BB69-23CF-44E3-9099-C40C66FF867C}">
                  <a14:compatExt spid="_x0000_s9248"/>
                </a:ext>
                <a:ext uri="{FF2B5EF4-FFF2-40B4-BE49-F238E27FC236}">
                  <a16:creationId xmlns:a16="http://schemas.microsoft.com/office/drawing/2014/main" id="{F2642190-4825-457E-90B2-1A0BD53A6784}"/>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4</xdr:col>
          <xdr:colOff>0</xdr:colOff>
          <xdr:row>11</xdr:row>
          <xdr:rowOff>47625</xdr:rowOff>
        </xdr:to>
        <xdr:sp macro="" textlink="">
          <xdr:nvSpPr>
            <xdr:cNvPr id="9249" name="Cuadro de grupo 33" hidden="1">
              <a:extLst>
                <a:ext uri="{63B3BB69-23CF-44E3-9099-C40C66FF867C}">
                  <a14:compatExt spid="_x0000_s9249"/>
                </a:ext>
                <a:ext uri="{FF2B5EF4-FFF2-40B4-BE49-F238E27FC236}">
                  <a16:creationId xmlns:a16="http://schemas.microsoft.com/office/drawing/2014/main" id="{F5B8AAC2-2408-45A8-819D-2F5CC0A60116}"/>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11</xdr:row>
          <xdr:rowOff>200025</xdr:rowOff>
        </xdr:to>
        <xdr:sp macro="" textlink="">
          <xdr:nvSpPr>
            <xdr:cNvPr id="9251" name="Lista desplegable 35" hidden="1">
              <a:extLst>
                <a:ext uri="{63B3BB69-23CF-44E3-9099-C40C66FF867C}">
                  <a14:compatExt spid="_x0000_s9251"/>
                </a:ext>
                <a:ext uri="{FF2B5EF4-FFF2-40B4-BE49-F238E27FC236}">
                  <a16:creationId xmlns:a16="http://schemas.microsoft.com/office/drawing/2014/main" id="{C02B9A12-7543-4C3C-97CE-5A9F35B63F31}"/>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190500</xdr:rowOff>
        </xdr:from>
        <xdr:to>
          <xdr:col>4</xdr:col>
          <xdr:colOff>0</xdr:colOff>
          <xdr:row>12</xdr:row>
          <xdr:rowOff>28575</xdr:rowOff>
        </xdr:to>
        <xdr:sp macro="" textlink="">
          <xdr:nvSpPr>
            <xdr:cNvPr id="9252" name="Cuadro de grupo 36" hidden="1">
              <a:extLst>
                <a:ext uri="{63B3BB69-23CF-44E3-9099-C40C66FF867C}">
                  <a14:compatExt spid="_x0000_s9252"/>
                </a:ext>
                <a:ext uri="{FF2B5EF4-FFF2-40B4-BE49-F238E27FC236}">
                  <a16:creationId xmlns:a16="http://schemas.microsoft.com/office/drawing/2014/main" id="{339322C7-3466-4B3E-83DA-DBE9D0226DAE}"/>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0</xdr:colOff>
          <xdr:row>12</xdr:row>
          <xdr:rowOff>200025</xdr:rowOff>
        </xdr:to>
        <xdr:sp macro="" textlink="">
          <xdr:nvSpPr>
            <xdr:cNvPr id="9257" name="Lista desplegable 41" hidden="1">
              <a:extLst>
                <a:ext uri="{63B3BB69-23CF-44E3-9099-C40C66FF867C}">
                  <a14:compatExt spid="_x0000_s9257"/>
                </a:ext>
                <a:ext uri="{FF2B5EF4-FFF2-40B4-BE49-F238E27FC236}">
                  <a16:creationId xmlns:a16="http://schemas.microsoft.com/office/drawing/2014/main" id="{28D27068-E1B5-42BC-87A4-6CD0C8475E98}"/>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200025</xdr:rowOff>
        </xdr:from>
        <xdr:to>
          <xdr:col>4</xdr:col>
          <xdr:colOff>0</xdr:colOff>
          <xdr:row>13</xdr:row>
          <xdr:rowOff>28575</xdr:rowOff>
        </xdr:to>
        <xdr:sp macro="" textlink="">
          <xdr:nvSpPr>
            <xdr:cNvPr id="9258" name="Cuadro de grupo 42" hidden="1">
              <a:extLst>
                <a:ext uri="{63B3BB69-23CF-44E3-9099-C40C66FF867C}">
                  <a14:compatExt spid="_x0000_s9258"/>
                </a:ext>
                <a:ext uri="{FF2B5EF4-FFF2-40B4-BE49-F238E27FC236}">
                  <a16:creationId xmlns:a16="http://schemas.microsoft.com/office/drawing/2014/main" id="{1264A38C-7B29-40CA-901E-AD6FD2F1F5E8}"/>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0</xdr:rowOff>
        </xdr:from>
        <xdr:to>
          <xdr:col>4</xdr:col>
          <xdr:colOff>0</xdr:colOff>
          <xdr:row>13</xdr:row>
          <xdr:rowOff>200025</xdr:rowOff>
        </xdr:to>
        <xdr:sp macro="" textlink="">
          <xdr:nvSpPr>
            <xdr:cNvPr id="9259" name="Lista desplegable 43" hidden="1">
              <a:extLst>
                <a:ext uri="{63B3BB69-23CF-44E3-9099-C40C66FF867C}">
                  <a14:compatExt spid="_x0000_s9259"/>
                </a:ext>
                <a:ext uri="{FF2B5EF4-FFF2-40B4-BE49-F238E27FC236}">
                  <a16:creationId xmlns:a16="http://schemas.microsoft.com/office/drawing/2014/main" id="{BAF91FD1-B36A-48AC-AD7F-CFB5ECB9314E}"/>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0</xdr:rowOff>
        </xdr:from>
        <xdr:to>
          <xdr:col>3</xdr:col>
          <xdr:colOff>1771650</xdr:colOff>
          <xdr:row>14</xdr:row>
          <xdr:rowOff>47625</xdr:rowOff>
        </xdr:to>
        <xdr:sp macro="" textlink="">
          <xdr:nvSpPr>
            <xdr:cNvPr id="9260" name="Cuadro de grupo 44" hidden="1">
              <a:extLst>
                <a:ext uri="{63B3BB69-23CF-44E3-9099-C40C66FF867C}">
                  <a14:compatExt spid="_x0000_s9260"/>
                </a:ext>
                <a:ext uri="{FF2B5EF4-FFF2-40B4-BE49-F238E27FC236}">
                  <a16:creationId xmlns:a16="http://schemas.microsoft.com/office/drawing/2014/main" id="{BA084802-0A66-499C-8226-418CD4DB928D}"/>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200025</xdr:rowOff>
        </xdr:from>
        <xdr:to>
          <xdr:col>4</xdr:col>
          <xdr:colOff>0</xdr:colOff>
          <xdr:row>14</xdr:row>
          <xdr:rowOff>200025</xdr:rowOff>
        </xdr:to>
        <xdr:sp macro="" textlink="">
          <xdr:nvSpPr>
            <xdr:cNvPr id="9261" name="Lista desplegable 45" hidden="1">
              <a:extLst>
                <a:ext uri="{63B3BB69-23CF-44E3-9099-C40C66FF867C}">
                  <a14:compatExt spid="_x0000_s9261"/>
                </a:ext>
                <a:ext uri="{FF2B5EF4-FFF2-40B4-BE49-F238E27FC236}">
                  <a16:creationId xmlns:a16="http://schemas.microsoft.com/office/drawing/2014/main" id="{43D9A76F-A045-48DE-B1CB-D200214CD24E}"/>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200025</xdr:rowOff>
        </xdr:from>
        <xdr:to>
          <xdr:col>4</xdr:col>
          <xdr:colOff>0</xdr:colOff>
          <xdr:row>15</xdr:row>
          <xdr:rowOff>28575</xdr:rowOff>
        </xdr:to>
        <xdr:sp macro="" textlink="">
          <xdr:nvSpPr>
            <xdr:cNvPr id="9262" name="Cuadro de grupo 46" hidden="1">
              <a:extLst>
                <a:ext uri="{63B3BB69-23CF-44E3-9099-C40C66FF867C}">
                  <a14:compatExt spid="_x0000_s9262"/>
                </a:ext>
                <a:ext uri="{FF2B5EF4-FFF2-40B4-BE49-F238E27FC236}">
                  <a16:creationId xmlns:a16="http://schemas.microsoft.com/office/drawing/2014/main" id="{DE5CC279-BFAA-426E-845C-D579EA5B9C3D}"/>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xdr:row>
          <xdr:rowOff>0</xdr:rowOff>
        </xdr:from>
        <xdr:to>
          <xdr:col>4</xdr:col>
          <xdr:colOff>0</xdr:colOff>
          <xdr:row>16</xdr:row>
          <xdr:rowOff>0</xdr:rowOff>
        </xdr:to>
        <xdr:sp macro="" textlink="">
          <xdr:nvSpPr>
            <xdr:cNvPr id="9263" name="Lista desplegable 47" hidden="1">
              <a:extLst>
                <a:ext uri="{63B3BB69-23CF-44E3-9099-C40C66FF867C}">
                  <a14:compatExt spid="_x0000_s9263"/>
                </a:ext>
                <a:ext uri="{FF2B5EF4-FFF2-40B4-BE49-F238E27FC236}">
                  <a16:creationId xmlns:a16="http://schemas.microsoft.com/office/drawing/2014/main" id="{8529FBDC-77C6-451C-B08C-291AF29C567B}"/>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xdr:row>
          <xdr:rowOff>0</xdr:rowOff>
        </xdr:from>
        <xdr:to>
          <xdr:col>3</xdr:col>
          <xdr:colOff>1771650</xdr:colOff>
          <xdr:row>16</xdr:row>
          <xdr:rowOff>38100</xdr:rowOff>
        </xdr:to>
        <xdr:sp macro="" textlink="">
          <xdr:nvSpPr>
            <xdr:cNvPr id="9264" name="Cuadro de grupo 48" hidden="1">
              <a:extLst>
                <a:ext uri="{63B3BB69-23CF-44E3-9099-C40C66FF867C}">
                  <a14:compatExt spid="_x0000_s9264"/>
                </a:ext>
                <a:ext uri="{FF2B5EF4-FFF2-40B4-BE49-F238E27FC236}">
                  <a16:creationId xmlns:a16="http://schemas.microsoft.com/office/drawing/2014/main" id="{3A45883D-2FA2-4663-BD6F-60306CBCA14D}"/>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0</xdr:rowOff>
        </xdr:from>
        <xdr:to>
          <xdr:col>4</xdr:col>
          <xdr:colOff>0</xdr:colOff>
          <xdr:row>17</xdr:row>
          <xdr:rowOff>0</xdr:rowOff>
        </xdr:to>
        <xdr:sp macro="" textlink="">
          <xdr:nvSpPr>
            <xdr:cNvPr id="9266" name="Lista desplegable 50" hidden="1">
              <a:extLst>
                <a:ext uri="{63B3BB69-23CF-44E3-9099-C40C66FF867C}">
                  <a14:compatExt spid="_x0000_s9266"/>
                </a:ext>
                <a:ext uri="{FF2B5EF4-FFF2-40B4-BE49-F238E27FC236}">
                  <a16:creationId xmlns:a16="http://schemas.microsoft.com/office/drawing/2014/main" id="{7E53DCFE-2742-4562-8B02-08671EC35BDD}"/>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0</xdr:rowOff>
        </xdr:from>
        <xdr:to>
          <xdr:col>4</xdr:col>
          <xdr:colOff>0</xdr:colOff>
          <xdr:row>17</xdr:row>
          <xdr:rowOff>47625</xdr:rowOff>
        </xdr:to>
        <xdr:sp macro="" textlink="">
          <xdr:nvSpPr>
            <xdr:cNvPr id="9267" name="Cuadro de grupo 51" hidden="1">
              <a:extLst>
                <a:ext uri="{63B3BB69-23CF-44E3-9099-C40C66FF867C}">
                  <a14:compatExt spid="_x0000_s9267"/>
                </a:ext>
                <a:ext uri="{FF2B5EF4-FFF2-40B4-BE49-F238E27FC236}">
                  <a16:creationId xmlns:a16="http://schemas.microsoft.com/office/drawing/2014/main" id="{C052B329-4770-4B6F-B9F2-356036D4A988}"/>
                </a:ext>
              </a:extLst>
            </xdr:cNvPr>
            <xdr:cNvSpPr/>
          </xdr:nvSpPr>
          <xdr:spPr bwMode="auto">
            <a:xfrm>
              <a:off x="0" y="0"/>
              <a:ext cx="0" cy="0"/>
            </a:xfrm>
            <a:prstGeom prst="rect">
              <a:avLst/>
            </a:prstGeom>
            <a:noFill/>
            <a:ln w="9525">
              <a:solidFill>
                <a:srgbClr val="000000" mc:Ignorable="a14" a14:legacySpreadsheetColorIndex="64"/>
              </a:solidFill>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0</xdr:rowOff>
        </xdr:from>
        <xdr:to>
          <xdr:col>3</xdr:col>
          <xdr:colOff>1771650</xdr:colOff>
          <xdr:row>4</xdr:row>
          <xdr:rowOff>0</xdr:rowOff>
        </xdr:to>
        <xdr:sp macro="" textlink="">
          <xdr:nvSpPr>
            <xdr:cNvPr id="9268" name="Lista desplegable 52" hidden="1">
              <a:extLst>
                <a:ext uri="{63B3BB69-23CF-44E3-9099-C40C66FF867C}">
                  <a14:compatExt spid="_x0000_s9268"/>
                </a:ext>
                <a:ext uri="{FF2B5EF4-FFF2-40B4-BE49-F238E27FC236}">
                  <a16:creationId xmlns:a16="http://schemas.microsoft.com/office/drawing/2014/main" id="{65BA2488-46B0-4075-9BB2-A7E191655724}"/>
                </a:ext>
              </a:extLst>
            </xdr:cNvPr>
            <xdr:cNvSpPr/>
          </xdr:nvSpPr>
          <xdr:spPr bwMode="auto">
            <a:xfrm>
              <a:off x="0" y="0"/>
              <a:ext cx="0" cy="0"/>
            </a:xfrm>
            <a:prstGeom prst="rect">
              <a:avLst/>
            </a:prstGeom>
            <a:solidFill>
              <a:srgbClr val="FFFFFF"/>
            </a:solid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3</xdr:col>
      <xdr:colOff>209550</xdr:colOff>
      <xdr:row>0</xdr:row>
      <xdr:rowOff>57150</xdr:rowOff>
    </xdr:from>
    <xdr:to>
      <xdr:col>3</xdr:col>
      <xdr:colOff>571500</xdr:colOff>
      <xdr:row>1</xdr:row>
      <xdr:rowOff>180975</xdr:rowOff>
    </xdr:to>
    <xdr:pic>
      <xdr:nvPicPr>
        <xdr:cNvPr id="28723" name="3 Imagen">
          <a:hlinkClick xmlns:r="http://schemas.openxmlformats.org/officeDocument/2006/relationships" r:id="rId1"/>
          <a:extLst>
            <a:ext uri="{FF2B5EF4-FFF2-40B4-BE49-F238E27FC236}">
              <a16:creationId xmlns:a16="http://schemas.microsoft.com/office/drawing/2014/main" id="{4846EE8B-1CBA-4F71-8277-964F76AFB1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2625" y="57150"/>
          <a:ext cx="3619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6.xml><?xml version="1.0" encoding="utf-8"?>
<xdr:wsDr xmlns:xdr="http://schemas.openxmlformats.org/drawingml/2006/spreadsheetDrawing" xmlns:a="http://schemas.openxmlformats.org/drawingml/2006/main">
  <xdr:twoCellAnchor editAs="oneCell">
    <xdr:from>
      <xdr:col>3</xdr:col>
      <xdr:colOff>66675</xdr:colOff>
      <xdr:row>0</xdr:row>
      <xdr:rowOff>161925</xdr:rowOff>
    </xdr:from>
    <xdr:to>
      <xdr:col>3</xdr:col>
      <xdr:colOff>428625</xdr:colOff>
      <xdr:row>2</xdr:row>
      <xdr:rowOff>47625</xdr:rowOff>
    </xdr:to>
    <xdr:pic>
      <xdr:nvPicPr>
        <xdr:cNvPr id="29747" name="1 Imagen">
          <a:hlinkClick xmlns:r="http://schemas.openxmlformats.org/officeDocument/2006/relationships" r:id="rId1"/>
          <a:extLst>
            <a:ext uri="{FF2B5EF4-FFF2-40B4-BE49-F238E27FC236}">
              <a16:creationId xmlns:a16="http://schemas.microsoft.com/office/drawing/2014/main" id="{3CF6D7D2-56C2-4328-BD63-F382CFB1054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14850" y="161925"/>
          <a:ext cx="3619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7.xml><?xml version="1.0" encoding="utf-8"?>
<xdr:wsDr xmlns:xdr="http://schemas.openxmlformats.org/drawingml/2006/spreadsheetDrawing" xmlns:a="http://schemas.openxmlformats.org/drawingml/2006/main">
  <xdr:twoCellAnchor>
    <xdr:from>
      <xdr:col>0</xdr:col>
      <xdr:colOff>333375</xdr:colOff>
      <xdr:row>62</xdr:row>
      <xdr:rowOff>104775</xdr:rowOff>
    </xdr:from>
    <xdr:to>
      <xdr:col>0</xdr:col>
      <xdr:colOff>485775</xdr:colOff>
      <xdr:row>64</xdr:row>
      <xdr:rowOff>76200</xdr:rowOff>
    </xdr:to>
    <xdr:pic>
      <xdr:nvPicPr>
        <xdr:cNvPr id="30921" name="Picture 2">
          <a:extLst>
            <a:ext uri="{FF2B5EF4-FFF2-40B4-BE49-F238E27FC236}">
              <a16:creationId xmlns:a16="http://schemas.microsoft.com/office/drawing/2014/main" id="{456FFC31-9B71-4957-94C7-EFDB938303CC}"/>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3375" y="12573000"/>
          <a:ext cx="1524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323850</xdr:colOff>
      <xdr:row>63</xdr:row>
      <xdr:rowOff>123825</xdr:rowOff>
    </xdr:from>
    <xdr:to>
      <xdr:col>0</xdr:col>
      <xdr:colOff>485775</xdr:colOff>
      <xdr:row>65</xdr:row>
      <xdr:rowOff>85725</xdr:rowOff>
    </xdr:to>
    <xdr:pic>
      <xdr:nvPicPr>
        <xdr:cNvPr id="30922" name="Picture 1">
          <a:extLst>
            <a:ext uri="{FF2B5EF4-FFF2-40B4-BE49-F238E27FC236}">
              <a16:creationId xmlns:a16="http://schemas.microsoft.com/office/drawing/2014/main" id="{6E62CC26-4B99-4DA0-B9B3-B91C6F7D25E9}"/>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3850" y="12792075"/>
          <a:ext cx="16192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342900</xdr:colOff>
      <xdr:row>58</xdr:row>
      <xdr:rowOff>180975</xdr:rowOff>
    </xdr:from>
    <xdr:to>
      <xdr:col>0</xdr:col>
      <xdr:colOff>438150</xdr:colOff>
      <xdr:row>60</xdr:row>
      <xdr:rowOff>76200</xdr:rowOff>
    </xdr:to>
    <xdr:pic>
      <xdr:nvPicPr>
        <xdr:cNvPr id="30923" name="Picture 6">
          <a:extLst>
            <a:ext uri="{FF2B5EF4-FFF2-40B4-BE49-F238E27FC236}">
              <a16:creationId xmlns:a16="http://schemas.microsoft.com/office/drawing/2014/main" id="{5A3C8F63-AFDE-4FD0-8F76-E3D882DAB6BD}"/>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42900" y="11820525"/>
          <a:ext cx="952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333375</xdr:colOff>
      <xdr:row>60</xdr:row>
      <xdr:rowOff>152400</xdr:rowOff>
    </xdr:from>
    <xdr:to>
      <xdr:col>0</xdr:col>
      <xdr:colOff>466725</xdr:colOff>
      <xdr:row>62</xdr:row>
      <xdr:rowOff>76200</xdr:rowOff>
    </xdr:to>
    <xdr:pic>
      <xdr:nvPicPr>
        <xdr:cNvPr id="30924" name="Picture 5">
          <a:extLst>
            <a:ext uri="{FF2B5EF4-FFF2-40B4-BE49-F238E27FC236}">
              <a16:creationId xmlns:a16="http://schemas.microsoft.com/office/drawing/2014/main" id="{7F41BBBA-A6EC-497F-A017-D569F047C764}"/>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3375" y="12220575"/>
          <a:ext cx="1333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57150</xdr:colOff>
      <xdr:row>0</xdr:row>
      <xdr:rowOff>47625</xdr:rowOff>
    </xdr:from>
    <xdr:to>
      <xdr:col>4</xdr:col>
      <xdr:colOff>419100</xdr:colOff>
      <xdr:row>1</xdr:row>
      <xdr:rowOff>161925</xdr:rowOff>
    </xdr:to>
    <xdr:pic>
      <xdr:nvPicPr>
        <xdr:cNvPr id="31795" name="3 Imagen">
          <a:hlinkClick xmlns:r="http://schemas.openxmlformats.org/officeDocument/2006/relationships" r:id="rId1"/>
          <a:extLst>
            <a:ext uri="{FF2B5EF4-FFF2-40B4-BE49-F238E27FC236}">
              <a16:creationId xmlns:a16="http://schemas.microsoft.com/office/drawing/2014/main" id="{DB7FB0FD-E574-47A0-A829-B851443DFDB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34200" y="47625"/>
          <a:ext cx="3619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9.xml><?xml version="1.0" encoding="utf-8"?>
<xdr:wsDr xmlns:xdr="http://schemas.openxmlformats.org/drawingml/2006/spreadsheetDrawing" xmlns:a="http://schemas.openxmlformats.org/drawingml/2006/main">
  <xdr:twoCellAnchor>
    <xdr:from>
      <xdr:col>3</xdr:col>
      <xdr:colOff>257175</xdr:colOff>
      <xdr:row>4</xdr:row>
      <xdr:rowOff>152400</xdr:rowOff>
    </xdr:from>
    <xdr:to>
      <xdr:col>15</xdr:col>
      <xdr:colOff>38100</xdr:colOff>
      <xdr:row>29</xdr:row>
      <xdr:rowOff>9525</xdr:rowOff>
    </xdr:to>
    <xdr:graphicFrame macro="">
      <xdr:nvGraphicFramePr>
        <xdr:cNvPr id="32919" name="Chart 1">
          <a:extLst>
            <a:ext uri="{FF2B5EF4-FFF2-40B4-BE49-F238E27FC236}">
              <a16:creationId xmlns:a16="http://schemas.microsoft.com/office/drawing/2014/main" id="{8E372ABE-8491-4C10-9C3E-425FF3904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226219</xdr:colOff>
      <xdr:row>29</xdr:row>
      <xdr:rowOff>190499</xdr:rowOff>
    </xdr:from>
    <xdr:to>
      <xdr:col>15</xdr:col>
      <xdr:colOff>1</xdr:colOff>
      <xdr:row>32</xdr:row>
      <xdr:rowOff>119063</xdr:rowOff>
    </xdr:to>
    <xdr:sp macro="" textlink="">
      <xdr:nvSpPr>
        <xdr:cNvPr id="10" name="9 Flecha derecha">
          <a:hlinkClick xmlns:r="http://schemas.openxmlformats.org/officeDocument/2006/relationships" r:id="rId2"/>
          <a:extLst>
            <a:ext uri="{FF2B5EF4-FFF2-40B4-BE49-F238E27FC236}">
              <a16:creationId xmlns:a16="http://schemas.microsoft.com/office/drawing/2014/main" id="{8E2147BE-4137-42D3-B581-D19BA67979FD}"/>
            </a:ext>
          </a:extLst>
        </xdr:cNvPr>
        <xdr:cNvSpPr/>
      </xdr:nvSpPr>
      <xdr:spPr>
        <a:xfrm>
          <a:off x="11858625" y="6119812"/>
          <a:ext cx="1964532" cy="535782"/>
        </a:xfrm>
        <a:prstGeom prst="righ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MX" sz="1600" b="1">
              <a:solidFill>
                <a:sysClr val="windowText" lastClr="000000"/>
              </a:solidFill>
              <a:latin typeface="+mj-lt"/>
            </a:rPr>
            <a:t>SIGUIENTE</a:t>
          </a:r>
        </a:p>
      </xdr:txBody>
    </xdr:sp>
    <xdr:clientData/>
  </xdr:twoCellAnchor>
  <xdr:twoCellAnchor editAs="oneCell">
    <xdr:from>
      <xdr:col>16</xdr:col>
      <xdr:colOff>866775</xdr:colOff>
      <xdr:row>0</xdr:row>
      <xdr:rowOff>0</xdr:rowOff>
    </xdr:from>
    <xdr:to>
      <xdr:col>17</xdr:col>
      <xdr:colOff>228600</xdr:colOff>
      <xdr:row>3</xdr:row>
      <xdr:rowOff>38100</xdr:rowOff>
    </xdr:to>
    <xdr:pic>
      <xdr:nvPicPr>
        <xdr:cNvPr id="32921" name="7 Imagen">
          <a:hlinkClick xmlns:r="http://schemas.openxmlformats.org/officeDocument/2006/relationships" r:id="rId3"/>
          <a:extLst>
            <a:ext uri="{FF2B5EF4-FFF2-40B4-BE49-F238E27FC236}">
              <a16:creationId xmlns:a16="http://schemas.microsoft.com/office/drawing/2014/main" id="{03A50588-0CFD-4ED0-883C-D9E4310EFCB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992475" y="0"/>
          <a:ext cx="7429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 /><Relationship Id="rId1" Type="http://schemas.openxmlformats.org/officeDocument/2006/relationships/printerSettings" Target="../printerSettings/printerSettings10.bin" /></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3.bin" /><Relationship Id="rId3" Type="http://schemas.openxmlformats.org/officeDocument/2006/relationships/vmlDrawing" Target="../drawings/vmlDrawing2.vml" /><Relationship Id="rId7" Type="http://schemas.openxmlformats.org/officeDocument/2006/relationships/image" Target="../media/image11.emf" /><Relationship Id="rId2" Type="http://schemas.openxmlformats.org/officeDocument/2006/relationships/drawing" Target="../drawings/drawing10.xml" /><Relationship Id="rId1" Type="http://schemas.openxmlformats.org/officeDocument/2006/relationships/printerSettings" Target="../printerSettings/printerSettings11.bin" /><Relationship Id="rId6" Type="http://schemas.openxmlformats.org/officeDocument/2006/relationships/oleObject" Target="../embeddings/oleObject2.bin" /><Relationship Id="rId5" Type="http://schemas.openxmlformats.org/officeDocument/2006/relationships/image" Target="../media/image10.emf" /><Relationship Id="rId10" Type="http://schemas.openxmlformats.org/officeDocument/2006/relationships/ctrlProp" Target="../ctrlProps/ctrlProp28.xml" /><Relationship Id="rId4" Type="http://schemas.openxmlformats.org/officeDocument/2006/relationships/oleObject" Target="../embeddings/oleObject1.bin" /><Relationship Id="rId9" Type="http://schemas.openxmlformats.org/officeDocument/2006/relationships/image" Target="../media/image12.emf" /></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 /><Relationship Id="rId2" Type="http://schemas.openxmlformats.org/officeDocument/2006/relationships/drawing" Target="../drawings/drawing11.xml" /><Relationship Id="rId1" Type="http://schemas.openxmlformats.org/officeDocument/2006/relationships/printerSettings" Target="../printerSettings/printerSettings12.bin" /><Relationship Id="rId5" Type="http://schemas.openxmlformats.org/officeDocument/2006/relationships/comments" Target="../comments1.xml" /><Relationship Id="rId4" Type="http://schemas.openxmlformats.org/officeDocument/2006/relationships/ctrlProp" Target="../ctrlProps/ctrlProp29.xml" /></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 /><Relationship Id="rId2" Type="http://schemas.openxmlformats.org/officeDocument/2006/relationships/drawing" Target="../drawings/drawing12.xml" /><Relationship Id="rId1" Type="http://schemas.openxmlformats.org/officeDocument/2006/relationships/printerSettings" Target="../printerSettings/printerSettings13.bin" /><Relationship Id="rId4" Type="http://schemas.openxmlformats.org/officeDocument/2006/relationships/ctrlProp" Target="../ctrlProps/ctrlProp30.xml" /></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 /><Relationship Id="rId1" Type="http://schemas.openxmlformats.org/officeDocument/2006/relationships/printerSettings" Target="../printerSettings/printerSettings14.bin" /></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 /><Relationship Id="rId1" Type="http://schemas.openxmlformats.org/officeDocument/2006/relationships/printerSettings" Target="../printerSettings/printerSettings15.bin"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 /><Relationship Id="rId13" Type="http://schemas.openxmlformats.org/officeDocument/2006/relationships/ctrlProp" Target="../ctrlProps/ctrlProp10.xml" /><Relationship Id="rId18" Type="http://schemas.openxmlformats.org/officeDocument/2006/relationships/ctrlProp" Target="../ctrlProps/ctrlProp15.xml" /><Relationship Id="rId26" Type="http://schemas.openxmlformats.org/officeDocument/2006/relationships/ctrlProp" Target="../ctrlProps/ctrlProp23.xml" /><Relationship Id="rId3" Type="http://schemas.openxmlformats.org/officeDocument/2006/relationships/vmlDrawing" Target="../drawings/vmlDrawing1.vml" /><Relationship Id="rId21" Type="http://schemas.openxmlformats.org/officeDocument/2006/relationships/ctrlProp" Target="../ctrlProps/ctrlProp18.xml" /><Relationship Id="rId7" Type="http://schemas.openxmlformats.org/officeDocument/2006/relationships/ctrlProp" Target="../ctrlProps/ctrlProp4.xml" /><Relationship Id="rId12" Type="http://schemas.openxmlformats.org/officeDocument/2006/relationships/ctrlProp" Target="../ctrlProps/ctrlProp9.xml" /><Relationship Id="rId17" Type="http://schemas.openxmlformats.org/officeDocument/2006/relationships/ctrlProp" Target="../ctrlProps/ctrlProp14.xml" /><Relationship Id="rId25" Type="http://schemas.openxmlformats.org/officeDocument/2006/relationships/ctrlProp" Target="../ctrlProps/ctrlProp22.xml" /><Relationship Id="rId2" Type="http://schemas.openxmlformats.org/officeDocument/2006/relationships/drawing" Target="../drawings/drawing4.xml" /><Relationship Id="rId16" Type="http://schemas.openxmlformats.org/officeDocument/2006/relationships/ctrlProp" Target="../ctrlProps/ctrlProp13.xml" /><Relationship Id="rId20" Type="http://schemas.openxmlformats.org/officeDocument/2006/relationships/ctrlProp" Target="../ctrlProps/ctrlProp17.xml" /><Relationship Id="rId29" Type="http://schemas.openxmlformats.org/officeDocument/2006/relationships/ctrlProp" Target="../ctrlProps/ctrlProp26.xml" /><Relationship Id="rId1" Type="http://schemas.openxmlformats.org/officeDocument/2006/relationships/printerSettings" Target="../printerSettings/printerSettings4.bin" /><Relationship Id="rId6" Type="http://schemas.openxmlformats.org/officeDocument/2006/relationships/ctrlProp" Target="../ctrlProps/ctrlProp3.xml" /><Relationship Id="rId11" Type="http://schemas.openxmlformats.org/officeDocument/2006/relationships/ctrlProp" Target="../ctrlProps/ctrlProp8.xml" /><Relationship Id="rId24" Type="http://schemas.openxmlformats.org/officeDocument/2006/relationships/ctrlProp" Target="../ctrlProps/ctrlProp21.xml" /><Relationship Id="rId5" Type="http://schemas.openxmlformats.org/officeDocument/2006/relationships/ctrlProp" Target="../ctrlProps/ctrlProp2.xml" /><Relationship Id="rId15" Type="http://schemas.openxmlformats.org/officeDocument/2006/relationships/ctrlProp" Target="../ctrlProps/ctrlProp12.xml" /><Relationship Id="rId23" Type="http://schemas.openxmlformats.org/officeDocument/2006/relationships/ctrlProp" Target="../ctrlProps/ctrlProp20.xml" /><Relationship Id="rId28" Type="http://schemas.openxmlformats.org/officeDocument/2006/relationships/ctrlProp" Target="../ctrlProps/ctrlProp25.xml" /><Relationship Id="rId10" Type="http://schemas.openxmlformats.org/officeDocument/2006/relationships/ctrlProp" Target="../ctrlProps/ctrlProp7.xml" /><Relationship Id="rId19" Type="http://schemas.openxmlformats.org/officeDocument/2006/relationships/ctrlProp" Target="../ctrlProps/ctrlProp16.xml" /><Relationship Id="rId4" Type="http://schemas.openxmlformats.org/officeDocument/2006/relationships/ctrlProp" Target="../ctrlProps/ctrlProp1.xml" /><Relationship Id="rId9" Type="http://schemas.openxmlformats.org/officeDocument/2006/relationships/ctrlProp" Target="../ctrlProps/ctrlProp6.xml" /><Relationship Id="rId14" Type="http://schemas.openxmlformats.org/officeDocument/2006/relationships/ctrlProp" Target="../ctrlProps/ctrlProp11.xml" /><Relationship Id="rId22" Type="http://schemas.openxmlformats.org/officeDocument/2006/relationships/ctrlProp" Target="../ctrlProps/ctrlProp19.xml" /><Relationship Id="rId27" Type="http://schemas.openxmlformats.org/officeDocument/2006/relationships/ctrlProp" Target="../ctrlProps/ctrlProp24.xml" /><Relationship Id="rId30" Type="http://schemas.openxmlformats.org/officeDocument/2006/relationships/ctrlProp" Target="../ctrlProps/ctrlProp27.xml"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 /><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 /><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 /><Relationship Id="rId1" Type="http://schemas.openxmlformats.org/officeDocument/2006/relationships/printerSettings" Target="../printerSettings/printerSettings8.bin" /></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 /><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theme="3" tint="-0.249977111117893"/>
  </sheetPr>
  <dimension ref="A1:M48"/>
  <sheetViews>
    <sheetView zoomScaleNormal="100" zoomScaleSheetLayoutView="70" workbookViewId="0"/>
  </sheetViews>
  <sheetFormatPr defaultColWidth="0" defaultRowHeight="15" zeroHeight="1" x14ac:dyDescent="0.2"/>
  <cols>
    <col min="1" max="1" width="4.70703125" customWidth="1"/>
    <col min="2" max="9" width="11.43359375" customWidth="1"/>
    <col min="10" max="10" width="3.765625" customWidth="1"/>
    <col min="11" max="12" width="11.43359375" customWidth="1"/>
    <col min="13" max="13" width="4.70703125" customWidth="1"/>
    <col min="14" max="16384" width="11.43359375" hidden="1"/>
  </cols>
  <sheetData>
    <row r="1" spans="1:13" s="248" customFormat="1" ht="20.100000000000001" customHeight="1" x14ac:dyDescent="0.2">
      <c r="A1" s="247"/>
      <c r="B1" s="247"/>
      <c r="C1" s="247"/>
      <c r="D1" s="247"/>
      <c r="E1" s="247"/>
      <c r="F1" s="247"/>
      <c r="G1" s="247"/>
      <c r="H1" s="247"/>
      <c r="I1" s="247"/>
      <c r="J1" s="247"/>
      <c r="K1" s="247"/>
      <c r="L1" s="247"/>
      <c r="M1" s="247"/>
    </row>
    <row r="2" spans="1:13" s="248" customFormat="1" x14ac:dyDescent="0.2">
      <c r="A2" s="247"/>
      <c r="B2" s="249"/>
      <c r="C2" s="249"/>
      <c r="D2" s="249"/>
      <c r="E2" s="249"/>
      <c r="F2" s="249"/>
      <c r="G2" s="249"/>
      <c r="H2" s="249"/>
      <c r="I2" s="249"/>
      <c r="J2" s="249"/>
      <c r="K2" s="249"/>
      <c r="L2" s="249"/>
      <c r="M2" s="247"/>
    </row>
    <row r="3" spans="1:13" s="248" customFormat="1" x14ac:dyDescent="0.2">
      <c r="A3" s="247"/>
      <c r="B3" s="249"/>
      <c r="C3" s="249"/>
      <c r="D3" s="249"/>
      <c r="E3" s="249"/>
      <c r="F3" s="249"/>
      <c r="G3" s="249"/>
      <c r="H3" s="249"/>
      <c r="I3" s="249"/>
      <c r="J3" s="249"/>
      <c r="K3" s="249"/>
      <c r="L3" s="249"/>
      <c r="M3" s="247"/>
    </row>
    <row r="4" spans="1:13" s="248" customFormat="1" x14ac:dyDescent="0.2">
      <c r="A4" s="247"/>
      <c r="B4" s="249"/>
      <c r="C4" s="249"/>
      <c r="D4" s="249"/>
      <c r="E4" s="249"/>
      <c r="F4" s="249"/>
      <c r="G4" s="249"/>
      <c r="H4" s="249"/>
      <c r="I4" s="249"/>
      <c r="J4" s="249"/>
      <c r="K4" s="249"/>
      <c r="L4" s="249"/>
      <c r="M4" s="247"/>
    </row>
    <row r="5" spans="1:13" s="248" customFormat="1" x14ac:dyDescent="0.2">
      <c r="A5" s="247"/>
      <c r="B5" s="249"/>
      <c r="C5" s="249"/>
      <c r="D5" s="249"/>
      <c r="E5" s="249"/>
      <c r="F5" s="249"/>
      <c r="G5" s="249"/>
      <c r="H5" s="249"/>
      <c r="I5" s="249"/>
      <c r="J5" s="249"/>
      <c r="K5" s="249"/>
      <c r="L5" s="249"/>
      <c r="M5" s="247"/>
    </row>
    <row r="6" spans="1:13" s="248" customFormat="1" x14ac:dyDescent="0.2">
      <c r="A6" s="247"/>
      <c r="B6" s="249"/>
      <c r="C6" s="249"/>
      <c r="D6" s="249"/>
      <c r="E6" s="249"/>
      <c r="F6" s="249"/>
      <c r="G6" s="249"/>
      <c r="H6" s="249"/>
      <c r="I6" s="249"/>
      <c r="J6" s="249"/>
      <c r="K6" s="249"/>
      <c r="L6" s="249"/>
      <c r="M6" s="247"/>
    </row>
    <row r="7" spans="1:13" s="248" customFormat="1" x14ac:dyDescent="0.2">
      <c r="A7" s="247"/>
      <c r="B7" s="249"/>
      <c r="C7" s="249"/>
      <c r="D7" s="249"/>
      <c r="E7" s="249"/>
      <c r="F7" s="249"/>
      <c r="G7" s="249"/>
      <c r="H7" s="249"/>
      <c r="I7" s="249"/>
      <c r="J7" s="249"/>
      <c r="K7" s="249"/>
      <c r="L7" s="249"/>
      <c r="M7" s="247"/>
    </row>
    <row r="8" spans="1:13" s="248" customFormat="1" x14ac:dyDescent="0.2">
      <c r="A8" s="247"/>
      <c r="B8" s="249"/>
      <c r="C8" s="249"/>
      <c r="D8" s="249"/>
      <c r="E8" s="249"/>
      <c r="F8" s="249"/>
      <c r="G8" s="249"/>
      <c r="H8" s="249"/>
      <c r="I8" s="249"/>
      <c r="J8" s="249"/>
      <c r="K8" s="249"/>
      <c r="L8" s="249"/>
      <c r="M8" s="247"/>
    </row>
    <row r="9" spans="1:13" s="248" customFormat="1" x14ac:dyDescent="0.2">
      <c r="A9" s="247"/>
      <c r="B9" s="249"/>
      <c r="C9" s="249"/>
      <c r="D9" s="249"/>
      <c r="E9" s="249"/>
      <c r="F9" s="249"/>
      <c r="G9" s="249"/>
      <c r="H9" s="249"/>
      <c r="I9" s="249"/>
      <c r="J9" s="249"/>
      <c r="K9" s="249"/>
      <c r="L9" s="249"/>
      <c r="M9" s="247"/>
    </row>
    <row r="10" spans="1:13" s="248" customFormat="1" x14ac:dyDescent="0.2">
      <c r="A10" s="247"/>
      <c r="B10" s="249"/>
      <c r="C10" s="249"/>
      <c r="D10" s="249"/>
      <c r="E10" s="249"/>
      <c r="F10" s="249"/>
      <c r="G10" s="249"/>
      <c r="H10" s="249"/>
      <c r="I10" s="249"/>
      <c r="J10" s="249"/>
      <c r="K10" s="249"/>
      <c r="L10" s="249"/>
      <c r="M10" s="247"/>
    </row>
    <row r="11" spans="1:13" s="248" customFormat="1" x14ac:dyDescent="0.2">
      <c r="A11" s="247"/>
      <c r="B11" s="249"/>
      <c r="C11" s="249"/>
      <c r="D11" s="249"/>
      <c r="E11" s="249"/>
      <c r="F11" s="249"/>
      <c r="G11" s="249"/>
      <c r="H11" s="249"/>
      <c r="I11" s="249"/>
      <c r="J11" s="249"/>
      <c r="K11" s="249"/>
      <c r="L11" s="249"/>
      <c r="M11" s="247"/>
    </row>
    <row r="12" spans="1:13" s="248" customFormat="1" x14ac:dyDescent="0.2">
      <c r="A12" s="247"/>
      <c r="B12" s="249"/>
      <c r="C12" s="249"/>
      <c r="D12" s="249"/>
      <c r="E12" s="249"/>
      <c r="F12" s="249"/>
      <c r="G12" s="249"/>
      <c r="H12" s="249"/>
      <c r="I12" s="249"/>
      <c r="J12" s="249"/>
      <c r="K12" s="249"/>
      <c r="L12" s="249"/>
      <c r="M12" s="247"/>
    </row>
    <row r="13" spans="1:13" s="248" customFormat="1" x14ac:dyDescent="0.2">
      <c r="A13" s="247"/>
      <c r="B13" s="249"/>
      <c r="C13" s="249"/>
      <c r="D13" s="249"/>
      <c r="E13" s="249"/>
      <c r="F13" s="249"/>
      <c r="G13" s="249"/>
      <c r="H13" s="249"/>
      <c r="I13" s="249"/>
      <c r="J13" s="249"/>
      <c r="K13" s="249"/>
      <c r="L13" s="249"/>
      <c r="M13" s="247"/>
    </row>
    <row r="14" spans="1:13" s="248" customFormat="1" x14ac:dyDescent="0.2">
      <c r="A14" s="247"/>
      <c r="B14" s="249"/>
      <c r="C14" s="249"/>
      <c r="D14" s="249"/>
      <c r="E14" s="249"/>
      <c r="F14" s="249"/>
      <c r="G14" s="249"/>
      <c r="H14" s="249"/>
      <c r="I14" s="249"/>
      <c r="J14" s="249"/>
      <c r="K14" s="249"/>
      <c r="L14" s="249"/>
      <c r="M14" s="247"/>
    </row>
    <row r="15" spans="1:13" s="248" customFormat="1" x14ac:dyDescent="0.2">
      <c r="A15" s="247"/>
      <c r="B15" s="249"/>
      <c r="C15" s="249"/>
      <c r="D15" s="249"/>
      <c r="E15" s="249"/>
      <c r="F15" s="249"/>
      <c r="G15" s="249"/>
      <c r="H15" s="249"/>
      <c r="I15" s="249"/>
      <c r="J15" s="249"/>
      <c r="K15" s="249"/>
      <c r="L15" s="249"/>
      <c r="M15" s="247"/>
    </row>
    <row r="16" spans="1:13" s="248" customFormat="1" x14ac:dyDescent="0.2">
      <c r="A16" s="247"/>
      <c r="B16" s="249"/>
      <c r="C16" s="249"/>
      <c r="D16" s="249"/>
      <c r="E16" s="249"/>
      <c r="F16" s="249"/>
      <c r="G16" s="249"/>
      <c r="H16" s="249"/>
      <c r="I16" s="249"/>
      <c r="J16" s="249"/>
      <c r="K16" s="249"/>
      <c r="L16" s="249"/>
      <c r="M16" s="247"/>
    </row>
    <row r="17" spans="1:13" s="248" customFormat="1" x14ac:dyDescent="0.2">
      <c r="A17" s="247"/>
      <c r="B17" s="249"/>
      <c r="C17" s="249"/>
      <c r="D17" s="249"/>
      <c r="E17" s="249"/>
      <c r="F17" s="249"/>
      <c r="G17" s="249"/>
      <c r="H17" s="249"/>
      <c r="I17" s="249"/>
      <c r="J17" s="249"/>
      <c r="K17" s="249"/>
      <c r="L17" s="249"/>
      <c r="M17" s="247"/>
    </row>
    <row r="18" spans="1:13" s="248" customFormat="1" x14ac:dyDescent="0.2">
      <c r="A18" s="247"/>
      <c r="B18" s="249"/>
      <c r="C18" s="249"/>
      <c r="D18" s="249"/>
      <c r="E18" s="249"/>
      <c r="F18" s="249"/>
      <c r="G18" s="249"/>
      <c r="H18" s="249"/>
      <c r="I18" s="249"/>
      <c r="J18" s="249"/>
      <c r="K18" s="249"/>
      <c r="L18" s="249"/>
      <c r="M18" s="247"/>
    </row>
    <row r="19" spans="1:13" s="248" customFormat="1" x14ac:dyDescent="0.2">
      <c r="A19" s="247"/>
      <c r="B19" s="249"/>
      <c r="C19" s="249"/>
      <c r="D19" s="249"/>
      <c r="E19" s="249"/>
      <c r="F19" s="249"/>
      <c r="G19" s="249"/>
      <c r="H19" s="249"/>
      <c r="I19" s="249"/>
      <c r="J19" s="249"/>
      <c r="K19" s="249"/>
      <c r="L19" s="249"/>
      <c r="M19" s="247"/>
    </row>
    <row r="20" spans="1:13" s="248" customFormat="1" x14ac:dyDescent="0.2">
      <c r="A20" s="247"/>
      <c r="B20" s="249"/>
      <c r="C20" s="249"/>
      <c r="D20" s="249"/>
      <c r="E20" s="249"/>
      <c r="F20" s="249"/>
      <c r="G20" s="249"/>
      <c r="H20" s="249"/>
      <c r="I20" s="249"/>
      <c r="J20" s="249"/>
      <c r="K20" s="249"/>
      <c r="L20" s="249"/>
      <c r="M20" s="247"/>
    </row>
    <row r="21" spans="1:13" s="248" customFormat="1" x14ac:dyDescent="0.2">
      <c r="A21" s="247"/>
      <c r="B21" s="249"/>
      <c r="C21" s="249"/>
      <c r="D21" s="249"/>
      <c r="E21" s="249"/>
      <c r="F21" s="249"/>
      <c r="G21" s="249"/>
      <c r="H21" s="249"/>
      <c r="I21" s="249"/>
      <c r="J21" s="249"/>
      <c r="K21" s="249"/>
      <c r="L21" s="249"/>
      <c r="M21" s="247"/>
    </row>
    <row r="22" spans="1:13" s="248" customFormat="1" x14ac:dyDescent="0.2">
      <c r="A22" s="247"/>
      <c r="B22" s="249"/>
      <c r="C22" s="249"/>
      <c r="D22" s="249"/>
      <c r="E22" s="249"/>
      <c r="F22" s="249"/>
      <c r="G22" s="249"/>
      <c r="H22" s="249"/>
      <c r="I22" s="249"/>
      <c r="J22" s="249"/>
      <c r="K22" s="249"/>
      <c r="L22" s="249"/>
      <c r="M22" s="247"/>
    </row>
    <row r="23" spans="1:13" s="248" customFormat="1" x14ac:dyDescent="0.2">
      <c r="A23" s="247"/>
      <c r="B23" s="249"/>
      <c r="C23" s="249"/>
      <c r="D23" s="249"/>
      <c r="E23" s="249"/>
      <c r="F23" s="249"/>
      <c r="G23" s="249"/>
      <c r="H23" s="249"/>
      <c r="I23" s="249"/>
      <c r="J23" s="249"/>
      <c r="K23" s="249"/>
      <c r="L23" s="249"/>
      <c r="M23" s="247"/>
    </row>
    <row r="24" spans="1:13" s="248" customFormat="1" x14ac:dyDescent="0.2">
      <c r="A24" s="247"/>
      <c r="B24" s="249"/>
      <c r="C24" s="249"/>
      <c r="D24" s="249"/>
      <c r="E24" s="249"/>
      <c r="F24" s="249"/>
      <c r="G24" s="249"/>
      <c r="H24" s="249"/>
      <c r="I24" s="249"/>
      <c r="J24" s="249"/>
      <c r="K24" s="249"/>
      <c r="L24" s="249"/>
      <c r="M24" s="247"/>
    </row>
    <row r="25" spans="1:13" s="248" customFormat="1" x14ac:dyDescent="0.2">
      <c r="A25" s="247"/>
      <c r="B25" s="249"/>
      <c r="C25" s="249"/>
      <c r="D25" s="249"/>
      <c r="E25" s="249"/>
      <c r="F25" s="249"/>
      <c r="G25" s="249"/>
      <c r="H25" s="249"/>
      <c r="I25" s="249"/>
      <c r="J25" s="249"/>
      <c r="K25" s="249"/>
      <c r="L25" s="249"/>
      <c r="M25" s="247"/>
    </row>
    <row r="26" spans="1:13" s="248" customFormat="1" x14ac:dyDescent="0.2">
      <c r="A26" s="247"/>
      <c r="B26" s="249"/>
      <c r="C26" s="249"/>
      <c r="D26" s="249"/>
      <c r="E26" s="249"/>
      <c r="F26" s="249"/>
      <c r="G26" s="249"/>
      <c r="H26" s="249"/>
      <c r="I26" s="249"/>
      <c r="J26" s="249"/>
      <c r="K26" s="249"/>
      <c r="L26" s="249"/>
      <c r="M26" s="247"/>
    </row>
    <row r="27" spans="1:13" s="248" customFormat="1" x14ac:dyDescent="0.2">
      <c r="A27" s="247"/>
      <c r="B27" s="249"/>
      <c r="C27" s="249"/>
      <c r="D27" s="249"/>
      <c r="E27" s="249"/>
      <c r="F27" s="249"/>
      <c r="G27" s="249"/>
      <c r="H27" s="249"/>
      <c r="I27" s="249"/>
      <c r="J27" s="249"/>
      <c r="K27" s="249"/>
      <c r="L27" s="249"/>
      <c r="M27" s="247"/>
    </row>
    <row r="28" spans="1:13" s="248" customFormat="1" x14ac:dyDescent="0.2">
      <c r="A28" s="247"/>
      <c r="B28" s="249"/>
      <c r="C28" s="249"/>
      <c r="D28" s="249"/>
      <c r="E28" s="249"/>
      <c r="F28" s="249"/>
      <c r="G28" s="249"/>
      <c r="H28" s="249"/>
      <c r="I28" s="249"/>
      <c r="J28" s="249"/>
      <c r="K28" s="249"/>
      <c r="L28" s="249"/>
      <c r="M28" s="247"/>
    </row>
    <row r="29" spans="1:13" s="248" customFormat="1" x14ac:dyDescent="0.2">
      <c r="A29" s="247"/>
      <c r="B29" s="249"/>
      <c r="C29" s="249"/>
      <c r="D29" s="249"/>
      <c r="E29" s="249"/>
      <c r="F29" s="249"/>
      <c r="G29" s="249"/>
      <c r="H29" s="249"/>
      <c r="I29" s="249"/>
      <c r="J29" s="249"/>
      <c r="K29" s="249"/>
      <c r="L29" s="249"/>
      <c r="M29" s="247"/>
    </row>
    <row r="30" spans="1:13" s="248" customFormat="1" x14ac:dyDescent="0.2">
      <c r="A30" s="247"/>
      <c r="B30" s="249"/>
      <c r="C30" s="249"/>
      <c r="D30" s="249"/>
      <c r="E30" s="249"/>
      <c r="F30" s="249"/>
      <c r="G30" s="249"/>
      <c r="H30" s="249"/>
      <c r="I30" s="249"/>
      <c r="J30" s="249"/>
      <c r="K30" s="249"/>
      <c r="L30" s="249"/>
      <c r="M30" s="247"/>
    </row>
    <row r="31" spans="1:13" s="248" customFormat="1" x14ac:dyDescent="0.2">
      <c r="A31" s="247"/>
      <c r="B31" s="249"/>
      <c r="C31" s="249"/>
      <c r="D31" s="249"/>
      <c r="E31" s="249"/>
      <c r="F31" s="249"/>
      <c r="G31" s="249"/>
      <c r="H31" s="249"/>
      <c r="I31" s="249"/>
      <c r="J31" s="249"/>
      <c r="K31" s="249"/>
      <c r="L31" s="249"/>
      <c r="M31" s="247"/>
    </row>
    <row r="32" spans="1:13" s="248" customFormat="1" x14ac:dyDescent="0.2">
      <c r="A32" s="247"/>
      <c r="B32" s="249"/>
      <c r="C32" s="249"/>
      <c r="D32" s="249"/>
      <c r="E32" s="249"/>
      <c r="F32" s="249"/>
      <c r="G32" s="249"/>
      <c r="H32" s="249"/>
      <c r="I32" s="249"/>
      <c r="J32" s="249"/>
      <c r="K32" s="249"/>
      <c r="L32" s="249"/>
      <c r="M32" s="247"/>
    </row>
    <row r="33" spans="1:13" s="248" customFormat="1" x14ac:dyDescent="0.2">
      <c r="A33" s="247"/>
      <c r="B33" s="249"/>
      <c r="C33" s="249"/>
      <c r="D33" s="249"/>
      <c r="E33" s="249"/>
      <c r="F33" s="249"/>
      <c r="G33" s="249"/>
      <c r="H33" s="249"/>
      <c r="I33" s="249"/>
      <c r="J33" s="249"/>
      <c r="K33" s="249"/>
      <c r="L33" s="249"/>
      <c r="M33" s="247"/>
    </row>
    <row r="34" spans="1:13" s="248" customFormat="1" x14ac:dyDescent="0.2">
      <c r="A34" s="247"/>
      <c r="B34" s="249"/>
      <c r="C34" s="249"/>
      <c r="D34" s="249"/>
      <c r="E34" s="249"/>
      <c r="F34" s="249"/>
      <c r="G34" s="249"/>
      <c r="H34" s="249"/>
      <c r="I34" s="249"/>
      <c r="J34" s="249"/>
      <c r="K34" s="249"/>
      <c r="L34" s="249"/>
      <c r="M34" s="247"/>
    </row>
    <row r="35" spans="1:13" s="248" customFormat="1" x14ac:dyDescent="0.2">
      <c r="A35" s="247"/>
      <c r="B35" s="249"/>
      <c r="C35" s="249"/>
      <c r="D35" s="249"/>
      <c r="E35" s="249"/>
      <c r="F35" s="249"/>
      <c r="G35" s="249"/>
      <c r="H35" s="249"/>
      <c r="I35" s="249"/>
      <c r="J35" s="249"/>
      <c r="K35" s="249"/>
      <c r="L35" s="249"/>
      <c r="M35" s="247"/>
    </row>
    <row r="36" spans="1:13" s="248" customFormat="1" x14ac:dyDescent="0.2">
      <c r="A36" s="247"/>
      <c r="B36" s="249"/>
      <c r="C36" s="249"/>
      <c r="D36" s="249"/>
      <c r="E36" s="249"/>
      <c r="F36" s="249"/>
      <c r="G36" s="249"/>
      <c r="H36" s="249"/>
      <c r="I36" s="249"/>
      <c r="J36" s="249"/>
      <c r="K36" s="249"/>
      <c r="L36" s="249"/>
      <c r="M36" s="247"/>
    </row>
    <row r="37" spans="1:13" s="248" customFormat="1" ht="20.100000000000001" customHeight="1" x14ac:dyDescent="0.2">
      <c r="A37" s="247"/>
      <c r="B37" s="247"/>
      <c r="C37" s="247"/>
      <c r="D37" s="247"/>
      <c r="E37" s="247"/>
      <c r="F37" s="247"/>
      <c r="G37" s="247"/>
      <c r="H37" s="247"/>
      <c r="I37" s="247"/>
      <c r="J37" s="247"/>
      <c r="K37" s="247"/>
      <c r="L37" s="247"/>
      <c r="M37" s="247"/>
    </row>
    <row r="38" spans="1:13" hidden="1" x14ac:dyDescent="0.2"/>
    <row r="39" spans="1:13" hidden="1" x14ac:dyDescent="0.2"/>
    <row r="40" spans="1:13" hidden="1" x14ac:dyDescent="0.2"/>
    <row r="41" spans="1:13" hidden="1" x14ac:dyDescent="0.2"/>
    <row r="42" spans="1:13" hidden="1" x14ac:dyDescent="0.2"/>
    <row r="43" spans="1:13" hidden="1" x14ac:dyDescent="0.2"/>
    <row r="44" spans="1:13" hidden="1" x14ac:dyDescent="0.2"/>
    <row r="45" spans="1:13" hidden="1" x14ac:dyDescent="0.2"/>
    <row r="46" spans="1:13" hidden="1" x14ac:dyDescent="0.2"/>
    <row r="47" spans="1:13" hidden="1" x14ac:dyDescent="0.2"/>
    <row r="48" spans="1:13" hidden="1" x14ac:dyDescent="0.2"/>
  </sheetData>
  <sheetProtection sheet="1" objects="1" scenarios="1" selectLockedCells="1"/>
  <pageMargins left="0.7" right="0.7" top="0.75" bottom="0.75" header="0.3" footer="0.3"/>
  <pageSetup scale="92" orientation="landscape"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tabColor rgb="FF00B050"/>
  </sheetPr>
  <dimension ref="A1:AI115"/>
  <sheetViews>
    <sheetView zoomScale="70" zoomScaleNormal="70" workbookViewId="0">
      <selection activeCell="B10" sqref="B10"/>
    </sheetView>
  </sheetViews>
  <sheetFormatPr defaultColWidth="0" defaultRowHeight="15.75" zeroHeight="1" x14ac:dyDescent="0.2"/>
  <cols>
    <col min="1" max="1" width="10.22265625" style="277" bestFit="1" customWidth="1"/>
    <col min="2" max="2" width="16.0078125" style="277" customWidth="1"/>
    <col min="3" max="3" width="19.7734375" style="277" bestFit="1" customWidth="1"/>
    <col min="4" max="4" width="16.0078125" style="276" bestFit="1" customWidth="1"/>
    <col min="5" max="5" width="31.34375" style="276" customWidth="1"/>
    <col min="6" max="6" width="18.16015625" style="277" bestFit="1" customWidth="1"/>
    <col min="7" max="7" width="26.36328125" style="277" bestFit="1" customWidth="1"/>
    <col min="8" max="8" width="8.875" style="277" customWidth="1"/>
    <col min="9" max="9" width="12.23828125" style="277" bestFit="1" customWidth="1"/>
    <col min="10" max="10" width="11.43359375" style="277" customWidth="1"/>
    <col min="11" max="11" width="5.51171875" style="277" bestFit="1" customWidth="1"/>
    <col min="12" max="12" width="5.37890625" style="277" bestFit="1" customWidth="1"/>
    <col min="13" max="13" width="8.33984375" style="277" bestFit="1" customWidth="1"/>
    <col min="14" max="14" width="12.375" style="277" bestFit="1" customWidth="1"/>
    <col min="15" max="15" width="12.10546875" style="277" bestFit="1" customWidth="1"/>
    <col min="16" max="16" width="12.5078125" style="277" bestFit="1" customWidth="1"/>
    <col min="17" max="17" width="20.71484375" style="277" bestFit="1" customWidth="1"/>
    <col min="18" max="18" width="10.22265625" style="277" bestFit="1" customWidth="1"/>
    <col min="19" max="19" width="7.93359375" style="177" hidden="1" customWidth="1"/>
    <col min="20" max="21" width="11.56640625" style="177" hidden="1" customWidth="1"/>
    <col min="22" max="22" width="11.296875" style="177" hidden="1" customWidth="1"/>
    <col min="23" max="23" width="7.3984375" style="177" hidden="1" customWidth="1"/>
    <col min="24" max="24" width="19.90625" style="177" hidden="1" customWidth="1"/>
    <col min="25" max="25" width="8.875" style="177" hidden="1" customWidth="1"/>
    <col min="26" max="28" width="6.859375" style="177" hidden="1" customWidth="1"/>
    <col min="29" max="29" width="8.7421875" style="177" hidden="1" customWidth="1"/>
    <col min="30" max="30" width="6.859375" style="177" hidden="1" customWidth="1"/>
    <col min="31" max="35" width="0" style="177" hidden="1" customWidth="1"/>
    <col min="36" max="16384" width="9.14453125" style="177" hidden="1"/>
  </cols>
  <sheetData>
    <row r="1" spans="1:35" x14ac:dyDescent="0.2">
      <c r="A1" s="447"/>
      <c r="B1" s="447"/>
      <c r="C1" s="447"/>
      <c r="D1" s="447"/>
      <c r="E1" s="447"/>
      <c r="F1" s="447"/>
      <c r="G1" s="447"/>
      <c r="H1" s="447"/>
      <c r="I1" s="447"/>
      <c r="J1" s="447"/>
      <c r="K1" s="447"/>
      <c r="L1" s="447"/>
      <c r="M1" s="447"/>
      <c r="N1" s="447"/>
      <c r="O1" s="447"/>
    </row>
    <row r="2" spans="1:35" x14ac:dyDescent="0.2">
      <c r="A2" s="448" t="s">
        <v>361</v>
      </c>
      <c r="B2" s="448"/>
      <c r="C2" s="448"/>
      <c r="D2" s="448"/>
      <c r="E2" s="448"/>
      <c r="F2" s="448"/>
      <c r="G2" s="448"/>
      <c r="H2" s="448"/>
      <c r="I2" s="448"/>
      <c r="J2" s="448"/>
      <c r="K2" s="448"/>
      <c r="L2" s="448"/>
      <c r="M2" s="448"/>
      <c r="N2" s="448"/>
      <c r="O2" s="448"/>
    </row>
    <row r="3" spans="1:35" x14ac:dyDescent="0.2">
      <c r="E3" s="260" t="s">
        <v>326</v>
      </c>
      <c r="F3" s="275">
        <f>F8</f>
        <v>6</v>
      </c>
      <c r="G3" s="276"/>
      <c r="H3" s="276"/>
      <c r="I3" s="276"/>
      <c r="J3" s="276"/>
      <c r="K3" s="276"/>
      <c r="L3" s="276"/>
      <c r="M3" s="276"/>
      <c r="N3" s="276"/>
      <c r="O3" s="276"/>
    </row>
    <row r="4" spans="1:35" ht="21" x14ac:dyDescent="0.2">
      <c r="A4" s="446" t="s">
        <v>329</v>
      </c>
      <c r="B4" s="446"/>
      <c r="C4" s="446"/>
      <c r="E4" s="260" t="s">
        <v>362</v>
      </c>
      <c r="F4" s="186">
        <v>5</v>
      </c>
      <c r="G4" s="184" t="s">
        <v>325</v>
      </c>
      <c r="H4" s="217">
        <f>Y5</f>
        <v>20.691497640995799</v>
      </c>
      <c r="I4" s="184" t="s">
        <v>327</v>
      </c>
      <c r="J4" s="217">
        <f>P63</f>
        <v>49.5</v>
      </c>
      <c r="K4" s="278" t="str">
        <f>IF(F4&gt;F3,"Error: La profunidad de la huella máxima no puede ser MAYOR que el Tirante máximo","")</f>
        <v/>
      </c>
    </row>
    <row r="5" spans="1:35" x14ac:dyDescent="0.2">
      <c r="A5" s="446"/>
      <c r="B5" s="446"/>
      <c r="C5" s="446"/>
      <c r="D5" s="279" t="s">
        <v>310</v>
      </c>
      <c r="E5" s="277"/>
      <c r="I5" s="277" t="s">
        <v>324</v>
      </c>
      <c r="K5" s="279"/>
      <c r="L5" s="279"/>
      <c r="M5" s="279"/>
      <c r="S5" s="178" t="s">
        <v>323</v>
      </c>
      <c r="T5" s="178" t="s">
        <v>322</v>
      </c>
      <c r="U5" s="178" t="s">
        <v>321</v>
      </c>
      <c r="V5" s="178" t="s">
        <v>320</v>
      </c>
      <c r="W5" s="179" t="s">
        <v>319</v>
      </c>
      <c r="X5" s="180" t="s">
        <v>318</v>
      </c>
      <c r="Y5" s="181">
        <f>SUM(AD8:AD58)</f>
        <v>20.691497640995799</v>
      </c>
    </row>
    <row r="6" spans="1:35" x14ac:dyDescent="0.2">
      <c r="A6" s="446" t="s">
        <v>317</v>
      </c>
      <c r="B6" s="446" t="s">
        <v>316</v>
      </c>
      <c r="C6" s="446" t="s">
        <v>315</v>
      </c>
      <c r="D6" s="279" t="s">
        <v>314</v>
      </c>
      <c r="E6" s="279" t="s">
        <v>313</v>
      </c>
      <c r="F6" s="284" t="s">
        <v>312</v>
      </c>
      <c r="G6" s="277" t="s">
        <v>311</v>
      </c>
      <c r="H6" s="356">
        <f>F4</f>
        <v>5</v>
      </c>
      <c r="I6" s="279">
        <f>SUM(I8:I58)</f>
        <v>11</v>
      </c>
      <c r="J6" s="279" t="s">
        <v>310</v>
      </c>
      <c r="K6" s="279" t="s">
        <v>309</v>
      </c>
      <c r="L6" s="279" t="s">
        <v>308</v>
      </c>
      <c r="M6" s="279" t="s">
        <v>307</v>
      </c>
      <c r="N6" s="277" t="s">
        <v>306</v>
      </c>
      <c r="O6" s="280" t="s">
        <v>305</v>
      </c>
      <c r="P6" s="280" t="s">
        <v>304</v>
      </c>
      <c r="Q6" s="280" t="s">
        <v>303</v>
      </c>
      <c r="R6" s="279" t="s">
        <v>294</v>
      </c>
      <c r="S6" s="176"/>
      <c r="T6" s="176"/>
      <c r="U6" s="176"/>
      <c r="V6" s="176"/>
      <c r="W6" s="182"/>
      <c r="X6" s="177" t="s">
        <v>302</v>
      </c>
      <c r="Y6" s="177" t="s">
        <v>301</v>
      </c>
      <c r="Z6" s="177" t="s">
        <v>300</v>
      </c>
      <c r="AA6" s="177" t="s">
        <v>299</v>
      </c>
      <c r="AB6" s="177" t="s">
        <v>298</v>
      </c>
      <c r="AC6" s="177" t="s">
        <v>297</v>
      </c>
      <c r="AD6" s="177" t="s">
        <v>296</v>
      </c>
      <c r="AF6" s="176"/>
      <c r="AG6" s="176"/>
      <c r="AH6" s="176"/>
      <c r="AI6" s="176"/>
    </row>
    <row r="7" spans="1:35" x14ac:dyDescent="0.2">
      <c r="A7" s="446"/>
      <c r="B7" s="446"/>
      <c r="C7" s="446"/>
      <c r="D7" s="285"/>
      <c r="E7" s="285"/>
      <c r="F7" s="276"/>
      <c r="G7" s="276"/>
      <c r="H7" s="357"/>
      <c r="I7" s="285"/>
      <c r="J7" s="276"/>
      <c r="K7" s="276"/>
      <c r="L7" s="276"/>
      <c r="M7" s="276"/>
      <c r="N7" s="276"/>
      <c r="O7" s="276"/>
      <c r="P7" s="276"/>
      <c r="Q7" s="276"/>
      <c r="R7" s="276"/>
      <c r="S7" s="176"/>
      <c r="T7" s="176"/>
      <c r="U7" s="176"/>
      <c r="V7" s="176"/>
      <c r="W7" s="182"/>
      <c r="X7" s="176"/>
      <c r="Y7" s="176"/>
      <c r="Z7" s="176"/>
      <c r="AA7" s="176"/>
      <c r="AB7" s="176"/>
      <c r="AC7" s="176"/>
      <c r="AD7" s="176"/>
      <c r="AE7" s="176"/>
      <c r="AF7" s="176"/>
      <c r="AG7" s="176"/>
      <c r="AH7" s="176"/>
      <c r="AI7" s="176"/>
    </row>
    <row r="8" spans="1:35" x14ac:dyDescent="0.2">
      <c r="A8" s="188">
        <v>1</v>
      </c>
      <c r="B8" s="185">
        <v>0</v>
      </c>
      <c r="C8" s="186">
        <v>0</v>
      </c>
      <c r="D8" s="286">
        <f t="shared" ref="D8:D39" si="0">+B8-B7</f>
        <v>0</v>
      </c>
      <c r="E8" s="277">
        <f t="shared" ref="E8:E39" si="1">MAX(C7:C8)</f>
        <v>0</v>
      </c>
      <c r="F8" s="287">
        <f>MAX(C8:C58)</f>
        <v>6</v>
      </c>
      <c r="G8" s="281">
        <f t="shared" ref="G8:G39" si="2">ABS(E8-F8)</f>
        <v>6</v>
      </c>
      <c r="H8" s="287">
        <f>+H6</f>
        <v>5</v>
      </c>
      <c r="I8" s="279" t="str">
        <f t="shared" ref="I8:I39" si="3">IF(H8&gt;G8,1,"")</f>
        <v/>
      </c>
      <c r="J8" s="286">
        <f t="shared" ref="J8:J39" si="4">+D8</f>
        <v>0</v>
      </c>
      <c r="L8" s="277">
        <f t="shared" ref="L8:L39" si="5">+K9</f>
        <v>0</v>
      </c>
      <c r="M8" s="277">
        <f t="shared" ref="M8:M39" si="6">MAX(K8:L8)</f>
        <v>0</v>
      </c>
      <c r="N8" s="281">
        <f>+H6</f>
        <v>5</v>
      </c>
      <c r="O8" s="281">
        <f t="shared" ref="O8:O39" si="7">MIN(C7:C8)</f>
        <v>0</v>
      </c>
      <c r="P8" s="281">
        <f t="shared" ref="P8:P39" si="8">+E8</f>
        <v>0</v>
      </c>
      <c r="Q8" s="281">
        <f t="shared" ref="Q8:Q39" si="9">+ABS(P8-O8)</f>
        <v>0</v>
      </c>
      <c r="R8" s="281" t="str">
        <f t="shared" ref="R8:R39" si="10">IF(J8=0,"",(J8*M8)/Q8)</f>
        <v/>
      </c>
      <c r="S8" s="183" t="str">
        <f t="shared" ref="S8:S39" si="11">IF(I8="","",R8)</f>
        <v/>
      </c>
      <c r="T8" s="183" t="str">
        <f t="shared" ref="T8:T39" si="12">IF(K8="","",IF(SUM(K8:L8)&lt;=0,"",IF(K8=0,1,"")))</f>
        <v/>
      </c>
      <c r="U8" s="183" t="str">
        <f t="shared" ref="U8:U39" si="13">IF(SUM(K8:L8)&lt;=0,"",IF(L8=0,1,""))</f>
        <v/>
      </c>
      <c r="V8" s="183" t="str">
        <f t="shared" ref="V8:V39" si="14">IF(SUM(T8:U8)=0,"",1)</f>
        <v/>
      </c>
      <c r="W8" s="181" t="str">
        <f t="shared" ref="W8:W39" si="15">IF(I8="","",IF(I8=1,IF(V8=1,((K8+L8)/2)*R8,((K8+L8)/2)*J8)))</f>
        <v/>
      </c>
      <c r="X8" s="183">
        <f t="shared" ref="X8:X39" si="16">IF(W8="",0,IF(V8=1,(R8*R8),(J8*J8)))</f>
        <v>0</v>
      </c>
      <c r="Y8" s="183">
        <f t="shared" ref="Y8:Y39" si="17">MIN(K8:L8)</f>
        <v>0</v>
      </c>
      <c r="Z8" s="183">
        <f t="shared" ref="Z8:Z39" si="18">M8</f>
        <v>0</v>
      </c>
      <c r="AA8" s="183">
        <f t="shared" ref="AA8:AA39" si="19">ABS(Z8-Y8)</f>
        <v>0</v>
      </c>
      <c r="AB8" s="183">
        <f t="shared" ref="AB8:AB39" si="20">AA8*AA8</f>
        <v>0</v>
      </c>
      <c r="AC8" s="183">
        <f t="shared" ref="AC8:AC39" si="21">X8+AB8</f>
        <v>0</v>
      </c>
      <c r="AD8" s="183" t="str">
        <f t="shared" ref="AD8:AD39" si="22">IF(W8="","",SQRT(AC8))</f>
        <v/>
      </c>
      <c r="AG8" s="176"/>
      <c r="AH8" s="176"/>
      <c r="AI8" s="176"/>
    </row>
    <row r="9" spans="1:35" x14ac:dyDescent="0.2">
      <c r="A9" s="188">
        <v>2</v>
      </c>
      <c r="B9" s="185">
        <v>1.5</v>
      </c>
      <c r="C9" s="186">
        <v>1</v>
      </c>
      <c r="D9" s="286">
        <f t="shared" si="0"/>
        <v>1.5</v>
      </c>
      <c r="E9" s="358">
        <f t="shared" si="1"/>
        <v>1</v>
      </c>
      <c r="F9" s="287">
        <f t="shared" ref="F9:F40" si="23">+F8</f>
        <v>6</v>
      </c>
      <c r="G9" s="281">
        <f t="shared" si="2"/>
        <v>5</v>
      </c>
      <c r="H9" s="287">
        <f t="shared" ref="H9:H40" si="24">+H8</f>
        <v>5</v>
      </c>
      <c r="I9" s="279" t="str">
        <f t="shared" si="3"/>
        <v/>
      </c>
      <c r="J9" s="286">
        <f t="shared" si="4"/>
        <v>1.5</v>
      </c>
      <c r="K9" s="277">
        <f t="shared" ref="K9:K40" si="25">IF((H8-F8+C8)&lt;0,0,(H8-F8+C8))</f>
        <v>0</v>
      </c>
      <c r="L9" s="277">
        <f t="shared" si="5"/>
        <v>0</v>
      </c>
      <c r="M9" s="277">
        <f t="shared" si="6"/>
        <v>0</v>
      </c>
      <c r="N9" s="281">
        <f t="shared" ref="N9:N40" si="26">+N8</f>
        <v>5</v>
      </c>
      <c r="O9" s="281">
        <f t="shared" si="7"/>
        <v>0</v>
      </c>
      <c r="P9" s="281">
        <f t="shared" si="8"/>
        <v>1</v>
      </c>
      <c r="Q9" s="281">
        <f t="shared" si="9"/>
        <v>1</v>
      </c>
      <c r="R9" s="281">
        <f t="shared" si="10"/>
        <v>0</v>
      </c>
      <c r="S9" s="183" t="str">
        <f t="shared" si="11"/>
        <v/>
      </c>
      <c r="T9" s="183" t="str">
        <f t="shared" si="12"/>
        <v/>
      </c>
      <c r="U9" s="183" t="str">
        <f t="shared" si="13"/>
        <v/>
      </c>
      <c r="V9" s="183" t="str">
        <f t="shared" si="14"/>
        <v/>
      </c>
      <c r="W9" s="181" t="str">
        <f t="shared" si="15"/>
        <v/>
      </c>
      <c r="X9" s="183">
        <f t="shared" si="16"/>
        <v>0</v>
      </c>
      <c r="Y9" s="183">
        <f t="shared" si="17"/>
        <v>0</v>
      </c>
      <c r="Z9" s="183">
        <f t="shared" si="18"/>
        <v>0</v>
      </c>
      <c r="AA9" s="183">
        <f t="shared" si="19"/>
        <v>0</v>
      </c>
      <c r="AB9" s="183">
        <f t="shared" si="20"/>
        <v>0</v>
      </c>
      <c r="AC9" s="183">
        <f t="shared" si="21"/>
        <v>0</v>
      </c>
      <c r="AD9" s="183" t="str">
        <f t="shared" si="22"/>
        <v/>
      </c>
      <c r="AG9" s="176"/>
      <c r="AH9" s="176"/>
      <c r="AI9" s="176"/>
    </row>
    <row r="10" spans="1:35" x14ac:dyDescent="0.2">
      <c r="A10" s="188">
        <v>3</v>
      </c>
      <c r="B10" s="185">
        <v>2</v>
      </c>
      <c r="C10" s="186">
        <v>2</v>
      </c>
      <c r="D10" s="286">
        <f t="shared" si="0"/>
        <v>0.5</v>
      </c>
      <c r="E10" s="358">
        <f t="shared" si="1"/>
        <v>2</v>
      </c>
      <c r="F10" s="287">
        <f t="shared" si="23"/>
        <v>6</v>
      </c>
      <c r="G10" s="281">
        <f t="shared" si="2"/>
        <v>4</v>
      </c>
      <c r="H10" s="287">
        <f t="shared" si="24"/>
        <v>5</v>
      </c>
      <c r="I10" s="279">
        <f t="shared" si="3"/>
        <v>1</v>
      </c>
      <c r="J10" s="286">
        <f t="shared" si="4"/>
        <v>0.5</v>
      </c>
      <c r="K10" s="277">
        <f t="shared" si="25"/>
        <v>0</v>
      </c>
      <c r="L10" s="277">
        <f t="shared" si="5"/>
        <v>1</v>
      </c>
      <c r="M10" s="277">
        <f t="shared" si="6"/>
        <v>1</v>
      </c>
      <c r="N10" s="277">
        <f t="shared" si="26"/>
        <v>5</v>
      </c>
      <c r="O10" s="281">
        <f t="shared" si="7"/>
        <v>1</v>
      </c>
      <c r="P10" s="281">
        <f t="shared" si="8"/>
        <v>2</v>
      </c>
      <c r="Q10" s="281">
        <f t="shared" si="9"/>
        <v>1</v>
      </c>
      <c r="R10" s="281">
        <f t="shared" si="10"/>
        <v>0.5</v>
      </c>
      <c r="S10" s="183">
        <f t="shared" si="11"/>
        <v>0.5</v>
      </c>
      <c r="T10" s="183">
        <f t="shared" si="12"/>
        <v>1</v>
      </c>
      <c r="U10" s="183" t="str">
        <f t="shared" si="13"/>
        <v/>
      </c>
      <c r="V10" s="183">
        <f t="shared" si="14"/>
        <v>1</v>
      </c>
      <c r="W10" s="181">
        <f t="shared" si="15"/>
        <v>0.25</v>
      </c>
      <c r="X10" s="183">
        <f t="shared" si="16"/>
        <v>0.25</v>
      </c>
      <c r="Y10" s="183">
        <f t="shared" si="17"/>
        <v>0</v>
      </c>
      <c r="Z10" s="183">
        <f t="shared" si="18"/>
        <v>1</v>
      </c>
      <c r="AA10" s="183">
        <f t="shared" si="19"/>
        <v>1</v>
      </c>
      <c r="AB10" s="183">
        <f t="shared" si="20"/>
        <v>1</v>
      </c>
      <c r="AC10" s="183">
        <f t="shared" si="21"/>
        <v>1.25</v>
      </c>
      <c r="AD10" s="183">
        <f t="shared" si="22"/>
        <v>1.1180339887498949</v>
      </c>
      <c r="AG10" s="176"/>
      <c r="AH10" s="176"/>
      <c r="AI10" s="176"/>
    </row>
    <row r="11" spans="1:35" x14ac:dyDescent="0.2">
      <c r="A11" s="188">
        <v>4</v>
      </c>
      <c r="B11" s="185">
        <v>3</v>
      </c>
      <c r="C11" s="186">
        <v>3.5</v>
      </c>
      <c r="D11" s="286">
        <f t="shared" si="0"/>
        <v>1</v>
      </c>
      <c r="E11" s="277">
        <f t="shared" si="1"/>
        <v>3.5</v>
      </c>
      <c r="F11" s="287">
        <f t="shared" si="23"/>
        <v>6</v>
      </c>
      <c r="G11" s="281">
        <f t="shared" si="2"/>
        <v>2.5</v>
      </c>
      <c r="H11" s="287">
        <f t="shared" si="24"/>
        <v>5</v>
      </c>
      <c r="I11" s="279">
        <f t="shared" si="3"/>
        <v>1</v>
      </c>
      <c r="J11" s="286">
        <f t="shared" si="4"/>
        <v>1</v>
      </c>
      <c r="K11" s="277">
        <f t="shared" si="25"/>
        <v>1</v>
      </c>
      <c r="L11" s="277">
        <f t="shared" si="5"/>
        <v>2.5</v>
      </c>
      <c r="M11" s="277">
        <f t="shared" si="6"/>
        <v>2.5</v>
      </c>
      <c r="N11" s="277">
        <f t="shared" si="26"/>
        <v>5</v>
      </c>
      <c r="O11" s="281">
        <f t="shared" si="7"/>
        <v>2</v>
      </c>
      <c r="P11" s="281">
        <f t="shared" si="8"/>
        <v>3.5</v>
      </c>
      <c r="Q11" s="281">
        <f t="shared" si="9"/>
        <v>1.5</v>
      </c>
      <c r="R11" s="281">
        <f t="shared" si="10"/>
        <v>1.6666666666666667</v>
      </c>
      <c r="S11" s="183">
        <f t="shared" si="11"/>
        <v>1.6666666666666667</v>
      </c>
      <c r="T11" s="183" t="str">
        <f t="shared" si="12"/>
        <v/>
      </c>
      <c r="U11" s="183" t="str">
        <f t="shared" si="13"/>
        <v/>
      </c>
      <c r="V11" s="183" t="str">
        <f t="shared" si="14"/>
        <v/>
      </c>
      <c r="W11" s="181">
        <f t="shared" si="15"/>
        <v>1.75</v>
      </c>
      <c r="X11" s="183">
        <f t="shared" si="16"/>
        <v>1</v>
      </c>
      <c r="Y11" s="183">
        <f t="shared" si="17"/>
        <v>1</v>
      </c>
      <c r="Z11" s="183">
        <f t="shared" si="18"/>
        <v>2.5</v>
      </c>
      <c r="AA11" s="183">
        <f t="shared" si="19"/>
        <v>1.5</v>
      </c>
      <c r="AB11" s="183">
        <f t="shared" si="20"/>
        <v>2.25</v>
      </c>
      <c r="AC11" s="183">
        <f t="shared" si="21"/>
        <v>3.25</v>
      </c>
      <c r="AD11" s="183">
        <f t="shared" si="22"/>
        <v>1.8027756377319946</v>
      </c>
      <c r="AG11" s="176"/>
      <c r="AH11" s="176"/>
      <c r="AI11" s="176"/>
    </row>
    <row r="12" spans="1:35" x14ac:dyDescent="0.2">
      <c r="A12" s="188">
        <v>5</v>
      </c>
      <c r="B12" s="185">
        <v>5</v>
      </c>
      <c r="C12" s="186">
        <v>4</v>
      </c>
      <c r="D12" s="286">
        <f t="shared" si="0"/>
        <v>2</v>
      </c>
      <c r="E12" s="277">
        <f t="shared" si="1"/>
        <v>4</v>
      </c>
      <c r="F12" s="287">
        <f t="shared" si="23"/>
        <v>6</v>
      </c>
      <c r="G12" s="281">
        <f t="shared" si="2"/>
        <v>2</v>
      </c>
      <c r="H12" s="287">
        <f t="shared" si="24"/>
        <v>5</v>
      </c>
      <c r="I12" s="279">
        <f t="shared" si="3"/>
        <v>1</v>
      </c>
      <c r="J12" s="277">
        <f t="shared" si="4"/>
        <v>2</v>
      </c>
      <c r="K12" s="277">
        <f t="shared" si="25"/>
        <v>2.5</v>
      </c>
      <c r="L12" s="277">
        <f t="shared" si="5"/>
        <v>3</v>
      </c>
      <c r="M12" s="277">
        <f t="shared" si="6"/>
        <v>3</v>
      </c>
      <c r="N12" s="277">
        <f t="shared" si="26"/>
        <v>5</v>
      </c>
      <c r="O12" s="281">
        <f t="shared" si="7"/>
        <v>3.5</v>
      </c>
      <c r="P12" s="281">
        <f t="shared" si="8"/>
        <v>4</v>
      </c>
      <c r="Q12" s="281">
        <f t="shared" si="9"/>
        <v>0.5</v>
      </c>
      <c r="R12" s="281">
        <f t="shared" si="10"/>
        <v>12</v>
      </c>
      <c r="S12" s="183">
        <f t="shared" si="11"/>
        <v>12</v>
      </c>
      <c r="T12" s="183" t="str">
        <f t="shared" si="12"/>
        <v/>
      </c>
      <c r="U12" s="183" t="str">
        <f t="shared" si="13"/>
        <v/>
      </c>
      <c r="V12" s="183" t="str">
        <f t="shared" si="14"/>
        <v/>
      </c>
      <c r="W12" s="181">
        <f t="shared" si="15"/>
        <v>5.5</v>
      </c>
      <c r="X12" s="183">
        <f t="shared" si="16"/>
        <v>4</v>
      </c>
      <c r="Y12" s="183">
        <f t="shared" si="17"/>
        <v>2.5</v>
      </c>
      <c r="Z12" s="183">
        <f t="shared" si="18"/>
        <v>3</v>
      </c>
      <c r="AA12" s="183">
        <f t="shared" si="19"/>
        <v>0.5</v>
      </c>
      <c r="AB12" s="183">
        <f t="shared" si="20"/>
        <v>0.25</v>
      </c>
      <c r="AC12" s="183">
        <f t="shared" si="21"/>
        <v>4.25</v>
      </c>
      <c r="AD12" s="183">
        <f t="shared" si="22"/>
        <v>2.0615528128088303</v>
      </c>
      <c r="AG12" s="176"/>
      <c r="AH12" s="176"/>
      <c r="AI12" s="176"/>
    </row>
    <row r="13" spans="1:35" x14ac:dyDescent="0.2">
      <c r="A13" s="188">
        <v>6</v>
      </c>
      <c r="B13" s="185">
        <v>7</v>
      </c>
      <c r="C13" s="186">
        <v>6</v>
      </c>
      <c r="D13" s="277">
        <f t="shared" si="0"/>
        <v>2</v>
      </c>
      <c r="E13" s="358">
        <f t="shared" si="1"/>
        <v>6</v>
      </c>
      <c r="F13" s="287">
        <f t="shared" si="23"/>
        <v>6</v>
      </c>
      <c r="G13" s="281">
        <f t="shared" si="2"/>
        <v>0</v>
      </c>
      <c r="H13" s="287">
        <f t="shared" si="24"/>
        <v>5</v>
      </c>
      <c r="I13" s="279">
        <f t="shared" si="3"/>
        <v>1</v>
      </c>
      <c r="J13" s="277">
        <f t="shared" si="4"/>
        <v>2</v>
      </c>
      <c r="K13" s="277">
        <f t="shared" si="25"/>
        <v>3</v>
      </c>
      <c r="L13" s="277">
        <f t="shared" si="5"/>
        <v>5</v>
      </c>
      <c r="M13" s="277">
        <f t="shared" si="6"/>
        <v>5</v>
      </c>
      <c r="N13" s="277">
        <f t="shared" si="26"/>
        <v>5</v>
      </c>
      <c r="O13" s="281">
        <f t="shared" si="7"/>
        <v>4</v>
      </c>
      <c r="P13" s="281">
        <f t="shared" si="8"/>
        <v>6</v>
      </c>
      <c r="Q13" s="281">
        <f t="shared" si="9"/>
        <v>2</v>
      </c>
      <c r="R13" s="281">
        <f t="shared" si="10"/>
        <v>5</v>
      </c>
      <c r="S13" s="183">
        <f t="shared" si="11"/>
        <v>5</v>
      </c>
      <c r="T13" s="183" t="str">
        <f t="shared" si="12"/>
        <v/>
      </c>
      <c r="U13" s="183" t="str">
        <f t="shared" si="13"/>
        <v/>
      </c>
      <c r="V13" s="183" t="str">
        <f t="shared" si="14"/>
        <v/>
      </c>
      <c r="W13" s="181">
        <f t="shared" si="15"/>
        <v>8</v>
      </c>
      <c r="X13" s="183">
        <f t="shared" si="16"/>
        <v>4</v>
      </c>
      <c r="Y13" s="183">
        <f t="shared" si="17"/>
        <v>3</v>
      </c>
      <c r="Z13" s="183">
        <f t="shared" si="18"/>
        <v>5</v>
      </c>
      <c r="AA13" s="183">
        <f t="shared" si="19"/>
        <v>2</v>
      </c>
      <c r="AB13" s="183">
        <f t="shared" si="20"/>
        <v>4</v>
      </c>
      <c r="AC13" s="183">
        <f t="shared" si="21"/>
        <v>8</v>
      </c>
      <c r="AD13" s="183">
        <f t="shared" si="22"/>
        <v>2.8284271247461903</v>
      </c>
      <c r="AG13" s="176"/>
      <c r="AH13" s="176"/>
      <c r="AI13" s="176"/>
    </row>
    <row r="14" spans="1:35" x14ac:dyDescent="0.2">
      <c r="A14" s="188">
        <v>7</v>
      </c>
      <c r="B14" s="185">
        <v>9</v>
      </c>
      <c r="C14" s="186">
        <v>5</v>
      </c>
      <c r="D14" s="277">
        <f t="shared" si="0"/>
        <v>2</v>
      </c>
      <c r="E14" s="358">
        <f t="shared" si="1"/>
        <v>6</v>
      </c>
      <c r="F14" s="287">
        <f t="shared" si="23"/>
        <v>6</v>
      </c>
      <c r="G14" s="281">
        <f t="shared" si="2"/>
        <v>0</v>
      </c>
      <c r="H14" s="287">
        <f t="shared" si="24"/>
        <v>5</v>
      </c>
      <c r="I14" s="279">
        <f t="shared" si="3"/>
        <v>1</v>
      </c>
      <c r="J14" s="277">
        <f t="shared" si="4"/>
        <v>2</v>
      </c>
      <c r="K14" s="277">
        <f t="shared" si="25"/>
        <v>5</v>
      </c>
      <c r="L14" s="277">
        <f t="shared" si="5"/>
        <v>4</v>
      </c>
      <c r="M14" s="277">
        <f t="shared" si="6"/>
        <v>5</v>
      </c>
      <c r="N14" s="277">
        <f t="shared" si="26"/>
        <v>5</v>
      </c>
      <c r="O14" s="281">
        <f t="shared" si="7"/>
        <v>5</v>
      </c>
      <c r="P14" s="281">
        <f t="shared" si="8"/>
        <v>6</v>
      </c>
      <c r="Q14" s="281">
        <f t="shared" si="9"/>
        <v>1</v>
      </c>
      <c r="R14" s="281">
        <f t="shared" si="10"/>
        <v>10</v>
      </c>
      <c r="S14" s="183">
        <f t="shared" si="11"/>
        <v>10</v>
      </c>
      <c r="T14" s="183" t="str">
        <f t="shared" si="12"/>
        <v/>
      </c>
      <c r="U14" s="183" t="str">
        <f t="shared" si="13"/>
        <v/>
      </c>
      <c r="V14" s="183" t="str">
        <f t="shared" si="14"/>
        <v/>
      </c>
      <c r="W14" s="181">
        <f t="shared" si="15"/>
        <v>9</v>
      </c>
      <c r="X14" s="183">
        <f t="shared" si="16"/>
        <v>4</v>
      </c>
      <c r="Y14" s="183">
        <f t="shared" si="17"/>
        <v>4</v>
      </c>
      <c r="Z14" s="183">
        <f t="shared" si="18"/>
        <v>5</v>
      </c>
      <c r="AA14" s="183">
        <f t="shared" si="19"/>
        <v>1</v>
      </c>
      <c r="AB14" s="183">
        <f t="shared" si="20"/>
        <v>1</v>
      </c>
      <c r="AC14" s="183">
        <f t="shared" si="21"/>
        <v>5</v>
      </c>
      <c r="AD14" s="183">
        <f t="shared" si="22"/>
        <v>2.2360679774997898</v>
      </c>
      <c r="AG14" s="176"/>
      <c r="AH14" s="176"/>
      <c r="AI14" s="176"/>
    </row>
    <row r="15" spans="1:35" x14ac:dyDescent="0.2">
      <c r="A15" s="188">
        <v>8</v>
      </c>
      <c r="B15" s="185">
        <v>11</v>
      </c>
      <c r="C15" s="186">
        <v>4.5</v>
      </c>
      <c r="D15" s="277">
        <f t="shared" si="0"/>
        <v>2</v>
      </c>
      <c r="E15" s="358">
        <f t="shared" si="1"/>
        <v>5</v>
      </c>
      <c r="F15" s="287">
        <f t="shared" si="23"/>
        <v>6</v>
      </c>
      <c r="G15" s="281">
        <f t="shared" si="2"/>
        <v>1</v>
      </c>
      <c r="H15" s="287">
        <f t="shared" si="24"/>
        <v>5</v>
      </c>
      <c r="I15" s="279">
        <f t="shared" si="3"/>
        <v>1</v>
      </c>
      <c r="J15" s="277">
        <f t="shared" si="4"/>
        <v>2</v>
      </c>
      <c r="K15" s="277">
        <f t="shared" si="25"/>
        <v>4</v>
      </c>
      <c r="L15" s="277">
        <f t="shared" si="5"/>
        <v>3.5</v>
      </c>
      <c r="M15" s="277">
        <f t="shared" si="6"/>
        <v>4</v>
      </c>
      <c r="N15" s="277">
        <f t="shared" si="26"/>
        <v>5</v>
      </c>
      <c r="O15" s="281">
        <f t="shared" si="7"/>
        <v>4.5</v>
      </c>
      <c r="P15" s="281">
        <f t="shared" si="8"/>
        <v>5</v>
      </c>
      <c r="Q15" s="281">
        <f t="shared" si="9"/>
        <v>0.5</v>
      </c>
      <c r="R15" s="281">
        <f t="shared" si="10"/>
        <v>16</v>
      </c>
      <c r="S15" s="183">
        <f t="shared" si="11"/>
        <v>16</v>
      </c>
      <c r="T15" s="183" t="str">
        <f t="shared" si="12"/>
        <v/>
      </c>
      <c r="U15" s="183" t="str">
        <f t="shared" si="13"/>
        <v/>
      </c>
      <c r="V15" s="183" t="str">
        <f t="shared" si="14"/>
        <v/>
      </c>
      <c r="W15" s="181">
        <f t="shared" si="15"/>
        <v>7.5</v>
      </c>
      <c r="X15" s="183">
        <f t="shared" si="16"/>
        <v>4</v>
      </c>
      <c r="Y15" s="183">
        <f t="shared" si="17"/>
        <v>3.5</v>
      </c>
      <c r="Z15" s="183">
        <f t="shared" si="18"/>
        <v>4</v>
      </c>
      <c r="AA15" s="183">
        <f t="shared" si="19"/>
        <v>0.5</v>
      </c>
      <c r="AB15" s="183">
        <f t="shared" si="20"/>
        <v>0.25</v>
      </c>
      <c r="AC15" s="183">
        <f t="shared" si="21"/>
        <v>4.25</v>
      </c>
      <c r="AD15" s="183">
        <f t="shared" si="22"/>
        <v>2.0615528128088303</v>
      </c>
      <c r="AG15" s="176"/>
      <c r="AH15" s="176"/>
      <c r="AI15" s="176"/>
    </row>
    <row r="16" spans="1:35" x14ac:dyDescent="0.2">
      <c r="A16" s="188">
        <v>9</v>
      </c>
      <c r="B16" s="185">
        <v>12.5</v>
      </c>
      <c r="C16" s="186">
        <v>5</v>
      </c>
      <c r="D16" s="277">
        <f t="shared" si="0"/>
        <v>1.5</v>
      </c>
      <c r="E16" s="277">
        <f t="shared" si="1"/>
        <v>5</v>
      </c>
      <c r="F16" s="287">
        <f t="shared" si="23"/>
        <v>6</v>
      </c>
      <c r="G16" s="281">
        <f t="shared" si="2"/>
        <v>1</v>
      </c>
      <c r="H16" s="287">
        <f t="shared" si="24"/>
        <v>5</v>
      </c>
      <c r="I16" s="279">
        <f t="shared" si="3"/>
        <v>1</v>
      </c>
      <c r="J16" s="277">
        <f t="shared" si="4"/>
        <v>1.5</v>
      </c>
      <c r="K16" s="277">
        <f t="shared" si="25"/>
        <v>3.5</v>
      </c>
      <c r="L16" s="277">
        <f t="shared" si="5"/>
        <v>4</v>
      </c>
      <c r="M16" s="277">
        <f t="shared" si="6"/>
        <v>4</v>
      </c>
      <c r="N16" s="277">
        <f t="shared" si="26"/>
        <v>5</v>
      </c>
      <c r="O16" s="281">
        <f t="shared" si="7"/>
        <v>4.5</v>
      </c>
      <c r="P16" s="281">
        <f t="shared" si="8"/>
        <v>5</v>
      </c>
      <c r="Q16" s="281">
        <f t="shared" si="9"/>
        <v>0.5</v>
      </c>
      <c r="R16" s="281">
        <f t="shared" si="10"/>
        <v>12</v>
      </c>
      <c r="S16" s="183">
        <f t="shared" si="11"/>
        <v>12</v>
      </c>
      <c r="T16" s="183" t="str">
        <f t="shared" si="12"/>
        <v/>
      </c>
      <c r="U16" s="183" t="str">
        <f t="shared" si="13"/>
        <v/>
      </c>
      <c r="V16" s="183" t="str">
        <f t="shared" si="14"/>
        <v/>
      </c>
      <c r="W16" s="181">
        <f t="shared" si="15"/>
        <v>5.625</v>
      </c>
      <c r="X16" s="183">
        <f t="shared" si="16"/>
        <v>2.25</v>
      </c>
      <c r="Y16" s="183">
        <f t="shared" si="17"/>
        <v>3.5</v>
      </c>
      <c r="Z16" s="183">
        <f t="shared" si="18"/>
        <v>4</v>
      </c>
      <c r="AA16" s="183">
        <f t="shared" si="19"/>
        <v>0.5</v>
      </c>
      <c r="AB16" s="183">
        <f t="shared" si="20"/>
        <v>0.25</v>
      </c>
      <c r="AC16" s="183">
        <f t="shared" si="21"/>
        <v>2.5</v>
      </c>
      <c r="AD16" s="183">
        <f t="shared" si="22"/>
        <v>1.5811388300841898</v>
      </c>
      <c r="AG16" s="176"/>
      <c r="AH16" s="176"/>
      <c r="AI16" s="176"/>
    </row>
    <row r="17" spans="1:35" x14ac:dyDescent="0.2">
      <c r="A17" s="188">
        <v>10</v>
      </c>
      <c r="B17" s="185">
        <v>14</v>
      </c>
      <c r="C17" s="186">
        <v>4</v>
      </c>
      <c r="D17" s="277">
        <f t="shared" si="0"/>
        <v>1.5</v>
      </c>
      <c r="E17" s="358">
        <f t="shared" si="1"/>
        <v>5</v>
      </c>
      <c r="F17" s="287">
        <f t="shared" si="23"/>
        <v>6</v>
      </c>
      <c r="G17" s="281">
        <f t="shared" si="2"/>
        <v>1</v>
      </c>
      <c r="H17" s="287">
        <f t="shared" si="24"/>
        <v>5</v>
      </c>
      <c r="I17" s="279">
        <f t="shared" si="3"/>
        <v>1</v>
      </c>
      <c r="J17" s="277">
        <f t="shared" si="4"/>
        <v>1.5</v>
      </c>
      <c r="K17" s="277">
        <f t="shared" si="25"/>
        <v>4</v>
      </c>
      <c r="L17" s="277">
        <f t="shared" si="5"/>
        <v>3</v>
      </c>
      <c r="M17" s="277">
        <f t="shared" si="6"/>
        <v>4</v>
      </c>
      <c r="N17" s="277">
        <f t="shared" si="26"/>
        <v>5</v>
      </c>
      <c r="O17" s="281">
        <f t="shared" si="7"/>
        <v>4</v>
      </c>
      <c r="P17" s="281">
        <f t="shared" si="8"/>
        <v>5</v>
      </c>
      <c r="Q17" s="281">
        <f t="shared" si="9"/>
        <v>1</v>
      </c>
      <c r="R17" s="281">
        <f t="shared" si="10"/>
        <v>6</v>
      </c>
      <c r="S17" s="183">
        <f t="shared" si="11"/>
        <v>6</v>
      </c>
      <c r="T17" s="183" t="str">
        <f t="shared" si="12"/>
        <v/>
      </c>
      <c r="U17" s="183" t="str">
        <f t="shared" si="13"/>
        <v/>
      </c>
      <c r="V17" s="183" t="str">
        <f t="shared" si="14"/>
        <v/>
      </c>
      <c r="W17" s="181">
        <f t="shared" si="15"/>
        <v>5.25</v>
      </c>
      <c r="X17" s="183">
        <f t="shared" si="16"/>
        <v>2.25</v>
      </c>
      <c r="Y17" s="183">
        <f t="shared" si="17"/>
        <v>3</v>
      </c>
      <c r="Z17" s="183">
        <f t="shared" si="18"/>
        <v>4</v>
      </c>
      <c r="AA17" s="183">
        <f t="shared" si="19"/>
        <v>1</v>
      </c>
      <c r="AB17" s="183">
        <f t="shared" si="20"/>
        <v>1</v>
      </c>
      <c r="AC17" s="183">
        <f t="shared" si="21"/>
        <v>3.25</v>
      </c>
      <c r="AD17" s="183">
        <f t="shared" si="22"/>
        <v>1.8027756377319946</v>
      </c>
      <c r="AG17" s="176"/>
      <c r="AH17" s="176"/>
      <c r="AI17" s="176"/>
    </row>
    <row r="18" spans="1:35" x14ac:dyDescent="0.2">
      <c r="A18" s="188">
        <v>11</v>
      </c>
      <c r="B18" s="185">
        <v>15.5</v>
      </c>
      <c r="C18" s="186">
        <v>3.5</v>
      </c>
      <c r="D18" s="277">
        <f t="shared" si="0"/>
        <v>1.5</v>
      </c>
      <c r="E18" s="358">
        <f t="shared" si="1"/>
        <v>4</v>
      </c>
      <c r="F18" s="287">
        <f t="shared" si="23"/>
        <v>6</v>
      </c>
      <c r="G18" s="281">
        <f t="shared" si="2"/>
        <v>2</v>
      </c>
      <c r="H18" s="287">
        <f t="shared" si="24"/>
        <v>5</v>
      </c>
      <c r="I18" s="279">
        <f t="shared" si="3"/>
        <v>1</v>
      </c>
      <c r="J18" s="277">
        <f t="shared" si="4"/>
        <v>1.5</v>
      </c>
      <c r="K18" s="277">
        <f t="shared" si="25"/>
        <v>3</v>
      </c>
      <c r="L18" s="277">
        <f t="shared" si="5"/>
        <v>2.5</v>
      </c>
      <c r="M18" s="277">
        <f t="shared" si="6"/>
        <v>3</v>
      </c>
      <c r="N18" s="277">
        <f t="shared" si="26"/>
        <v>5</v>
      </c>
      <c r="O18" s="281">
        <f t="shared" si="7"/>
        <v>3.5</v>
      </c>
      <c r="P18" s="281">
        <f t="shared" si="8"/>
        <v>4</v>
      </c>
      <c r="Q18" s="281">
        <f t="shared" si="9"/>
        <v>0.5</v>
      </c>
      <c r="R18" s="281">
        <f t="shared" si="10"/>
        <v>9</v>
      </c>
      <c r="S18" s="183">
        <f t="shared" si="11"/>
        <v>9</v>
      </c>
      <c r="T18" s="183" t="str">
        <f t="shared" si="12"/>
        <v/>
      </c>
      <c r="U18" s="183" t="str">
        <f t="shared" si="13"/>
        <v/>
      </c>
      <c r="V18" s="183" t="str">
        <f t="shared" si="14"/>
        <v/>
      </c>
      <c r="W18" s="181">
        <f t="shared" si="15"/>
        <v>4.125</v>
      </c>
      <c r="X18" s="183">
        <f t="shared" si="16"/>
        <v>2.25</v>
      </c>
      <c r="Y18" s="183">
        <f t="shared" si="17"/>
        <v>2.5</v>
      </c>
      <c r="Z18" s="183">
        <f t="shared" si="18"/>
        <v>3</v>
      </c>
      <c r="AA18" s="183">
        <f t="shared" si="19"/>
        <v>0.5</v>
      </c>
      <c r="AB18" s="183">
        <f t="shared" si="20"/>
        <v>0.25</v>
      </c>
      <c r="AC18" s="183">
        <f t="shared" si="21"/>
        <v>2.5</v>
      </c>
      <c r="AD18" s="183">
        <f t="shared" si="22"/>
        <v>1.5811388300841898</v>
      </c>
      <c r="AG18" s="176"/>
      <c r="AH18" s="176"/>
      <c r="AI18" s="176"/>
    </row>
    <row r="19" spans="1:35" x14ac:dyDescent="0.2">
      <c r="A19" s="188">
        <v>12</v>
      </c>
      <c r="B19" s="185">
        <v>17</v>
      </c>
      <c r="C19" s="186">
        <v>1.5</v>
      </c>
      <c r="D19" s="277">
        <f t="shared" si="0"/>
        <v>1.5</v>
      </c>
      <c r="E19" s="358">
        <f t="shared" si="1"/>
        <v>3.5</v>
      </c>
      <c r="F19" s="287">
        <f t="shared" si="23"/>
        <v>6</v>
      </c>
      <c r="G19" s="281">
        <f t="shared" si="2"/>
        <v>2.5</v>
      </c>
      <c r="H19" s="287">
        <f t="shared" si="24"/>
        <v>5</v>
      </c>
      <c r="I19" s="279">
        <f t="shared" si="3"/>
        <v>1</v>
      </c>
      <c r="J19" s="277">
        <f t="shared" si="4"/>
        <v>1.5</v>
      </c>
      <c r="K19" s="277">
        <f t="shared" si="25"/>
        <v>2.5</v>
      </c>
      <c r="L19" s="277">
        <f t="shared" si="5"/>
        <v>0.5</v>
      </c>
      <c r="M19" s="277">
        <f t="shared" si="6"/>
        <v>2.5</v>
      </c>
      <c r="N19" s="277">
        <f t="shared" si="26"/>
        <v>5</v>
      </c>
      <c r="O19" s="281">
        <f t="shared" si="7"/>
        <v>1.5</v>
      </c>
      <c r="P19" s="281">
        <f t="shared" si="8"/>
        <v>3.5</v>
      </c>
      <c r="Q19" s="281">
        <f t="shared" si="9"/>
        <v>2</v>
      </c>
      <c r="R19" s="281">
        <f t="shared" si="10"/>
        <v>1.875</v>
      </c>
      <c r="S19" s="183">
        <f t="shared" si="11"/>
        <v>1.875</v>
      </c>
      <c r="T19" s="183" t="str">
        <f t="shared" si="12"/>
        <v/>
      </c>
      <c r="U19" s="183" t="str">
        <f t="shared" si="13"/>
        <v/>
      </c>
      <c r="V19" s="183" t="str">
        <f t="shared" si="14"/>
        <v/>
      </c>
      <c r="W19" s="181">
        <f t="shared" si="15"/>
        <v>2.25</v>
      </c>
      <c r="X19" s="183">
        <f t="shared" si="16"/>
        <v>2.25</v>
      </c>
      <c r="Y19" s="183">
        <f t="shared" si="17"/>
        <v>0.5</v>
      </c>
      <c r="Z19" s="183">
        <f t="shared" si="18"/>
        <v>2.5</v>
      </c>
      <c r="AA19" s="183">
        <f t="shared" si="19"/>
        <v>2</v>
      </c>
      <c r="AB19" s="183">
        <f t="shared" si="20"/>
        <v>4</v>
      </c>
      <c r="AC19" s="183">
        <f t="shared" si="21"/>
        <v>6.25</v>
      </c>
      <c r="AD19" s="183">
        <f t="shared" si="22"/>
        <v>2.5</v>
      </c>
      <c r="AG19" s="176"/>
      <c r="AH19" s="176"/>
      <c r="AI19" s="176"/>
    </row>
    <row r="20" spans="1:35" x14ac:dyDescent="0.2">
      <c r="A20" s="188">
        <v>13</v>
      </c>
      <c r="B20" s="185">
        <v>18.5</v>
      </c>
      <c r="C20" s="186">
        <v>0.75</v>
      </c>
      <c r="D20" s="277">
        <f t="shared" si="0"/>
        <v>1.5</v>
      </c>
      <c r="E20" s="358">
        <f t="shared" si="1"/>
        <v>1.5</v>
      </c>
      <c r="F20" s="287">
        <f t="shared" si="23"/>
        <v>6</v>
      </c>
      <c r="G20" s="281">
        <f t="shared" si="2"/>
        <v>4.5</v>
      </c>
      <c r="H20" s="287">
        <f t="shared" si="24"/>
        <v>5</v>
      </c>
      <c r="I20" s="279">
        <f t="shared" si="3"/>
        <v>1</v>
      </c>
      <c r="J20" s="277">
        <f t="shared" si="4"/>
        <v>1.5</v>
      </c>
      <c r="K20" s="277">
        <f t="shared" si="25"/>
        <v>0.5</v>
      </c>
      <c r="L20" s="277">
        <f t="shared" si="5"/>
        <v>0</v>
      </c>
      <c r="M20" s="277">
        <f t="shared" si="6"/>
        <v>0.5</v>
      </c>
      <c r="N20" s="277">
        <f t="shared" si="26"/>
        <v>5</v>
      </c>
      <c r="O20" s="281">
        <f t="shared" si="7"/>
        <v>0.75</v>
      </c>
      <c r="P20" s="281">
        <f t="shared" si="8"/>
        <v>1.5</v>
      </c>
      <c r="Q20" s="281">
        <f t="shared" si="9"/>
        <v>0.75</v>
      </c>
      <c r="R20" s="281">
        <f t="shared" si="10"/>
        <v>1</v>
      </c>
      <c r="S20" s="183">
        <f t="shared" si="11"/>
        <v>1</v>
      </c>
      <c r="T20" s="183" t="str">
        <f t="shared" si="12"/>
        <v/>
      </c>
      <c r="U20" s="183">
        <f t="shared" si="13"/>
        <v>1</v>
      </c>
      <c r="V20" s="183">
        <f t="shared" si="14"/>
        <v>1</v>
      </c>
      <c r="W20" s="181">
        <f t="shared" si="15"/>
        <v>0.25</v>
      </c>
      <c r="X20" s="183">
        <f t="shared" si="16"/>
        <v>1</v>
      </c>
      <c r="Y20" s="183">
        <f t="shared" si="17"/>
        <v>0</v>
      </c>
      <c r="Z20" s="183">
        <f t="shared" si="18"/>
        <v>0.5</v>
      </c>
      <c r="AA20" s="183">
        <f t="shared" si="19"/>
        <v>0.5</v>
      </c>
      <c r="AB20" s="183">
        <f t="shared" si="20"/>
        <v>0.25</v>
      </c>
      <c r="AC20" s="183">
        <f t="shared" si="21"/>
        <v>1.25</v>
      </c>
      <c r="AD20" s="183">
        <f t="shared" si="22"/>
        <v>1.1180339887498949</v>
      </c>
      <c r="AG20" s="176"/>
      <c r="AH20" s="176"/>
      <c r="AI20" s="176"/>
    </row>
    <row r="21" spans="1:35" x14ac:dyDescent="0.2">
      <c r="A21" s="188">
        <v>14</v>
      </c>
      <c r="B21" s="185">
        <v>20</v>
      </c>
      <c r="C21" s="186">
        <v>0</v>
      </c>
      <c r="D21" s="286">
        <f t="shared" si="0"/>
        <v>1.5</v>
      </c>
      <c r="E21" s="358">
        <f t="shared" si="1"/>
        <v>0.75</v>
      </c>
      <c r="F21" s="287">
        <f t="shared" si="23"/>
        <v>6</v>
      </c>
      <c r="G21" s="281">
        <f t="shared" si="2"/>
        <v>5.25</v>
      </c>
      <c r="H21" s="287">
        <f t="shared" si="24"/>
        <v>5</v>
      </c>
      <c r="I21" s="279" t="str">
        <f t="shared" si="3"/>
        <v/>
      </c>
      <c r="J21" s="277">
        <f t="shared" si="4"/>
        <v>1.5</v>
      </c>
      <c r="K21" s="358">
        <f t="shared" si="25"/>
        <v>0</v>
      </c>
      <c r="L21" s="277">
        <f t="shared" si="5"/>
        <v>0</v>
      </c>
      <c r="M21" s="277">
        <f t="shared" si="6"/>
        <v>0</v>
      </c>
      <c r="N21" s="277">
        <f t="shared" si="26"/>
        <v>5</v>
      </c>
      <c r="O21" s="281">
        <f t="shared" si="7"/>
        <v>0</v>
      </c>
      <c r="P21" s="281">
        <f t="shared" si="8"/>
        <v>0.75</v>
      </c>
      <c r="Q21" s="281">
        <f t="shared" si="9"/>
        <v>0.75</v>
      </c>
      <c r="R21" s="281">
        <f t="shared" si="10"/>
        <v>0</v>
      </c>
      <c r="S21" s="183" t="str">
        <f t="shared" si="11"/>
        <v/>
      </c>
      <c r="T21" s="183" t="str">
        <f t="shared" si="12"/>
        <v/>
      </c>
      <c r="U21" s="183" t="str">
        <f t="shared" si="13"/>
        <v/>
      </c>
      <c r="V21" s="183" t="str">
        <f t="shared" si="14"/>
        <v/>
      </c>
      <c r="W21" s="181" t="str">
        <f t="shared" si="15"/>
        <v/>
      </c>
      <c r="X21" s="183">
        <f t="shared" si="16"/>
        <v>0</v>
      </c>
      <c r="Y21" s="183">
        <f t="shared" si="17"/>
        <v>0</v>
      </c>
      <c r="Z21" s="183">
        <f t="shared" si="18"/>
        <v>0</v>
      </c>
      <c r="AA21" s="183">
        <f t="shared" si="19"/>
        <v>0</v>
      </c>
      <c r="AB21" s="183">
        <f t="shared" si="20"/>
        <v>0</v>
      </c>
      <c r="AC21" s="183">
        <f t="shared" si="21"/>
        <v>0</v>
      </c>
      <c r="AD21" s="183" t="str">
        <f t="shared" si="22"/>
        <v/>
      </c>
      <c r="AG21" s="176"/>
      <c r="AH21" s="176"/>
      <c r="AI21" s="176"/>
    </row>
    <row r="22" spans="1:35" x14ac:dyDescent="0.2">
      <c r="A22" s="188">
        <v>15</v>
      </c>
      <c r="B22" s="187"/>
      <c r="C22" s="187"/>
      <c r="D22" s="286">
        <f t="shared" si="0"/>
        <v>-20</v>
      </c>
      <c r="E22" s="358">
        <f t="shared" si="1"/>
        <v>0</v>
      </c>
      <c r="F22" s="287">
        <f t="shared" si="23"/>
        <v>6</v>
      </c>
      <c r="G22" s="281">
        <f t="shared" si="2"/>
        <v>6</v>
      </c>
      <c r="H22" s="287">
        <f t="shared" si="24"/>
        <v>5</v>
      </c>
      <c r="I22" s="279" t="str">
        <f t="shared" si="3"/>
        <v/>
      </c>
      <c r="J22" s="277">
        <f t="shared" si="4"/>
        <v>-20</v>
      </c>
      <c r="K22" s="277">
        <f t="shared" si="25"/>
        <v>0</v>
      </c>
      <c r="L22" s="277">
        <f t="shared" si="5"/>
        <v>0</v>
      </c>
      <c r="M22" s="277">
        <f t="shared" si="6"/>
        <v>0</v>
      </c>
      <c r="N22" s="277">
        <f t="shared" si="26"/>
        <v>5</v>
      </c>
      <c r="O22" s="281">
        <f t="shared" si="7"/>
        <v>0</v>
      </c>
      <c r="P22" s="281">
        <f t="shared" si="8"/>
        <v>0</v>
      </c>
      <c r="Q22" s="281">
        <f t="shared" si="9"/>
        <v>0</v>
      </c>
      <c r="R22" s="281" t="e">
        <f t="shared" si="10"/>
        <v>#DIV/0!</v>
      </c>
      <c r="S22" s="183" t="str">
        <f t="shared" si="11"/>
        <v/>
      </c>
      <c r="T22" s="183" t="str">
        <f t="shared" si="12"/>
        <v/>
      </c>
      <c r="U22" s="183" t="str">
        <f t="shared" si="13"/>
        <v/>
      </c>
      <c r="V22" s="183" t="str">
        <f t="shared" si="14"/>
        <v/>
      </c>
      <c r="W22" s="181" t="str">
        <f t="shared" si="15"/>
        <v/>
      </c>
      <c r="X22" s="183">
        <f t="shared" si="16"/>
        <v>0</v>
      </c>
      <c r="Y22" s="183">
        <f t="shared" si="17"/>
        <v>0</v>
      </c>
      <c r="Z22" s="183">
        <f t="shared" si="18"/>
        <v>0</v>
      </c>
      <c r="AA22" s="183">
        <f t="shared" si="19"/>
        <v>0</v>
      </c>
      <c r="AB22" s="183">
        <f t="shared" si="20"/>
        <v>0</v>
      </c>
      <c r="AC22" s="183">
        <f t="shared" si="21"/>
        <v>0</v>
      </c>
      <c r="AD22" s="183" t="str">
        <f t="shared" si="22"/>
        <v/>
      </c>
      <c r="AG22" s="176"/>
      <c r="AH22" s="176"/>
      <c r="AI22" s="176"/>
    </row>
    <row r="23" spans="1:35" x14ac:dyDescent="0.2">
      <c r="A23" s="188">
        <v>16</v>
      </c>
      <c r="B23" s="187"/>
      <c r="C23" s="187"/>
      <c r="D23" s="277">
        <f t="shared" si="0"/>
        <v>0</v>
      </c>
      <c r="E23" s="281">
        <f t="shared" si="1"/>
        <v>0</v>
      </c>
      <c r="F23" s="287">
        <f t="shared" si="23"/>
        <v>6</v>
      </c>
      <c r="G23" s="281">
        <f t="shared" si="2"/>
        <v>6</v>
      </c>
      <c r="H23" s="287">
        <f t="shared" si="24"/>
        <v>5</v>
      </c>
      <c r="I23" s="279" t="str">
        <f t="shared" si="3"/>
        <v/>
      </c>
      <c r="J23" s="277">
        <f t="shared" si="4"/>
        <v>0</v>
      </c>
      <c r="K23" s="277">
        <f t="shared" si="25"/>
        <v>0</v>
      </c>
      <c r="L23" s="277">
        <f t="shared" si="5"/>
        <v>0</v>
      </c>
      <c r="M23" s="277">
        <f t="shared" si="6"/>
        <v>0</v>
      </c>
      <c r="N23" s="277">
        <f t="shared" si="26"/>
        <v>5</v>
      </c>
      <c r="O23" s="281">
        <f t="shared" si="7"/>
        <v>0</v>
      </c>
      <c r="P23" s="281">
        <f t="shared" si="8"/>
        <v>0</v>
      </c>
      <c r="Q23" s="281">
        <f t="shared" si="9"/>
        <v>0</v>
      </c>
      <c r="R23" s="281" t="str">
        <f t="shared" si="10"/>
        <v/>
      </c>
      <c r="S23" s="183" t="str">
        <f t="shared" si="11"/>
        <v/>
      </c>
      <c r="T23" s="183" t="str">
        <f t="shared" si="12"/>
        <v/>
      </c>
      <c r="U23" s="183" t="str">
        <f t="shared" si="13"/>
        <v/>
      </c>
      <c r="V23" s="183" t="str">
        <f t="shared" si="14"/>
        <v/>
      </c>
      <c r="W23" s="181" t="str">
        <f t="shared" si="15"/>
        <v/>
      </c>
      <c r="X23" s="183">
        <f t="shared" si="16"/>
        <v>0</v>
      </c>
      <c r="Y23" s="183">
        <f t="shared" si="17"/>
        <v>0</v>
      </c>
      <c r="Z23" s="183">
        <f t="shared" si="18"/>
        <v>0</v>
      </c>
      <c r="AA23" s="183">
        <f t="shared" si="19"/>
        <v>0</v>
      </c>
      <c r="AB23" s="183">
        <f t="shared" si="20"/>
        <v>0</v>
      </c>
      <c r="AC23" s="183">
        <f t="shared" si="21"/>
        <v>0</v>
      </c>
      <c r="AD23" s="183" t="str">
        <f t="shared" si="22"/>
        <v/>
      </c>
      <c r="AG23" s="176"/>
      <c r="AH23" s="176"/>
      <c r="AI23" s="176"/>
    </row>
    <row r="24" spans="1:35" x14ac:dyDescent="0.2">
      <c r="A24" s="188">
        <v>17</v>
      </c>
      <c r="B24" s="187"/>
      <c r="C24" s="187"/>
      <c r="D24" s="277">
        <f t="shared" si="0"/>
        <v>0</v>
      </c>
      <c r="E24" s="277">
        <f t="shared" si="1"/>
        <v>0</v>
      </c>
      <c r="F24" s="287">
        <f t="shared" si="23"/>
        <v>6</v>
      </c>
      <c r="G24" s="281">
        <f t="shared" si="2"/>
        <v>6</v>
      </c>
      <c r="H24" s="287">
        <f t="shared" si="24"/>
        <v>5</v>
      </c>
      <c r="I24" s="279" t="str">
        <f t="shared" si="3"/>
        <v/>
      </c>
      <c r="J24" s="277">
        <f t="shared" si="4"/>
        <v>0</v>
      </c>
      <c r="K24" s="277">
        <f t="shared" si="25"/>
        <v>0</v>
      </c>
      <c r="L24" s="277">
        <f t="shared" si="5"/>
        <v>0</v>
      </c>
      <c r="M24" s="277">
        <f t="shared" si="6"/>
        <v>0</v>
      </c>
      <c r="N24" s="277">
        <f t="shared" si="26"/>
        <v>5</v>
      </c>
      <c r="O24" s="281">
        <f t="shared" si="7"/>
        <v>0</v>
      </c>
      <c r="P24" s="281">
        <f t="shared" si="8"/>
        <v>0</v>
      </c>
      <c r="Q24" s="281">
        <f t="shared" si="9"/>
        <v>0</v>
      </c>
      <c r="R24" s="281" t="str">
        <f t="shared" si="10"/>
        <v/>
      </c>
      <c r="S24" s="183" t="str">
        <f t="shared" si="11"/>
        <v/>
      </c>
      <c r="T24" s="183" t="str">
        <f t="shared" si="12"/>
        <v/>
      </c>
      <c r="U24" s="183" t="str">
        <f t="shared" si="13"/>
        <v/>
      </c>
      <c r="V24" s="183" t="str">
        <f t="shared" si="14"/>
        <v/>
      </c>
      <c r="W24" s="181" t="str">
        <f t="shared" si="15"/>
        <v/>
      </c>
      <c r="X24" s="183">
        <f t="shared" si="16"/>
        <v>0</v>
      </c>
      <c r="Y24" s="183">
        <f t="shared" si="17"/>
        <v>0</v>
      </c>
      <c r="Z24" s="183">
        <f t="shared" si="18"/>
        <v>0</v>
      </c>
      <c r="AA24" s="183">
        <f t="shared" si="19"/>
        <v>0</v>
      </c>
      <c r="AB24" s="183">
        <f t="shared" si="20"/>
        <v>0</v>
      </c>
      <c r="AC24" s="183">
        <f t="shared" si="21"/>
        <v>0</v>
      </c>
      <c r="AD24" s="183" t="str">
        <f t="shared" si="22"/>
        <v/>
      </c>
      <c r="AG24" s="176"/>
      <c r="AH24" s="176"/>
      <c r="AI24" s="176"/>
    </row>
    <row r="25" spans="1:35" x14ac:dyDescent="0.2">
      <c r="A25" s="188">
        <v>18</v>
      </c>
      <c r="B25" s="187"/>
      <c r="C25" s="187"/>
      <c r="D25" s="277">
        <f t="shared" si="0"/>
        <v>0</v>
      </c>
      <c r="E25" s="277">
        <f t="shared" si="1"/>
        <v>0</v>
      </c>
      <c r="F25" s="287">
        <f t="shared" si="23"/>
        <v>6</v>
      </c>
      <c r="G25" s="281">
        <f t="shared" si="2"/>
        <v>6</v>
      </c>
      <c r="H25" s="287">
        <f t="shared" si="24"/>
        <v>5</v>
      </c>
      <c r="I25" s="279" t="str">
        <f t="shared" si="3"/>
        <v/>
      </c>
      <c r="J25" s="277">
        <f t="shared" si="4"/>
        <v>0</v>
      </c>
      <c r="K25" s="277">
        <f t="shared" si="25"/>
        <v>0</v>
      </c>
      <c r="L25" s="277">
        <f t="shared" si="5"/>
        <v>0</v>
      </c>
      <c r="M25" s="277">
        <f t="shared" si="6"/>
        <v>0</v>
      </c>
      <c r="N25" s="277">
        <f t="shared" si="26"/>
        <v>5</v>
      </c>
      <c r="O25" s="281">
        <f t="shared" si="7"/>
        <v>0</v>
      </c>
      <c r="P25" s="281">
        <f t="shared" si="8"/>
        <v>0</v>
      </c>
      <c r="Q25" s="281">
        <f t="shared" si="9"/>
        <v>0</v>
      </c>
      <c r="R25" s="281" t="str">
        <f t="shared" si="10"/>
        <v/>
      </c>
      <c r="S25" s="183" t="str">
        <f t="shared" si="11"/>
        <v/>
      </c>
      <c r="T25" s="183" t="str">
        <f t="shared" si="12"/>
        <v/>
      </c>
      <c r="U25" s="183" t="str">
        <f t="shared" si="13"/>
        <v/>
      </c>
      <c r="V25" s="183" t="str">
        <f t="shared" si="14"/>
        <v/>
      </c>
      <c r="W25" s="181" t="str">
        <f t="shared" si="15"/>
        <v/>
      </c>
      <c r="X25" s="183">
        <f t="shared" si="16"/>
        <v>0</v>
      </c>
      <c r="Y25" s="183">
        <f t="shared" si="17"/>
        <v>0</v>
      </c>
      <c r="Z25" s="183">
        <f t="shared" si="18"/>
        <v>0</v>
      </c>
      <c r="AA25" s="183">
        <f t="shared" si="19"/>
        <v>0</v>
      </c>
      <c r="AB25" s="183">
        <f t="shared" si="20"/>
        <v>0</v>
      </c>
      <c r="AC25" s="183">
        <f t="shared" si="21"/>
        <v>0</v>
      </c>
      <c r="AD25" s="183" t="str">
        <f t="shared" si="22"/>
        <v/>
      </c>
      <c r="AG25" s="176"/>
      <c r="AH25" s="176"/>
      <c r="AI25" s="176"/>
    </row>
    <row r="26" spans="1:35" x14ac:dyDescent="0.2">
      <c r="A26" s="188">
        <v>19</v>
      </c>
      <c r="B26" s="187"/>
      <c r="C26" s="187"/>
      <c r="D26" s="277">
        <f t="shared" si="0"/>
        <v>0</v>
      </c>
      <c r="E26" s="277">
        <f t="shared" si="1"/>
        <v>0</v>
      </c>
      <c r="F26" s="287">
        <f t="shared" si="23"/>
        <v>6</v>
      </c>
      <c r="G26" s="281">
        <f t="shared" si="2"/>
        <v>6</v>
      </c>
      <c r="H26" s="287">
        <f t="shared" si="24"/>
        <v>5</v>
      </c>
      <c r="I26" s="279" t="str">
        <f t="shared" si="3"/>
        <v/>
      </c>
      <c r="J26" s="277">
        <f t="shared" si="4"/>
        <v>0</v>
      </c>
      <c r="K26" s="277">
        <f t="shared" si="25"/>
        <v>0</v>
      </c>
      <c r="L26" s="277">
        <f t="shared" si="5"/>
        <v>0</v>
      </c>
      <c r="M26" s="277">
        <f t="shared" si="6"/>
        <v>0</v>
      </c>
      <c r="N26" s="277">
        <f t="shared" si="26"/>
        <v>5</v>
      </c>
      <c r="O26" s="281">
        <f t="shared" si="7"/>
        <v>0</v>
      </c>
      <c r="P26" s="281">
        <f t="shared" si="8"/>
        <v>0</v>
      </c>
      <c r="Q26" s="281">
        <f t="shared" si="9"/>
        <v>0</v>
      </c>
      <c r="R26" s="281" t="str">
        <f t="shared" si="10"/>
        <v/>
      </c>
      <c r="S26" s="183" t="str">
        <f t="shared" si="11"/>
        <v/>
      </c>
      <c r="T26" s="183" t="str">
        <f t="shared" si="12"/>
        <v/>
      </c>
      <c r="U26" s="183" t="str">
        <f t="shared" si="13"/>
        <v/>
      </c>
      <c r="V26" s="183" t="str">
        <f t="shared" si="14"/>
        <v/>
      </c>
      <c r="W26" s="181" t="str">
        <f t="shared" si="15"/>
        <v/>
      </c>
      <c r="X26" s="183">
        <f t="shared" si="16"/>
        <v>0</v>
      </c>
      <c r="Y26" s="183">
        <f t="shared" si="17"/>
        <v>0</v>
      </c>
      <c r="Z26" s="183">
        <f t="shared" si="18"/>
        <v>0</v>
      </c>
      <c r="AA26" s="183">
        <f t="shared" si="19"/>
        <v>0</v>
      </c>
      <c r="AB26" s="183">
        <f t="shared" si="20"/>
        <v>0</v>
      </c>
      <c r="AC26" s="183">
        <f t="shared" si="21"/>
        <v>0</v>
      </c>
      <c r="AD26" s="183" t="str">
        <f t="shared" si="22"/>
        <v/>
      </c>
      <c r="AG26" s="176"/>
      <c r="AH26" s="176"/>
      <c r="AI26" s="176"/>
    </row>
    <row r="27" spans="1:35" x14ac:dyDescent="0.2">
      <c r="A27" s="188">
        <v>20</v>
      </c>
      <c r="B27" s="187"/>
      <c r="C27" s="187"/>
      <c r="D27" s="277">
        <f t="shared" si="0"/>
        <v>0</v>
      </c>
      <c r="E27" s="277">
        <f t="shared" si="1"/>
        <v>0</v>
      </c>
      <c r="F27" s="287">
        <f t="shared" si="23"/>
        <v>6</v>
      </c>
      <c r="G27" s="281">
        <f t="shared" si="2"/>
        <v>6</v>
      </c>
      <c r="H27" s="287">
        <f t="shared" si="24"/>
        <v>5</v>
      </c>
      <c r="I27" s="279" t="str">
        <f t="shared" si="3"/>
        <v/>
      </c>
      <c r="J27" s="277">
        <f t="shared" si="4"/>
        <v>0</v>
      </c>
      <c r="K27" s="277">
        <f t="shared" si="25"/>
        <v>0</v>
      </c>
      <c r="L27" s="277">
        <f t="shared" si="5"/>
        <v>0</v>
      </c>
      <c r="M27" s="277">
        <f t="shared" si="6"/>
        <v>0</v>
      </c>
      <c r="N27" s="277">
        <f t="shared" si="26"/>
        <v>5</v>
      </c>
      <c r="O27" s="281">
        <f t="shared" si="7"/>
        <v>0</v>
      </c>
      <c r="P27" s="281">
        <f t="shared" si="8"/>
        <v>0</v>
      </c>
      <c r="Q27" s="281">
        <f t="shared" si="9"/>
        <v>0</v>
      </c>
      <c r="R27" s="281" t="str">
        <f t="shared" si="10"/>
        <v/>
      </c>
      <c r="S27" s="183" t="str">
        <f t="shared" si="11"/>
        <v/>
      </c>
      <c r="T27" s="183" t="str">
        <f t="shared" si="12"/>
        <v/>
      </c>
      <c r="U27" s="183" t="str">
        <f t="shared" si="13"/>
        <v/>
      </c>
      <c r="V27" s="183" t="str">
        <f t="shared" si="14"/>
        <v/>
      </c>
      <c r="W27" s="181" t="str">
        <f t="shared" si="15"/>
        <v/>
      </c>
      <c r="X27" s="183">
        <f t="shared" si="16"/>
        <v>0</v>
      </c>
      <c r="Y27" s="183">
        <f t="shared" si="17"/>
        <v>0</v>
      </c>
      <c r="Z27" s="183">
        <f t="shared" si="18"/>
        <v>0</v>
      </c>
      <c r="AA27" s="183">
        <f t="shared" si="19"/>
        <v>0</v>
      </c>
      <c r="AB27" s="183">
        <f t="shared" si="20"/>
        <v>0</v>
      </c>
      <c r="AC27" s="183">
        <f t="shared" si="21"/>
        <v>0</v>
      </c>
      <c r="AD27" s="183" t="str">
        <f t="shared" si="22"/>
        <v/>
      </c>
      <c r="AG27" s="176"/>
      <c r="AH27" s="176"/>
      <c r="AI27" s="176"/>
    </row>
    <row r="28" spans="1:35" x14ac:dyDescent="0.2">
      <c r="A28" s="188">
        <v>21</v>
      </c>
      <c r="B28" s="187"/>
      <c r="C28" s="187"/>
      <c r="D28" s="277">
        <f t="shared" si="0"/>
        <v>0</v>
      </c>
      <c r="E28" s="277">
        <f t="shared" si="1"/>
        <v>0</v>
      </c>
      <c r="F28" s="287">
        <f t="shared" si="23"/>
        <v>6</v>
      </c>
      <c r="G28" s="281">
        <f t="shared" si="2"/>
        <v>6</v>
      </c>
      <c r="H28" s="287">
        <f t="shared" si="24"/>
        <v>5</v>
      </c>
      <c r="I28" s="279" t="str">
        <f t="shared" si="3"/>
        <v/>
      </c>
      <c r="J28" s="277">
        <f t="shared" si="4"/>
        <v>0</v>
      </c>
      <c r="K28" s="277">
        <f t="shared" si="25"/>
        <v>0</v>
      </c>
      <c r="L28" s="277">
        <f t="shared" si="5"/>
        <v>0</v>
      </c>
      <c r="M28" s="277">
        <f t="shared" si="6"/>
        <v>0</v>
      </c>
      <c r="N28" s="277">
        <f t="shared" si="26"/>
        <v>5</v>
      </c>
      <c r="O28" s="281">
        <f t="shared" si="7"/>
        <v>0</v>
      </c>
      <c r="P28" s="281">
        <f t="shared" si="8"/>
        <v>0</v>
      </c>
      <c r="Q28" s="281">
        <f t="shared" si="9"/>
        <v>0</v>
      </c>
      <c r="R28" s="281" t="str">
        <f t="shared" si="10"/>
        <v/>
      </c>
      <c r="S28" s="183" t="str">
        <f t="shared" si="11"/>
        <v/>
      </c>
      <c r="T28" s="183" t="str">
        <f t="shared" si="12"/>
        <v/>
      </c>
      <c r="U28" s="183" t="str">
        <f t="shared" si="13"/>
        <v/>
      </c>
      <c r="V28" s="183" t="str">
        <f t="shared" si="14"/>
        <v/>
      </c>
      <c r="W28" s="181" t="str">
        <f t="shared" si="15"/>
        <v/>
      </c>
      <c r="X28" s="183">
        <f t="shared" si="16"/>
        <v>0</v>
      </c>
      <c r="Y28" s="183">
        <f t="shared" si="17"/>
        <v>0</v>
      </c>
      <c r="Z28" s="183">
        <f t="shared" si="18"/>
        <v>0</v>
      </c>
      <c r="AA28" s="183">
        <f t="shared" si="19"/>
        <v>0</v>
      </c>
      <c r="AB28" s="183">
        <f t="shared" si="20"/>
        <v>0</v>
      </c>
      <c r="AC28" s="183">
        <f t="shared" si="21"/>
        <v>0</v>
      </c>
      <c r="AD28" s="183" t="str">
        <f t="shared" si="22"/>
        <v/>
      </c>
      <c r="AG28" s="176"/>
      <c r="AH28" s="176"/>
      <c r="AI28" s="176"/>
    </row>
    <row r="29" spans="1:35" x14ac:dyDescent="0.2">
      <c r="A29" s="188">
        <v>22</v>
      </c>
      <c r="B29" s="187"/>
      <c r="C29" s="187"/>
      <c r="D29" s="277">
        <f t="shared" si="0"/>
        <v>0</v>
      </c>
      <c r="E29" s="277">
        <f t="shared" si="1"/>
        <v>0</v>
      </c>
      <c r="F29" s="287">
        <f t="shared" si="23"/>
        <v>6</v>
      </c>
      <c r="G29" s="281">
        <f t="shared" si="2"/>
        <v>6</v>
      </c>
      <c r="H29" s="287">
        <f t="shared" si="24"/>
        <v>5</v>
      </c>
      <c r="I29" s="279" t="str">
        <f t="shared" si="3"/>
        <v/>
      </c>
      <c r="J29" s="277">
        <f t="shared" si="4"/>
        <v>0</v>
      </c>
      <c r="K29" s="277">
        <f t="shared" si="25"/>
        <v>0</v>
      </c>
      <c r="L29" s="277">
        <f t="shared" si="5"/>
        <v>0</v>
      </c>
      <c r="M29" s="277">
        <f t="shared" si="6"/>
        <v>0</v>
      </c>
      <c r="N29" s="277">
        <f t="shared" si="26"/>
        <v>5</v>
      </c>
      <c r="O29" s="281">
        <f t="shared" si="7"/>
        <v>0</v>
      </c>
      <c r="P29" s="281">
        <f t="shared" si="8"/>
        <v>0</v>
      </c>
      <c r="Q29" s="281">
        <f t="shared" si="9"/>
        <v>0</v>
      </c>
      <c r="R29" s="281" t="str">
        <f t="shared" si="10"/>
        <v/>
      </c>
      <c r="S29" s="183" t="str">
        <f t="shared" si="11"/>
        <v/>
      </c>
      <c r="T29" s="183" t="str">
        <f t="shared" si="12"/>
        <v/>
      </c>
      <c r="U29" s="183" t="str">
        <f t="shared" si="13"/>
        <v/>
      </c>
      <c r="V29" s="183" t="str">
        <f t="shared" si="14"/>
        <v/>
      </c>
      <c r="W29" s="181" t="str">
        <f t="shared" si="15"/>
        <v/>
      </c>
      <c r="X29" s="183">
        <f t="shared" si="16"/>
        <v>0</v>
      </c>
      <c r="Y29" s="183">
        <f t="shared" si="17"/>
        <v>0</v>
      </c>
      <c r="Z29" s="183">
        <f t="shared" si="18"/>
        <v>0</v>
      </c>
      <c r="AA29" s="183">
        <f t="shared" si="19"/>
        <v>0</v>
      </c>
      <c r="AB29" s="183">
        <f t="shared" si="20"/>
        <v>0</v>
      </c>
      <c r="AC29" s="183">
        <f t="shared" si="21"/>
        <v>0</v>
      </c>
      <c r="AD29" s="183" t="str">
        <f t="shared" si="22"/>
        <v/>
      </c>
      <c r="AG29" s="176"/>
      <c r="AH29" s="176"/>
      <c r="AI29" s="176"/>
    </row>
    <row r="30" spans="1:35" x14ac:dyDescent="0.2">
      <c r="A30" s="188">
        <v>23</v>
      </c>
      <c r="B30" s="187"/>
      <c r="C30" s="187"/>
      <c r="D30" s="277">
        <f t="shared" si="0"/>
        <v>0</v>
      </c>
      <c r="E30" s="277">
        <f t="shared" si="1"/>
        <v>0</v>
      </c>
      <c r="F30" s="287">
        <f t="shared" si="23"/>
        <v>6</v>
      </c>
      <c r="G30" s="281">
        <f t="shared" si="2"/>
        <v>6</v>
      </c>
      <c r="H30" s="287">
        <f t="shared" si="24"/>
        <v>5</v>
      </c>
      <c r="I30" s="279" t="str">
        <f t="shared" si="3"/>
        <v/>
      </c>
      <c r="J30" s="277">
        <f t="shared" si="4"/>
        <v>0</v>
      </c>
      <c r="K30" s="277">
        <f t="shared" si="25"/>
        <v>0</v>
      </c>
      <c r="L30" s="277">
        <f t="shared" si="5"/>
        <v>0</v>
      </c>
      <c r="M30" s="277">
        <f t="shared" si="6"/>
        <v>0</v>
      </c>
      <c r="N30" s="277">
        <f t="shared" si="26"/>
        <v>5</v>
      </c>
      <c r="O30" s="281">
        <f t="shared" si="7"/>
        <v>0</v>
      </c>
      <c r="P30" s="281">
        <f t="shared" si="8"/>
        <v>0</v>
      </c>
      <c r="Q30" s="281">
        <f t="shared" si="9"/>
        <v>0</v>
      </c>
      <c r="R30" s="281" t="str">
        <f t="shared" si="10"/>
        <v/>
      </c>
      <c r="S30" s="183" t="str">
        <f t="shared" si="11"/>
        <v/>
      </c>
      <c r="T30" s="183" t="str">
        <f t="shared" si="12"/>
        <v/>
      </c>
      <c r="U30" s="183" t="str">
        <f t="shared" si="13"/>
        <v/>
      </c>
      <c r="V30" s="183" t="str">
        <f t="shared" si="14"/>
        <v/>
      </c>
      <c r="W30" s="181" t="str">
        <f t="shared" si="15"/>
        <v/>
      </c>
      <c r="X30" s="183">
        <f t="shared" si="16"/>
        <v>0</v>
      </c>
      <c r="Y30" s="183">
        <f t="shared" si="17"/>
        <v>0</v>
      </c>
      <c r="Z30" s="183">
        <f t="shared" si="18"/>
        <v>0</v>
      </c>
      <c r="AA30" s="183">
        <f t="shared" si="19"/>
        <v>0</v>
      </c>
      <c r="AB30" s="183">
        <f t="shared" si="20"/>
        <v>0</v>
      </c>
      <c r="AC30" s="183">
        <f t="shared" si="21"/>
        <v>0</v>
      </c>
      <c r="AD30" s="183" t="str">
        <f t="shared" si="22"/>
        <v/>
      </c>
      <c r="AG30" s="176"/>
      <c r="AH30" s="176"/>
      <c r="AI30" s="176"/>
    </row>
    <row r="31" spans="1:35" x14ac:dyDescent="0.2">
      <c r="A31" s="188">
        <v>24</v>
      </c>
      <c r="B31" s="187"/>
      <c r="C31" s="187"/>
      <c r="D31" s="277">
        <f t="shared" si="0"/>
        <v>0</v>
      </c>
      <c r="E31" s="277">
        <f t="shared" si="1"/>
        <v>0</v>
      </c>
      <c r="F31" s="287">
        <f t="shared" si="23"/>
        <v>6</v>
      </c>
      <c r="G31" s="281">
        <f t="shared" si="2"/>
        <v>6</v>
      </c>
      <c r="H31" s="287">
        <f t="shared" si="24"/>
        <v>5</v>
      </c>
      <c r="I31" s="279" t="str">
        <f t="shared" si="3"/>
        <v/>
      </c>
      <c r="J31" s="277">
        <f t="shared" si="4"/>
        <v>0</v>
      </c>
      <c r="K31" s="277">
        <f t="shared" si="25"/>
        <v>0</v>
      </c>
      <c r="L31" s="277">
        <f t="shared" si="5"/>
        <v>0</v>
      </c>
      <c r="M31" s="277">
        <f t="shared" si="6"/>
        <v>0</v>
      </c>
      <c r="N31" s="277">
        <f t="shared" si="26"/>
        <v>5</v>
      </c>
      <c r="O31" s="281">
        <f t="shared" si="7"/>
        <v>0</v>
      </c>
      <c r="P31" s="281">
        <f t="shared" si="8"/>
        <v>0</v>
      </c>
      <c r="Q31" s="281">
        <f t="shared" si="9"/>
        <v>0</v>
      </c>
      <c r="R31" s="281" t="str">
        <f t="shared" si="10"/>
        <v/>
      </c>
      <c r="S31" s="183" t="str">
        <f t="shared" si="11"/>
        <v/>
      </c>
      <c r="T31" s="183" t="str">
        <f t="shared" si="12"/>
        <v/>
      </c>
      <c r="U31" s="183" t="str">
        <f t="shared" si="13"/>
        <v/>
      </c>
      <c r="V31" s="183" t="str">
        <f t="shared" si="14"/>
        <v/>
      </c>
      <c r="W31" s="181" t="str">
        <f t="shared" si="15"/>
        <v/>
      </c>
      <c r="X31" s="183">
        <f t="shared" si="16"/>
        <v>0</v>
      </c>
      <c r="Y31" s="183">
        <f t="shared" si="17"/>
        <v>0</v>
      </c>
      <c r="Z31" s="183">
        <f t="shared" si="18"/>
        <v>0</v>
      </c>
      <c r="AA31" s="183">
        <f t="shared" si="19"/>
        <v>0</v>
      </c>
      <c r="AB31" s="183">
        <f t="shared" si="20"/>
        <v>0</v>
      </c>
      <c r="AC31" s="183">
        <f t="shared" si="21"/>
        <v>0</v>
      </c>
      <c r="AD31" s="183" t="str">
        <f t="shared" si="22"/>
        <v/>
      </c>
      <c r="AG31" s="176"/>
      <c r="AH31" s="176"/>
      <c r="AI31" s="176"/>
    </row>
    <row r="32" spans="1:35" x14ac:dyDescent="0.2">
      <c r="A32" s="188">
        <v>25</v>
      </c>
      <c r="B32" s="187"/>
      <c r="C32" s="187"/>
      <c r="D32" s="277">
        <f t="shared" si="0"/>
        <v>0</v>
      </c>
      <c r="E32" s="277">
        <f t="shared" si="1"/>
        <v>0</v>
      </c>
      <c r="F32" s="287">
        <f t="shared" si="23"/>
        <v>6</v>
      </c>
      <c r="G32" s="281">
        <f t="shared" si="2"/>
        <v>6</v>
      </c>
      <c r="H32" s="287">
        <f t="shared" si="24"/>
        <v>5</v>
      </c>
      <c r="I32" s="279" t="str">
        <f t="shared" si="3"/>
        <v/>
      </c>
      <c r="J32" s="277">
        <f t="shared" si="4"/>
        <v>0</v>
      </c>
      <c r="K32" s="277">
        <f t="shared" si="25"/>
        <v>0</v>
      </c>
      <c r="L32" s="277">
        <f t="shared" si="5"/>
        <v>0</v>
      </c>
      <c r="M32" s="277">
        <f t="shared" si="6"/>
        <v>0</v>
      </c>
      <c r="N32" s="277">
        <f t="shared" si="26"/>
        <v>5</v>
      </c>
      <c r="O32" s="281">
        <f t="shared" si="7"/>
        <v>0</v>
      </c>
      <c r="P32" s="281">
        <f t="shared" si="8"/>
        <v>0</v>
      </c>
      <c r="Q32" s="281">
        <f t="shared" si="9"/>
        <v>0</v>
      </c>
      <c r="R32" s="281" t="str">
        <f t="shared" si="10"/>
        <v/>
      </c>
      <c r="S32" s="183" t="str">
        <f t="shared" si="11"/>
        <v/>
      </c>
      <c r="T32" s="183" t="str">
        <f t="shared" si="12"/>
        <v/>
      </c>
      <c r="U32" s="183" t="str">
        <f t="shared" si="13"/>
        <v/>
      </c>
      <c r="V32" s="183" t="str">
        <f t="shared" si="14"/>
        <v/>
      </c>
      <c r="W32" s="181" t="str">
        <f t="shared" si="15"/>
        <v/>
      </c>
      <c r="X32" s="183">
        <f t="shared" si="16"/>
        <v>0</v>
      </c>
      <c r="Y32" s="183">
        <f t="shared" si="17"/>
        <v>0</v>
      </c>
      <c r="Z32" s="183">
        <f t="shared" si="18"/>
        <v>0</v>
      </c>
      <c r="AA32" s="183">
        <f t="shared" si="19"/>
        <v>0</v>
      </c>
      <c r="AB32" s="183">
        <f t="shared" si="20"/>
        <v>0</v>
      </c>
      <c r="AC32" s="183">
        <f t="shared" si="21"/>
        <v>0</v>
      </c>
      <c r="AD32" s="183" t="str">
        <f t="shared" si="22"/>
        <v/>
      </c>
      <c r="AG32" s="176"/>
      <c r="AH32" s="176"/>
      <c r="AI32" s="176"/>
    </row>
    <row r="33" spans="1:35" x14ac:dyDescent="0.2">
      <c r="A33" s="188">
        <v>26</v>
      </c>
      <c r="B33" s="187"/>
      <c r="C33" s="187"/>
      <c r="D33" s="277">
        <f t="shared" si="0"/>
        <v>0</v>
      </c>
      <c r="E33" s="277">
        <f t="shared" si="1"/>
        <v>0</v>
      </c>
      <c r="F33" s="287">
        <f t="shared" si="23"/>
        <v>6</v>
      </c>
      <c r="G33" s="281">
        <f t="shared" si="2"/>
        <v>6</v>
      </c>
      <c r="H33" s="287">
        <f t="shared" si="24"/>
        <v>5</v>
      </c>
      <c r="I33" s="279" t="str">
        <f t="shared" si="3"/>
        <v/>
      </c>
      <c r="J33" s="277">
        <f t="shared" si="4"/>
        <v>0</v>
      </c>
      <c r="K33" s="277">
        <f t="shared" si="25"/>
        <v>0</v>
      </c>
      <c r="L33" s="277">
        <f t="shared" si="5"/>
        <v>0</v>
      </c>
      <c r="M33" s="277">
        <f t="shared" si="6"/>
        <v>0</v>
      </c>
      <c r="N33" s="277">
        <f t="shared" si="26"/>
        <v>5</v>
      </c>
      <c r="O33" s="281">
        <f t="shared" si="7"/>
        <v>0</v>
      </c>
      <c r="P33" s="281">
        <f t="shared" si="8"/>
        <v>0</v>
      </c>
      <c r="Q33" s="281">
        <f t="shared" si="9"/>
        <v>0</v>
      </c>
      <c r="R33" s="281" t="str">
        <f t="shared" si="10"/>
        <v/>
      </c>
      <c r="S33" s="183" t="str">
        <f t="shared" si="11"/>
        <v/>
      </c>
      <c r="T33" s="183" t="str">
        <f t="shared" si="12"/>
        <v/>
      </c>
      <c r="U33" s="183" t="str">
        <f t="shared" si="13"/>
        <v/>
      </c>
      <c r="V33" s="183" t="str">
        <f t="shared" si="14"/>
        <v/>
      </c>
      <c r="W33" s="181" t="str">
        <f t="shared" si="15"/>
        <v/>
      </c>
      <c r="X33" s="183">
        <f t="shared" si="16"/>
        <v>0</v>
      </c>
      <c r="Y33" s="183">
        <f t="shared" si="17"/>
        <v>0</v>
      </c>
      <c r="Z33" s="183">
        <f t="shared" si="18"/>
        <v>0</v>
      </c>
      <c r="AA33" s="183">
        <f t="shared" si="19"/>
        <v>0</v>
      </c>
      <c r="AB33" s="183">
        <f t="shared" si="20"/>
        <v>0</v>
      </c>
      <c r="AC33" s="183">
        <f t="shared" si="21"/>
        <v>0</v>
      </c>
      <c r="AD33" s="183" t="str">
        <f t="shared" si="22"/>
        <v/>
      </c>
      <c r="AG33" s="176"/>
      <c r="AH33" s="176"/>
      <c r="AI33" s="176"/>
    </row>
    <row r="34" spans="1:35" x14ac:dyDescent="0.2">
      <c r="A34" s="188">
        <v>27</v>
      </c>
      <c r="B34" s="187"/>
      <c r="C34" s="187"/>
      <c r="D34" s="277">
        <f t="shared" si="0"/>
        <v>0</v>
      </c>
      <c r="E34" s="277">
        <f t="shared" si="1"/>
        <v>0</v>
      </c>
      <c r="F34" s="287">
        <f t="shared" si="23"/>
        <v>6</v>
      </c>
      <c r="G34" s="281">
        <f t="shared" si="2"/>
        <v>6</v>
      </c>
      <c r="H34" s="287">
        <f t="shared" si="24"/>
        <v>5</v>
      </c>
      <c r="I34" s="279" t="str">
        <f t="shared" si="3"/>
        <v/>
      </c>
      <c r="J34" s="277">
        <f t="shared" si="4"/>
        <v>0</v>
      </c>
      <c r="K34" s="277">
        <f t="shared" si="25"/>
        <v>0</v>
      </c>
      <c r="L34" s="277">
        <f t="shared" si="5"/>
        <v>0</v>
      </c>
      <c r="M34" s="277">
        <f t="shared" si="6"/>
        <v>0</v>
      </c>
      <c r="N34" s="277">
        <f t="shared" si="26"/>
        <v>5</v>
      </c>
      <c r="O34" s="281">
        <f t="shared" si="7"/>
        <v>0</v>
      </c>
      <c r="P34" s="281">
        <f t="shared" si="8"/>
        <v>0</v>
      </c>
      <c r="Q34" s="281">
        <f t="shared" si="9"/>
        <v>0</v>
      </c>
      <c r="R34" s="281" t="str">
        <f t="shared" si="10"/>
        <v/>
      </c>
      <c r="S34" s="183" t="str">
        <f t="shared" si="11"/>
        <v/>
      </c>
      <c r="T34" s="183" t="str">
        <f t="shared" si="12"/>
        <v/>
      </c>
      <c r="U34" s="183" t="str">
        <f t="shared" si="13"/>
        <v/>
      </c>
      <c r="V34" s="183" t="str">
        <f t="shared" si="14"/>
        <v/>
      </c>
      <c r="W34" s="181" t="str">
        <f t="shared" si="15"/>
        <v/>
      </c>
      <c r="X34" s="183">
        <f t="shared" si="16"/>
        <v>0</v>
      </c>
      <c r="Y34" s="183">
        <f t="shared" si="17"/>
        <v>0</v>
      </c>
      <c r="Z34" s="183">
        <f t="shared" si="18"/>
        <v>0</v>
      </c>
      <c r="AA34" s="183">
        <f t="shared" si="19"/>
        <v>0</v>
      </c>
      <c r="AB34" s="183">
        <f t="shared" si="20"/>
        <v>0</v>
      </c>
      <c r="AC34" s="183">
        <f t="shared" si="21"/>
        <v>0</v>
      </c>
      <c r="AD34" s="183" t="str">
        <f t="shared" si="22"/>
        <v/>
      </c>
      <c r="AG34" s="176"/>
      <c r="AH34" s="176"/>
      <c r="AI34" s="176"/>
    </row>
    <row r="35" spans="1:35" x14ac:dyDescent="0.2">
      <c r="A35" s="188">
        <v>28</v>
      </c>
      <c r="B35" s="187"/>
      <c r="C35" s="187"/>
      <c r="D35" s="277">
        <f t="shared" si="0"/>
        <v>0</v>
      </c>
      <c r="E35" s="277">
        <f t="shared" si="1"/>
        <v>0</v>
      </c>
      <c r="F35" s="287">
        <f t="shared" si="23"/>
        <v>6</v>
      </c>
      <c r="G35" s="281">
        <f t="shared" si="2"/>
        <v>6</v>
      </c>
      <c r="H35" s="287">
        <f t="shared" si="24"/>
        <v>5</v>
      </c>
      <c r="I35" s="279" t="str">
        <f t="shared" si="3"/>
        <v/>
      </c>
      <c r="J35" s="277">
        <f t="shared" si="4"/>
        <v>0</v>
      </c>
      <c r="K35" s="277">
        <f t="shared" si="25"/>
        <v>0</v>
      </c>
      <c r="L35" s="277">
        <f t="shared" si="5"/>
        <v>0</v>
      </c>
      <c r="M35" s="277">
        <f t="shared" si="6"/>
        <v>0</v>
      </c>
      <c r="N35" s="277">
        <f t="shared" si="26"/>
        <v>5</v>
      </c>
      <c r="O35" s="281">
        <f t="shared" si="7"/>
        <v>0</v>
      </c>
      <c r="P35" s="281">
        <f t="shared" si="8"/>
        <v>0</v>
      </c>
      <c r="Q35" s="281">
        <f t="shared" si="9"/>
        <v>0</v>
      </c>
      <c r="R35" s="281" t="str">
        <f t="shared" si="10"/>
        <v/>
      </c>
      <c r="S35" s="183" t="str">
        <f t="shared" si="11"/>
        <v/>
      </c>
      <c r="T35" s="183" t="str">
        <f t="shared" si="12"/>
        <v/>
      </c>
      <c r="U35" s="183" t="str">
        <f t="shared" si="13"/>
        <v/>
      </c>
      <c r="V35" s="183" t="str">
        <f t="shared" si="14"/>
        <v/>
      </c>
      <c r="W35" s="181" t="str">
        <f t="shared" si="15"/>
        <v/>
      </c>
      <c r="X35" s="183">
        <f t="shared" si="16"/>
        <v>0</v>
      </c>
      <c r="Y35" s="183">
        <f t="shared" si="17"/>
        <v>0</v>
      </c>
      <c r="Z35" s="183">
        <f t="shared" si="18"/>
        <v>0</v>
      </c>
      <c r="AA35" s="183">
        <f t="shared" si="19"/>
        <v>0</v>
      </c>
      <c r="AB35" s="183">
        <f t="shared" si="20"/>
        <v>0</v>
      </c>
      <c r="AC35" s="183">
        <f t="shared" si="21"/>
        <v>0</v>
      </c>
      <c r="AD35" s="183" t="str">
        <f t="shared" si="22"/>
        <v/>
      </c>
      <c r="AG35" s="176"/>
      <c r="AH35" s="176"/>
      <c r="AI35" s="176"/>
    </row>
    <row r="36" spans="1:35" x14ac:dyDescent="0.2">
      <c r="A36" s="188">
        <v>29</v>
      </c>
      <c r="B36" s="187"/>
      <c r="C36" s="187"/>
      <c r="D36" s="277">
        <f t="shared" si="0"/>
        <v>0</v>
      </c>
      <c r="E36" s="277">
        <f t="shared" si="1"/>
        <v>0</v>
      </c>
      <c r="F36" s="287">
        <f t="shared" si="23"/>
        <v>6</v>
      </c>
      <c r="G36" s="281">
        <f t="shared" si="2"/>
        <v>6</v>
      </c>
      <c r="H36" s="287">
        <f t="shared" si="24"/>
        <v>5</v>
      </c>
      <c r="I36" s="279" t="str">
        <f t="shared" si="3"/>
        <v/>
      </c>
      <c r="J36" s="277">
        <f t="shared" si="4"/>
        <v>0</v>
      </c>
      <c r="K36" s="277">
        <f t="shared" si="25"/>
        <v>0</v>
      </c>
      <c r="L36" s="277">
        <f t="shared" si="5"/>
        <v>0</v>
      </c>
      <c r="M36" s="277">
        <f t="shared" si="6"/>
        <v>0</v>
      </c>
      <c r="N36" s="277">
        <f t="shared" si="26"/>
        <v>5</v>
      </c>
      <c r="O36" s="281">
        <f t="shared" si="7"/>
        <v>0</v>
      </c>
      <c r="P36" s="281">
        <f t="shared" si="8"/>
        <v>0</v>
      </c>
      <c r="Q36" s="281">
        <f t="shared" si="9"/>
        <v>0</v>
      </c>
      <c r="R36" s="281" t="str">
        <f t="shared" si="10"/>
        <v/>
      </c>
      <c r="S36" s="183" t="str">
        <f t="shared" si="11"/>
        <v/>
      </c>
      <c r="T36" s="183" t="str">
        <f t="shared" si="12"/>
        <v/>
      </c>
      <c r="U36" s="183" t="str">
        <f t="shared" si="13"/>
        <v/>
      </c>
      <c r="V36" s="183" t="str">
        <f t="shared" si="14"/>
        <v/>
      </c>
      <c r="W36" s="181" t="str">
        <f t="shared" si="15"/>
        <v/>
      </c>
      <c r="X36" s="183">
        <f t="shared" si="16"/>
        <v>0</v>
      </c>
      <c r="Y36" s="183">
        <f t="shared" si="17"/>
        <v>0</v>
      </c>
      <c r="Z36" s="183">
        <f t="shared" si="18"/>
        <v>0</v>
      </c>
      <c r="AA36" s="183">
        <f t="shared" si="19"/>
        <v>0</v>
      </c>
      <c r="AB36" s="183">
        <f t="shared" si="20"/>
        <v>0</v>
      </c>
      <c r="AC36" s="183">
        <f t="shared" si="21"/>
        <v>0</v>
      </c>
      <c r="AD36" s="183" t="str">
        <f t="shared" si="22"/>
        <v/>
      </c>
      <c r="AG36" s="176"/>
      <c r="AH36" s="176"/>
      <c r="AI36" s="176"/>
    </row>
    <row r="37" spans="1:35" x14ac:dyDescent="0.2">
      <c r="A37" s="188">
        <v>30</v>
      </c>
      <c r="B37" s="187"/>
      <c r="C37" s="187"/>
      <c r="D37" s="277">
        <f t="shared" si="0"/>
        <v>0</v>
      </c>
      <c r="E37" s="277">
        <f t="shared" si="1"/>
        <v>0</v>
      </c>
      <c r="F37" s="287">
        <f t="shared" si="23"/>
        <v>6</v>
      </c>
      <c r="G37" s="281">
        <f t="shared" si="2"/>
        <v>6</v>
      </c>
      <c r="H37" s="287">
        <f t="shared" si="24"/>
        <v>5</v>
      </c>
      <c r="I37" s="279" t="str">
        <f t="shared" si="3"/>
        <v/>
      </c>
      <c r="J37" s="277">
        <f t="shared" si="4"/>
        <v>0</v>
      </c>
      <c r="K37" s="277">
        <f t="shared" si="25"/>
        <v>0</v>
      </c>
      <c r="L37" s="277">
        <f t="shared" si="5"/>
        <v>0</v>
      </c>
      <c r="M37" s="277">
        <f t="shared" si="6"/>
        <v>0</v>
      </c>
      <c r="N37" s="277">
        <f t="shared" si="26"/>
        <v>5</v>
      </c>
      <c r="O37" s="281">
        <f t="shared" si="7"/>
        <v>0</v>
      </c>
      <c r="P37" s="281">
        <f t="shared" si="8"/>
        <v>0</v>
      </c>
      <c r="Q37" s="281">
        <f t="shared" si="9"/>
        <v>0</v>
      </c>
      <c r="R37" s="281" t="str">
        <f t="shared" si="10"/>
        <v/>
      </c>
      <c r="S37" s="183" t="str">
        <f t="shared" si="11"/>
        <v/>
      </c>
      <c r="T37" s="183" t="str">
        <f t="shared" si="12"/>
        <v/>
      </c>
      <c r="U37" s="183" t="str">
        <f t="shared" si="13"/>
        <v/>
      </c>
      <c r="V37" s="183" t="str">
        <f t="shared" si="14"/>
        <v/>
      </c>
      <c r="W37" s="181" t="str">
        <f t="shared" si="15"/>
        <v/>
      </c>
      <c r="X37" s="183">
        <f t="shared" si="16"/>
        <v>0</v>
      </c>
      <c r="Y37" s="183">
        <f t="shared" si="17"/>
        <v>0</v>
      </c>
      <c r="Z37" s="183">
        <f t="shared" si="18"/>
        <v>0</v>
      </c>
      <c r="AA37" s="183">
        <f t="shared" si="19"/>
        <v>0</v>
      </c>
      <c r="AB37" s="183">
        <f t="shared" si="20"/>
        <v>0</v>
      </c>
      <c r="AC37" s="183">
        <f t="shared" si="21"/>
        <v>0</v>
      </c>
      <c r="AD37" s="183" t="str">
        <f t="shared" si="22"/>
        <v/>
      </c>
      <c r="AG37" s="176"/>
      <c r="AH37" s="176"/>
      <c r="AI37" s="176"/>
    </row>
    <row r="38" spans="1:35" x14ac:dyDescent="0.2">
      <c r="A38" s="188">
        <v>31</v>
      </c>
      <c r="B38" s="187"/>
      <c r="C38" s="187"/>
      <c r="D38" s="277">
        <f t="shared" si="0"/>
        <v>0</v>
      </c>
      <c r="E38" s="277">
        <f t="shared" si="1"/>
        <v>0</v>
      </c>
      <c r="F38" s="287">
        <f t="shared" si="23"/>
        <v>6</v>
      </c>
      <c r="G38" s="281">
        <f t="shared" si="2"/>
        <v>6</v>
      </c>
      <c r="H38" s="287">
        <f t="shared" si="24"/>
        <v>5</v>
      </c>
      <c r="I38" s="279" t="str">
        <f t="shared" si="3"/>
        <v/>
      </c>
      <c r="J38" s="277">
        <f t="shared" si="4"/>
        <v>0</v>
      </c>
      <c r="K38" s="277">
        <f t="shared" si="25"/>
        <v>0</v>
      </c>
      <c r="L38" s="277">
        <f t="shared" si="5"/>
        <v>0</v>
      </c>
      <c r="M38" s="277">
        <f t="shared" si="6"/>
        <v>0</v>
      </c>
      <c r="N38" s="277">
        <f t="shared" si="26"/>
        <v>5</v>
      </c>
      <c r="O38" s="281">
        <f t="shared" si="7"/>
        <v>0</v>
      </c>
      <c r="P38" s="281">
        <f t="shared" si="8"/>
        <v>0</v>
      </c>
      <c r="Q38" s="281">
        <f t="shared" si="9"/>
        <v>0</v>
      </c>
      <c r="R38" s="281" t="str">
        <f t="shared" si="10"/>
        <v/>
      </c>
      <c r="S38" s="183" t="str">
        <f t="shared" si="11"/>
        <v/>
      </c>
      <c r="T38" s="183" t="str">
        <f t="shared" si="12"/>
        <v/>
      </c>
      <c r="U38" s="183" t="str">
        <f t="shared" si="13"/>
        <v/>
      </c>
      <c r="V38" s="183" t="str">
        <f t="shared" si="14"/>
        <v/>
      </c>
      <c r="W38" s="181" t="str">
        <f t="shared" si="15"/>
        <v/>
      </c>
      <c r="X38" s="183">
        <f t="shared" si="16"/>
        <v>0</v>
      </c>
      <c r="Y38" s="183">
        <f t="shared" si="17"/>
        <v>0</v>
      </c>
      <c r="Z38" s="183">
        <f t="shared" si="18"/>
        <v>0</v>
      </c>
      <c r="AA38" s="183">
        <f t="shared" si="19"/>
        <v>0</v>
      </c>
      <c r="AB38" s="183">
        <f t="shared" si="20"/>
        <v>0</v>
      </c>
      <c r="AC38" s="183">
        <f t="shared" si="21"/>
        <v>0</v>
      </c>
      <c r="AD38" s="183" t="str">
        <f t="shared" si="22"/>
        <v/>
      </c>
      <c r="AG38" s="176"/>
      <c r="AH38" s="176"/>
      <c r="AI38" s="176"/>
    </row>
    <row r="39" spans="1:35" x14ac:dyDescent="0.2">
      <c r="A39" s="188">
        <v>32</v>
      </c>
      <c r="B39" s="187"/>
      <c r="C39" s="187"/>
      <c r="D39" s="277">
        <f t="shared" si="0"/>
        <v>0</v>
      </c>
      <c r="E39" s="277">
        <f t="shared" si="1"/>
        <v>0</v>
      </c>
      <c r="F39" s="287">
        <f t="shared" si="23"/>
        <v>6</v>
      </c>
      <c r="G39" s="281">
        <f t="shared" si="2"/>
        <v>6</v>
      </c>
      <c r="H39" s="287">
        <f t="shared" si="24"/>
        <v>5</v>
      </c>
      <c r="I39" s="279" t="str">
        <f t="shared" si="3"/>
        <v/>
      </c>
      <c r="J39" s="277">
        <f t="shared" si="4"/>
        <v>0</v>
      </c>
      <c r="K39" s="277">
        <f t="shared" si="25"/>
        <v>0</v>
      </c>
      <c r="L39" s="277">
        <f t="shared" si="5"/>
        <v>0</v>
      </c>
      <c r="M39" s="277">
        <f t="shared" si="6"/>
        <v>0</v>
      </c>
      <c r="N39" s="277">
        <f t="shared" si="26"/>
        <v>5</v>
      </c>
      <c r="O39" s="281">
        <f t="shared" si="7"/>
        <v>0</v>
      </c>
      <c r="P39" s="281">
        <f t="shared" si="8"/>
        <v>0</v>
      </c>
      <c r="Q39" s="281">
        <f t="shared" si="9"/>
        <v>0</v>
      </c>
      <c r="R39" s="281" t="str">
        <f t="shared" si="10"/>
        <v/>
      </c>
      <c r="S39" s="183" t="str">
        <f t="shared" si="11"/>
        <v/>
      </c>
      <c r="T39" s="183" t="str">
        <f t="shared" si="12"/>
        <v/>
      </c>
      <c r="U39" s="183" t="str">
        <f t="shared" si="13"/>
        <v/>
      </c>
      <c r="V39" s="183" t="str">
        <f t="shared" si="14"/>
        <v/>
      </c>
      <c r="W39" s="181" t="str">
        <f t="shared" si="15"/>
        <v/>
      </c>
      <c r="X39" s="183">
        <f t="shared" si="16"/>
        <v>0</v>
      </c>
      <c r="Y39" s="183">
        <f t="shared" si="17"/>
        <v>0</v>
      </c>
      <c r="Z39" s="183">
        <f t="shared" si="18"/>
        <v>0</v>
      </c>
      <c r="AA39" s="183">
        <f t="shared" si="19"/>
        <v>0</v>
      </c>
      <c r="AB39" s="183">
        <f t="shared" si="20"/>
        <v>0</v>
      </c>
      <c r="AC39" s="183">
        <f t="shared" si="21"/>
        <v>0</v>
      </c>
      <c r="AD39" s="183" t="str">
        <f t="shared" si="22"/>
        <v/>
      </c>
      <c r="AG39" s="176"/>
      <c r="AH39" s="176"/>
      <c r="AI39" s="176"/>
    </row>
    <row r="40" spans="1:35" x14ac:dyDescent="0.2">
      <c r="A40" s="188">
        <v>33</v>
      </c>
      <c r="B40" s="187"/>
      <c r="C40" s="187"/>
      <c r="D40" s="277">
        <f t="shared" ref="D40:D58" si="27">+B40-B39</f>
        <v>0</v>
      </c>
      <c r="E40" s="277">
        <f t="shared" ref="E40:E58" si="28">MAX(C39:C40)</f>
        <v>0</v>
      </c>
      <c r="F40" s="287">
        <f t="shared" si="23"/>
        <v>6</v>
      </c>
      <c r="G40" s="281">
        <f t="shared" ref="G40:G58" si="29">ABS(E40-F40)</f>
        <v>6</v>
      </c>
      <c r="H40" s="287">
        <f t="shared" si="24"/>
        <v>5</v>
      </c>
      <c r="I40" s="279" t="str">
        <f t="shared" ref="I40:I58" si="30">IF(H40&gt;G40,1,"")</f>
        <v/>
      </c>
      <c r="J40" s="277">
        <f t="shared" ref="J40:J58" si="31">+D40</f>
        <v>0</v>
      </c>
      <c r="K40" s="277">
        <f t="shared" si="25"/>
        <v>0</v>
      </c>
      <c r="L40" s="277">
        <f t="shared" ref="L40:L58" si="32">+K41</f>
        <v>0</v>
      </c>
      <c r="M40" s="277">
        <f t="shared" ref="M40:M58" si="33">MAX(K40:L40)</f>
        <v>0</v>
      </c>
      <c r="N40" s="277">
        <f t="shared" si="26"/>
        <v>5</v>
      </c>
      <c r="O40" s="281">
        <f t="shared" ref="O40:O58" si="34">MIN(C39:C40)</f>
        <v>0</v>
      </c>
      <c r="P40" s="281">
        <f t="shared" ref="P40:P58" si="35">+E40</f>
        <v>0</v>
      </c>
      <c r="Q40" s="281">
        <f t="shared" ref="Q40:Q58" si="36">+ABS(P40-O40)</f>
        <v>0</v>
      </c>
      <c r="R40" s="281" t="str">
        <f t="shared" ref="R40:R58" si="37">IF(J40=0,"",(J40*M40)/Q40)</f>
        <v/>
      </c>
      <c r="S40" s="183" t="str">
        <f t="shared" ref="S40:S58" si="38">IF(I40="","",R40)</f>
        <v/>
      </c>
      <c r="T40" s="183" t="str">
        <f t="shared" ref="T40:T58" si="39">IF(K40="","",IF(SUM(K40:L40)&lt;=0,"",IF(K40=0,1,"")))</f>
        <v/>
      </c>
      <c r="U40" s="183" t="str">
        <f t="shared" ref="U40:U58" si="40">IF(SUM(K40:L40)&lt;=0,"",IF(L40=0,1,""))</f>
        <v/>
      </c>
      <c r="V40" s="183" t="str">
        <f t="shared" ref="V40:V58" si="41">IF(SUM(T40:U40)=0,"",1)</f>
        <v/>
      </c>
      <c r="W40" s="181" t="str">
        <f t="shared" ref="W40:W58" si="42">IF(I40="","",IF(I40=1,IF(V40=1,((K40+L40)/2)*R40,((K40+L40)/2)*J40)))</f>
        <v/>
      </c>
      <c r="X40" s="183">
        <f t="shared" ref="X40:X58" si="43">IF(W40="",0,IF(V40=1,(R40*R40),(J40*J40)))</f>
        <v>0</v>
      </c>
      <c r="Y40" s="183">
        <f t="shared" ref="Y40:Y58" si="44">MIN(K40:L40)</f>
        <v>0</v>
      </c>
      <c r="Z40" s="183">
        <f t="shared" ref="Z40:Z58" si="45">M40</f>
        <v>0</v>
      </c>
      <c r="AA40" s="183">
        <f t="shared" ref="AA40:AA58" si="46">ABS(Z40-Y40)</f>
        <v>0</v>
      </c>
      <c r="AB40" s="183">
        <f t="shared" ref="AB40:AB58" si="47">AA40*AA40</f>
        <v>0</v>
      </c>
      <c r="AC40" s="183">
        <f t="shared" ref="AC40:AC58" si="48">X40+AB40</f>
        <v>0</v>
      </c>
      <c r="AD40" s="183" t="str">
        <f t="shared" ref="AD40:AD58" si="49">IF(W40="","",SQRT(AC40))</f>
        <v/>
      </c>
      <c r="AG40" s="176"/>
      <c r="AH40" s="176"/>
      <c r="AI40" s="176"/>
    </row>
    <row r="41" spans="1:35" x14ac:dyDescent="0.2">
      <c r="A41" s="188">
        <v>34</v>
      </c>
      <c r="B41" s="187"/>
      <c r="C41" s="187"/>
      <c r="D41" s="277">
        <f t="shared" si="27"/>
        <v>0</v>
      </c>
      <c r="E41" s="277">
        <f t="shared" si="28"/>
        <v>0</v>
      </c>
      <c r="F41" s="287">
        <f t="shared" ref="F41:F58" si="50">+F40</f>
        <v>6</v>
      </c>
      <c r="G41" s="281">
        <f t="shared" si="29"/>
        <v>6</v>
      </c>
      <c r="H41" s="287">
        <f t="shared" ref="H41:H58" si="51">+H40</f>
        <v>5</v>
      </c>
      <c r="I41" s="279" t="str">
        <f t="shared" si="30"/>
        <v/>
      </c>
      <c r="J41" s="277">
        <f t="shared" si="31"/>
        <v>0</v>
      </c>
      <c r="K41" s="277">
        <f t="shared" ref="K41:K59" si="52">IF((H40-F40+C40)&lt;0,0,(H40-F40+C40))</f>
        <v>0</v>
      </c>
      <c r="L41" s="277">
        <f t="shared" si="32"/>
        <v>0</v>
      </c>
      <c r="M41" s="277">
        <f t="shared" si="33"/>
        <v>0</v>
      </c>
      <c r="N41" s="277">
        <f t="shared" ref="N41:N58" si="53">+N40</f>
        <v>5</v>
      </c>
      <c r="O41" s="281">
        <f t="shared" si="34"/>
        <v>0</v>
      </c>
      <c r="P41" s="281">
        <f t="shared" si="35"/>
        <v>0</v>
      </c>
      <c r="Q41" s="281">
        <f t="shared" si="36"/>
        <v>0</v>
      </c>
      <c r="R41" s="281" t="str">
        <f t="shared" si="37"/>
        <v/>
      </c>
      <c r="S41" s="183" t="str">
        <f t="shared" si="38"/>
        <v/>
      </c>
      <c r="T41" s="183" t="str">
        <f t="shared" si="39"/>
        <v/>
      </c>
      <c r="U41" s="183" t="str">
        <f t="shared" si="40"/>
        <v/>
      </c>
      <c r="V41" s="183" t="str">
        <f t="shared" si="41"/>
        <v/>
      </c>
      <c r="W41" s="181" t="str">
        <f t="shared" si="42"/>
        <v/>
      </c>
      <c r="X41" s="183">
        <f t="shared" si="43"/>
        <v>0</v>
      </c>
      <c r="Y41" s="183">
        <f t="shared" si="44"/>
        <v>0</v>
      </c>
      <c r="Z41" s="183">
        <f t="shared" si="45"/>
        <v>0</v>
      </c>
      <c r="AA41" s="183">
        <f t="shared" si="46"/>
        <v>0</v>
      </c>
      <c r="AB41" s="183">
        <f t="shared" si="47"/>
        <v>0</v>
      </c>
      <c r="AC41" s="183">
        <f t="shared" si="48"/>
        <v>0</v>
      </c>
      <c r="AD41" s="183" t="str">
        <f t="shared" si="49"/>
        <v/>
      </c>
      <c r="AG41" s="176"/>
      <c r="AH41" s="176"/>
      <c r="AI41" s="176"/>
    </row>
    <row r="42" spans="1:35" x14ac:dyDescent="0.2">
      <c r="A42" s="188">
        <v>35</v>
      </c>
      <c r="B42" s="187"/>
      <c r="C42" s="187"/>
      <c r="D42" s="277">
        <f t="shared" si="27"/>
        <v>0</v>
      </c>
      <c r="E42" s="277">
        <f t="shared" si="28"/>
        <v>0</v>
      </c>
      <c r="F42" s="287">
        <f t="shared" si="50"/>
        <v>6</v>
      </c>
      <c r="G42" s="281">
        <f t="shared" si="29"/>
        <v>6</v>
      </c>
      <c r="H42" s="287">
        <f t="shared" si="51"/>
        <v>5</v>
      </c>
      <c r="I42" s="279" t="str">
        <f t="shared" si="30"/>
        <v/>
      </c>
      <c r="J42" s="277">
        <f t="shared" si="31"/>
        <v>0</v>
      </c>
      <c r="K42" s="277">
        <f t="shared" si="52"/>
        <v>0</v>
      </c>
      <c r="L42" s="277">
        <f t="shared" si="32"/>
        <v>0</v>
      </c>
      <c r="M42" s="277">
        <f t="shared" si="33"/>
        <v>0</v>
      </c>
      <c r="N42" s="277">
        <f t="shared" si="53"/>
        <v>5</v>
      </c>
      <c r="O42" s="281">
        <f t="shared" si="34"/>
        <v>0</v>
      </c>
      <c r="P42" s="281">
        <f t="shared" si="35"/>
        <v>0</v>
      </c>
      <c r="Q42" s="281">
        <f t="shared" si="36"/>
        <v>0</v>
      </c>
      <c r="R42" s="281" t="str">
        <f t="shared" si="37"/>
        <v/>
      </c>
      <c r="S42" s="183" t="str">
        <f t="shared" si="38"/>
        <v/>
      </c>
      <c r="T42" s="183" t="str">
        <f t="shared" si="39"/>
        <v/>
      </c>
      <c r="U42" s="183" t="str">
        <f t="shared" si="40"/>
        <v/>
      </c>
      <c r="V42" s="183" t="str">
        <f t="shared" si="41"/>
        <v/>
      </c>
      <c r="W42" s="181" t="str">
        <f t="shared" si="42"/>
        <v/>
      </c>
      <c r="X42" s="183">
        <f t="shared" si="43"/>
        <v>0</v>
      </c>
      <c r="Y42" s="183">
        <f t="shared" si="44"/>
        <v>0</v>
      </c>
      <c r="Z42" s="183">
        <f t="shared" si="45"/>
        <v>0</v>
      </c>
      <c r="AA42" s="183">
        <f t="shared" si="46"/>
        <v>0</v>
      </c>
      <c r="AB42" s="183">
        <f t="shared" si="47"/>
        <v>0</v>
      </c>
      <c r="AC42" s="183">
        <f t="shared" si="48"/>
        <v>0</v>
      </c>
      <c r="AD42" s="183" t="str">
        <f t="shared" si="49"/>
        <v/>
      </c>
      <c r="AG42" s="176"/>
      <c r="AH42" s="176"/>
      <c r="AI42" s="176"/>
    </row>
    <row r="43" spans="1:35" x14ac:dyDescent="0.2">
      <c r="A43" s="188">
        <v>36</v>
      </c>
      <c r="B43" s="187"/>
      <c r="C43" s="187"/>
      <c r="D43" s="277">
        <f t="shared" si="27"/>
        <v>0</v>
      </c>
      <c r="E43" s="277">
        <f t="shared" si="28"/>
        <v>0</v>
      </c>
      <c r="F43" s="287">
        <f t="shared" si="50"/>
        <v>6</v>
      </c>
      <c r="G43" s="281">
        <f t="shared" si="29"/>
        <v>6</v>
      </c>
      <c r="H43" s="287">
        <f t="shared" si="51"/>
        <v>5</v>
      </c>
      <c r="I43" s="279" t="str">
        <f t="shared" si="30"/>
        <v/>
      </c>
      <c r="J43" s="277">
        <f t="shared" si="31"/>
        <v>0</v>
      </c>
      <c r="K43" s="277">
        <f t="shared" si="52"/>
        <v>0</v>
      </c>
      <c r="L43" s="277">
        <f t="shared" si="32"/>
        <v>0</v>
      </c>
      <c r="M43" s="277">
        <f t="shared" si="33"/>
        <v>0</v>
      </c>
      <c r="N43" s="277">
        <f t="shared" si="53"/>
        <v>5</v>
      </c>
      <c r="O43" s="281">
        <f t="shared" si="34"/>
        <v>0</v>
      </c>
      <c r="P43" s="281">
        <f t="shared" si="35"/>
        <v>0</v>
      </c>
      <c r="Q43" s="281">
        <f t="shared" si="36"/>
        <v>0</v>
      </c>
      <c r="R43" s="281" t="str">
        <f t="shared" si="37"/>
        <v/>
      </c>
      <c r="S43" s="183" t="str">
        <f t="shared" si="38"/>
        <v/>
      </c>
      <c r="T43" s="183" t="str">
        <f t="shared" si="39"/>
        <v/>
      </c>
      <c r="U43" s="183" t="str">
        <f t="shared" si="40"/>
        <v/>
      </c>
      <c r="V43" s="183" t="str">
        <f t="shared" si="41"/>
        <v/>
      </c>
      <c r="W43" s="181" t="str">
        <f t="shared" si="42"/>
        <v/>
      </c>
      <c r="X43" s="183">
        <f t="shared" si="43"/>
        <v>0</v>
      </c>
      <c r="Y43" s="183">
        <f t="shared" si="44"/>
        <v>0</v>
      </c>
      <c r="Z43" s="183">
        <f t="shared" si="45"/>
        <v>0</v>
      </c>
      <c r="AA43" s="183">
        <f t="shared" si="46"/>
        <v>0</v>
      </c>
      <c r="AB43" s="183">
        <f t="shared" si="47"/>
        <v>0</v>
      </c>
      <c r="AC43" s="183">
        <f t="shared" si="48"/>
        <v>0</v>
      </c>
      <c r="AD43" s="183" t="str">
        <f t="shared" si="49"/>
        <v/>
      </c>
      <c r="AG43" s="176"/>
      <c r="AH43" s="176"/>
      <c r="AI43" s="176"/>
    </row>
    <row r="44" spans="1:35" x14ac:dyDescent="0.2">
      <c r="A44" s="188">
        <v>37</v>
      </c>
      <c r="B44" s="187"/>
      <c r="C44" s="187"/>
      <c r="D44" s="277">
        <f t="shared" si="27"/>
        <v>0</v>
      </c>
      <c r="E44" s="277">
        <f t="shared" si="28"/>
        <v>0</v>
      </c>
      <c r="F44" s="287">
        <f t="shared" si="50"/>
        <v>6</v>
      </c>
      <c r="G44" s="281">
        <f t="shared" si="29"/>
        <v>6</v>
      </c>
      <c r="H44" s="287">
        <f t="shared" si="51"/>
        <v>5</v>
      </c>
      <c r="I44" s="279" t="str">
        <f t="shared" si="30"/>
        <v/>
      </c>
      <c r="J44" s="277">
        <f t="shared" si="31"/>
        <v>0</v>
      </c>
      <c r="K44" s="277">
        <f t="shared" si="52"/>
        <v>0</v>
      </c>
      <c r="L44" s="277">
        <f t="shared" si="32"/>
        <v>0</v>
      </c>
      <c r="M44" s="277">
        <f t="shared" si="33"/>
        <v>0</v>
      </c>
      <c r="N44" s="277">
        <f t="shared" si="53"/>
        <v>5</v>
      </c>
      <c r="O44" s="281">
        <f t="shared" si="34"/>
        <v>0</v>
      </c>
      <c r="P44" s="281">
        <f t="shared" si="35"/>
        <v>0</v>
      </c>
      <c r="Q44" s="281">
        <f t="shared" si="36"/>
        <v>0</v>
      </c>
      <c r="R44" s="281" t="str">
        <f t="shared" si="37"/>
        <v/>
      </c>
      <c r="S44" s="183" t="str">
        <f t="shared" si="38"/>
        <v/>
      </c>
      <c r="T44" s="183" t="str">
        <f t="shared" si="39"/>
        <v/>
      </c>
      <c r="U44" s="183" t="str">
        <f t="shared" si="40"/>
        <v/>
      </c>
      <c r="V44" s="183" t="str">
        <f t="shared" si="41"/>
        <v/>
      </c>
      <c r="W44" s="181" t="str">
        <f t="shared" si="42"/>
        <v/>
      </c>
      <c r="X44" s="183">
        <f t="shared" si="43"/>
        <v>0</v>
      </c>
      <c r="Y44" s="183">
        <f t="shared" si="44"/>
        <v>0</v>
      </c>
      <c r="Z44" s="183">
        <f t="shared" si="45"/>
        <v>0</v>
      </c>
      <c r="AA44" s="183">
        <f t="shared" si="46"/>
        <v>0</v>
      </c>
      <c r="AB44" s="183">
        <f t="shared" si="47"/>
        <v>0</v>
      </c>
      <c r="AC44" s="183">
        <f t="shared" si="48"/>
        <v>0</v>
      </c>
      <c r="AD44" s="183" t="str">
        <f t="shared" si="49"/>
        <v/>
      </c>
      <c r="AG44" s="176"/>
      <c r="AH44" s="176"/>
      <c r="AI44" s="176"/>
    </row>
    <row r="45" spans="1:35" x14ac:dyDescent="0.2">
      <c r="A45" s="188">
        <v>38</v>
      </c>
      <c r="B45" s="187"/>
      <c r="C45" s="187"/>
      <c r="D45" s="277">
        <f t="shared" si="27"/>
        <v>0</v>
      </c>
      <c r="E45" s="277">
        <f t="shared" si="28"/>
        <v>0</v>
      </c>
      <c r="F45" s="287">
        <f t="shared" si="50"/>
        <v>6</v>
      </c>
      <c r="G45" s="281">
        <f t="shared" si="29"/>
        <v>6</v>
      </c>
      <c r="H45" s="287">
        <f t="shared" si="51"/>
        <v>5</v>
      </c>
      <c r="I45" s="279" t="str">
        <f t="shared" si="30"/>
        <v/>
      </c>
      <c r="J45" s="277">
        <f t="shared" si="31"/>
        <v>0</v>
      </c>
      <c r="K45" s="277">
        <f t="shared" si="52"/>
        <v>0</v>
      </c>
      <c r="L45" s="277">
        <f t="shared" si="32"/>
        <v>0</v>
      </c>
      <c r="M45" s="277">
        <f t="shared" si="33"/>
        <v>0</v>
      </c>
      <c r="N45" s="277">
        <f t="shared" si="53"/>
        <v>5</v>
      </c>
      <c r="O45" s="281">
        <f t="shared" si="34"/>
        <v>0</v>
      </c>
      <c r="P45" s="281">
        <f t="shared" si="35"/>
        <v>0</v>
      </c>
      <c r="Q45" s="281">
        <f t="shared" si="36"/>
        <v>0</v>
      </c>
      <c r="R45" s="281" t="str">
        <f t="shared" si="37"/>
        <v/>
      </c>
      <c r="S45" s="183" t="str">
        <f t="shared" si="38"/>
        <v/>
      </c>
      <c r="T45" s="183" t="str">
        <f t="shared" si="39"/>
        <v/>
      </c>
      <c r="U45" s="183" t="str">
        <f t="shared" si="40"/>
        <v/>
      </c>
      <c r="V45" s="183" t="str">
        <f t="shared" si="41"/>
        <v/>
      </c>
      <c r="W45" s="181" t="str">
        <f t="shared" si="42"/>
        <v/>
      </c>
      <c r="X45" s="183">
        <f t="shared" si="43"/>
        <v>0</v>
      </c>
      <c r="Y45" s="183">
        <f t="shared" si="44"/>
        <v>0</v>
      </c>
      <c r="Z45" s="183">
        <f t="shared" si="45"/>
        <v>0</v>
      </c>
      <c r="AA45" s="183">
        <f t="shared" si="46"/>
        <v>0</v>
      </c>
      <c r="AB45" s="183">
        <f t="shared" si="47"/>
        <v>0</v>
      </c>
      <c r="AC45" s="183">
        <f t="shared" si="48"/>
        <v>0</v>
      </c>
      <c r="AD45" s="183" t="str">
        <f t="shared" si="49"/>
        <v/>
      </c>
      <c r="AG45" s="176"/>
      <c r="AH45" s="176"/>
      <c r="AI45" s="176"/>
    </row>
    <row r="46" spans="1:35" x14ac:dyDescent="0.2">
      <c r="A46" s="188">
        <v>39</v>
      </c>
      <c r="B46" s="187"/>
      <c r="C46" s="187"/>
      <c r="D46" s="277">
        <f t="shared" si="27"/>
        <v>0</v>
      </c>
      <c r="E46" s="277">
        <f t="shared" si="28"/>
        <v>0</v>
      </c>
      <c r="F46" s="287">
        <f t="shared" si="50"/>
        <v>6</v>
      </c>
      <c r="G46" s="281">
        <f t="shared" si="29"/>
        <v>6</v>
      </c>
      <c r="H46" s="287">
        <f t="shared" si="51"/>
        <v>5</v>
      </c>
      <c r="I46" s="279" t="str">
        <f t="shared" si="30"/>
        <v/>
      </c>
      <c r="J46" s="277">
        <f t="shared" si="31"/>
        <v>0</v>
      </c>
      <c r="K46" s="277">
        <f t="shared" si="52"/>
        <v>0</v>
      </c>
      <c r="L46" s="277">
        <f t="shared" si="32"/>
        <v>0</v>
      </c>
      <c r="M46" s="277">
        <f t="shared" si="33"/>
        <v>0</v>
      </c>
      <c r="N46" s="277">
        <f t="shared" si="53"/>
        <v>5</v>
      </c>
      <c r="O46" s="281">
        <f t="shared" si="34"/>
        <v>0</v>
      </c>
      <c r="P46" s="281">
        <f t="shared" si="35"/>
        <v>0</v>
      </c>
      <c r="Q46" s="281">
        <f t="shared" si="36"/>
        <v>0</v>
      </c>
      <c r="R46" s="281" t="str">
        <f t="shared" si="37"/>
        <v/>
      </c>
      <c r="S46" s="183" t="str">
        <f t="shared" si="38"/>
        <v/>
      </c>
      <c r="T46" s="183" t="str">
        <f t="shared" si="39"/>
        <v/>
      </c>
      <c r="U46" s="183" t="str">
        <f t="shared" si="40"/>
        <v/>
      </c>
      <c r="V46" s="183" t="str">
        <f t="shared" si="41"/>
        <v/>
      </c>
      <c r="W46" s="181" t="str">
        <f t="shared" si="42"/>
        <v/>
      </c>
      <c r="X46" s="183">
        <f t="shared" si="43"/>
        <v>0</v>
      </c>
      <c r="Y46" s="183">
        <f t="shared" si="44"/>
        <v>0</v>
      </c>
      <c r="Z46" s="183">
        <f t="shared" si="45"/>
        <v>0</v>
      </c>
      <c r="AA46" s="183">
        <f t="shared" si="46"/>
        <v>0</v>
      </c>
      <c r="AB46" s="183">
        <f t="shared" si="47"/>
        <v>0</v>
      </c>
      <c r="AC46" s="183">
        <f t="shared" si="48"/>
        <v>0</v>
      </c>
      <c r="AD46" s="183" t="str">
        <f t="shared" si="49"/>
        <v/>
      </c>
      <c r="AG46" s="176"/>
      <c r="AH46" s="176"/>
      <c r="AI46" s="176"/>
    </row>
    <row r="47" spans="1:35" x14ac:dyDescent="0.2">
      <c r="A47" s="188">
        <v>40</v>
      </c>
      <c r="B47" s="187"/>
      <c r="C47" s="187"/>
      <c r="D47" s="277">
        <f t="shared" si="27"/>
        <v>0</v>
      </c>
      <c r="E47" s="277">
        <f t="shared" si="28"/>
        <v>0</v>
      </c>
      <c r="F47" s="287">
        <f t="shared" si="50"/>
        <v>6</v>
      </c>
      <c r="G47" s="281">
        <f t="shared" si="29"/>
        <v>6</v>
      </c>
      <c r="H47" s="287">
        <f t="shared" si="51"/>
        <v>5</v>
      </c>
      <c r="I47" s="279" t="str">
        <f t="shared" si="30"/>
        <v/>
      </c>
      <c r="J47" s="277">
        <f t="shared" si="31"/>
        <v>0</v>
      </c>
      <c r="K47" s="277">
        <f t="shared" si="52"/>
        <v>0</v>
      </c>
      <c r="L47" s="277">
        <f t="shared" si="32"/>
        <v>0</v>
      </c>
      <c r="M47" s="277">
        <f t="shared" si="33"/>
        <v>0</v>
      </c>
      <c r="N47" s="277">
        <f t="shared" si="53"/>
        <v>5</v>
      </c>
      <c r="O47" s="281">
        <f t="shared" si="34"/>
        <v>0</v>
      </c>
      <c r="P47" s="281">
        <f t="shared" si="35"/>
        <v>0</v>
      </c>
      <c r="Q47" s="281">
        <f t="shared" si="36"/>
        <v>0</v>
      </c>
      <c r="R47" s="281" t="str">
        <f t="shared" si="37"/>
        <v/>
      </c>
      <c r="S47" s="183" t="str">
        <f t="shared" si="38"/>
        <v/>
      </c>
      <c r="T47" s="183" t="str">
        <f t="shared" si="39"/>
        <v/>
      </c>
      <c r="U47" s="183" t="str">
        <f t="shared" si="40"/>
        <v/>
      </c>
      <c r="V47" s="183" t="str">
        <f t="shared" si="41"/>
        <v/>
      </c>
      <c r="W47" s="181" t="str">
        <f t="shared" si="42"/>
        <v/>
      </c>
      <c r="X47" s="183">
        <f t="shared" si="43"/>
        <v>0</v>
      </c>
      <c r="Y47" s="183">
        <f t="shared" si="44"/>
        <v>0</v>
      </c>
      <c r="Z47" s="183">
        <f t="shared" si="45"/>
        <v>0</v>
      </c>
      <c r="AA47" s="183">
        <f t="shared" si="46"/>
        <v>0</v>
      </c>
      <c r="AB47" s="183">
        <f t="shared" si="47"/>
        <v>0</v>
      </c>
      <c r="AC47" s="183">
        <f t="shared" si="48"/>
        <v>0</v>
      </c>
      <c r="AD47" s="183" t="str">
        <f t="shared" si="49"/>
        <v/>
      </c>
      <c r="AG47" s="176"/>
      <c r="AH47" s="176"/>
      <c r="AI47" s="176"/>
    </row>
    <row r="48" spans="1:35" x14ac:dyDescent="0.2">
      <c r="A48" s="188">
        <v>41</v>
      </c>
      <c r="B48" s="187"/>
      <c r="C48" s="187"/>
      <c r="D48" s="277">
        <f t="shared" si="27"/>
        <v>0</v>
      </c>
      <c r="E48" s="277">
        <f t="shared" si="28"/>
        <v>0</v>
      </c>
      <c r="F48" s="287">
        <f t="shared" si="50"/>
        <v>6</v>
      </c>
      <c r="G48" s="281">
        <f t="shared" si="29"/>
        <v>6</v>
      </c>
      <c r="H48" s="287">
        <f t="shared" si="51"/>
        <v>5</v>
      </c>
      <c r="I48" s="279" t="str">
        <f t="shared" si="30"/>
        <v/>
      </c>
      <c r="J48" s="277">
        <f t="shared" si="31"/>
        <v>0</v>
      </c>
      <c r="K48" s="277">
        <f t="shared" si="52"/>
        <v>0</v>
      </c>
      <c r="L48" s="277">
        <f t="shared" si="32"/>
        <v>0</v>
      </c>
      <c r="M48" s="277">
        <f t="shared" si="33"/>
        <v>0</v>
      </c>
      <c r="N48" s="277">
        <f t="shared" si="53"/>
        <v>5</v>
      </c>
      <c r="O48" s="281">
        <f t="shared" si="34"/>
        <v>0</v>
      </c>
      <c r="P48" s="281">
        <f t="shared" si="35"/>
        <v>0</v>
      </c>
      <c r="Q48" s="281">
        <f t="shared" si="36"/>
        <v>0</v>
      </c>
      <c r="R48" s="281" t="str">
        <f t="shared" si="37"/>
        <v/>
      </c>
      <c r="S48" s="183" t="str">
        <f t="shared" si="38"/>
        <v/>
      </c>
      <c r="T48" s="183" t="str">
        <f t="shared" si="39"/>
        <v/>
      </c>
      <c r="U48" s="183" t="str">
        <f t="shared" si="40"/>
        <v/>
      </c>
      <c r="V48" s="183" t="str">
        <f t="shared" si="41"/>
        <v/>
      </c>
      <c r="W48" s="181" t="str">
        <f t="shared" si="42"/>
        <v/>
      </c>
      <c r="X48" s="183">
        <f t="shared" si="43"/>
        <v>0</v>
      </c>
      <c r="Y48" s="183">
        <f t="shared" si="44"/>
        <v>0</v>
      </c>
      <c r="Z48" s="183">
        <f t="shared" si="45"/>
        <v>0</v>
      </c>
      <c r="AA48" s="183">
        <f t="shared" si="46"/>
        <v>0</v>
      </c>
      <c r="AB48" s="183">
        <f t="shared" si="47"/>
        <v>0</v>
      </c>
      <c r="AC48" s="183">
        <f t="shared" si="48"/>
        <v>0</v>
      </c>
      <c r="AD48" s="183" t="str">
        <f t="shared" si="49"/>
        <v/>
      </c>
      <c r="AG48" s="176"/>
      <c r="AH48" s="176"/>
      <c r="AI48" s="176"/>
    </row>
    <row r="49" spans="1:35" x14ac:dyDescent="0.2">
      <c r="A49" s="188">
        <v>42</v>
      </c>
      <c r="B49" s="187"/>
      <c r="C49" s="187"/>
      <c r="D49" s="277">
        <f t="shared" si="27"/>
        <v>0</v>
      </c>
      <c r="E49" s="277">
        <f t="shared" si="28"/>
        <v>0</v>
      </c>
      <c r="F49" s="287">
        <f t="shared" si="50"/>
        <v>6</v>
      </c>
      <c r="G49" s="281">
        <f t="shared" si="29"/>
        <v>6</v>
      </c>
      <c r="H49" s="287">
        <f t="shared" si="51"/>
        <v>5</v>
      </c>
      <c r="I49" s="279" t="str">
        <f t="shared" si="30"/>
        <v/>
      </c>
      <c r="J49" s="277">
        <f t="shared" si="31"/>
        <v>0</v>
      </c>
      <c r="K49" s="277">
        <f t="shared" si="52"/>
        <v>0</v>
      </c>
      <c r="L49" s="277">
        <f t="shared" si="32"/>
        <v>0</v>
      </c>
      <c r="M49" s="277">
        <f t="shared" si="33"/>
        <v>0</v>
      </c>
      <c r="N49" s="277">
        <f t="shared" si="53"/>
        <v>5</v>
      </c>
      <c r="O49" s="281">
        <f t="shared" si="34"/>
        <v>0</v>
      </c>
      <c r="P49" s="281">
        <f t="shared" si="35"/>
        <v>0</v>
      </c>
      <c r="Q49" s="281">
        <f t="shared" si="36"/>
        <v>0</v>
      </c>
      <c r="R49" s="281" t="str">
        <f t="shared" si="37"/>
        <v/>
      </c>
      <c r="S49" s="183" t="str">
        <f t="shared" si="38"/>
        <v/>
      </c>
      <c r="T49" s="183" t="str">
        <f t="shared" si="39"/>
        <v/>
      </c>
      <c r="U49" s="183" t="str">
        <f t="shared" si="40"/>
        <v/>
      </c>
      <c r="V49" s="183" t="str">
        <f t="shared" si="41"/>
        <v/>
      </c>
      <c r="W49" s="181" t="str">
        <f t="shared" si="42"/>
        <v/>
      </c>
      <c r="X49" s="183">
        <f t="shared" si="43"/>
        <v>0</v>
      </c>
      <c r="Y49" s="183">
        <f t="shared" si="44"/>
        <v>0</v>
      </c>
      <c r="Z49" s="183">
        <f t="shared" si="45"/>
        <v>0</v>
      </c>
      <c r="AA49" s="183">
        <f t="shared" si="46"/>
        <v>0</v>
      </c>
      <c r="AB49" s="183">
        <f t="shared" si="47"/>
        <v>0</v>
      </c>
      <c r="AC49" s="183">
        <f t="shared" si="48"/>
        <v>0</v>
      </c>
      <c r="AD49" s="183" t="str">
        <f t="shared" si="49"/>
        <v/>
      </c>
      <c r="AG49" s="176"/>
      <c r="AH49" s="176"/>
      <c r="AI49" s="176"/>
    </row>
    <row r="50" spans="1:35" x14ac:dyDescent="0.2">
      <c r="A50" s="188">
        <v>43</v>
      </c>
      <c r="B50" s="187"/>
      <c r="C50" s="187"/>
      <c r="D50" s="277">
        <f t="shared" si="27"/>
        <v>0</v>
      </c>
      <c r="E50" s="277">
        <f t="shared" si="28"/>
        <v>0</v>
      </c>
      <c r="F50" s="287">
        <f t="shared" si="50"/>
        <v>6</v>
      </c>
      <c r="G50" s="281">
        <f t="shared" si="29"/>
        <v>6</v>
      </c>
      <c r="H50" s="287">
        <f t="shared" si="51"/>
        <v>5</v>
      </c>
      <c r="I50" s="279" t="str">
        <f t="shared" si="30"/>
        <v/>
      </c>
      <c r="J50" s="277">
        <f t="shared" si="31"/>
        <v>0</v>
      </c>
      <c r="K50" s="277">
        <f t="shared" si="52"/>
        <v>0</v>
      </c>
      <c r="L50" s="277">
        <f t="shared" si="32"/>
        <v>0</v>
      </c>
      <c r="M50" s="277">
        <f t="shared" si="33"/>
        <v>0</v>
      </c>
      <c r="N50" s="277">
        <f t="shared" si="53"/>
        <v>5</v>
      </c>
      <c r="O50" s="281">
        <f t="shared" si="34"/>
        <v>0</v>
      </c>
      <c r="P50" s="281">
        <f t="shared" si="35"/>
        <v>0</v>
      </c>
      <c r="Q50" s="281">
        <f t="shared" si="36"/>
        <v>0</v>
      </c>
      <c r="R50" s="281" t="str">
        <f t="shared" si="37"/>
        <v/>
      </c>
      <c r="S50" s="183" t="str">
        <f t="shared" si="38"/>
        <v/>
      </c>
      <c r="T50" s="183" t="str">
        <f t="shared" si="39"/>
        <v/>
      </c>
      <c r="U50" s="183" t="str">
        <f t="shared" si="40"/>
        <v/>
      </c>
      <c r="V50" s="183" t="str">
        <f t="shared" si="41"/>
        <v/>
      </c>
      <c r="W50" s="181" t="str">
        <f t="shared" si="42"/>
        <v/>
      </c>
      <c r="X50" s="183">
        <f t="shared" si="43"/>
        <v>0</v>
      </c>
      <c r="Y50" s="183">
        <f t="shared" si="44"/>
        <v>0</v>
      </c>
      <c r="Z50" s="183">
        <f t="shared" si="45"/>
        <v>0</v>
      </c>
      <c r="AA50" s="183">
        <f t="shared" si="46"/>
        <v>0</v>
      </c>
      <c r="AB50" s="183">
        <f t="shared" si="47"/>
        <v>0</v>
      </c>
      <c r="AC50" s="183">
        <f t="shared" si="48"/>
        <v>0</v>
      </c>
      <c r="AD50" s="183" t="str">
        <f t="shared" si="49"/>
        <v/>
      </c>
      <c r="AG50" s="176"/>
      <c r="AH50" s="176"/>
      <c r="AI50" s="176"/>
    </row>
    <row r="51" spans="1:35" x14ac:dyDescent="0.2">
      <c r="A51" s="188">
        <v>44</v>
      </c>
      <c r="B51" s="187"/>
      <c r="C51" s="187"/>
      <c r="D51" s="277">
        <f t="shared" si="27"/>
        <v>0</v>
      </c>
      <c r="E51" s="277">
        <f t="shared" si="28"/>
        <v>0</v>
      </c>
      <c r="F51" s="287">
        <f t="shared" si="50"/>
        <v>6</v>
      </c>
      <c r="G51" s="281">
        <f t="shared" si="29"/>
        <v>6</v>
      </c>
      <c r="H51" s="287">
        <f t="shared" si="51"/>
        <v>5</v>
      </c>
      <c r="I51" s="279" t="str">
        <f t="shared" si="30"/>
        <v/>
      </c>
      <c r="J51" s="277">
        <f t="shared" si="31"/>
        <v>0</v>
      </c>
      <c r="K51" s="277">
        <f t="shared" si="52"/>
        <v>0</v>
      </c>
      <c r="L51" s="277">
        <f t="shared" si="32"/>
        <v>0</v>
      </c>
      <c r="M51" s="277">
        <f t="shared" si="33"/>
        <v>0</v>
      </c>
      <c r="N51" s="277">
        <f t="shared" si="53"/>
        <v>5</v>
      </c>
      <c r="O51" s="281">
        <f t="shared" si="34"/>
        <v>0</v>
      </c>
      <c r="P51" s="281">
        <f t="shared" si="35"/>
        <v>0</v>
      </c>
      <c r="Q51" s="281">
        <f t="shared" si="36"/>
        <v>0</v>
      </c>
      <c r="R51" s="281" t="str">
        <f t="shared" si="37"/>
        <v/>
      </c>
      <c r="S51" s="183" t="str">
        <f t="shared" si="38"/>
        <v/>
      </c>
      <c r="T51" s="183" t="str">
        <f t="shared" si="39"/>
        <v/>
      </c>
      <c r="U51" s="183" t="str">
        <f t="shared" si="40"/>
        <v/>
      </c>
      <c r="V51" s="183" t="str">
        <f t="shared" si="41"/>
        <v/>
      </c>
      <c r="W51" s="181" t="str">
        <f t="shared" si="42"/>
        <v/>
      </c>
      <c r="X51" s="183">
        <f t="shared" si="43"/>
        <v>0</v>
      </c>
      <c r="Y51" s="183">
        <f t="shared" si="44"/>
        <v>0</v>
      </c>
      <c r="Z51" s="183">
        <f t="shared" si="45"/>
        <v>0</v>
      </c>
      <c r="AA51" s="183">
        <f t="shared" si="46"/>
        <v>0</v>
      </c>
      <c r="AB51" s="183">
        <f t="shared" si="47"/>
        <v>0</v>
      </c>
      <c r="AC51" s="183">
        <f t="shared" si="48"/>
        <v>0</v>
      </c>
      <c r="AD51" s="183" t="str">
        <f t="shared" si="49"/>
        <v/>
      </c>
      <c r="AG51" s="176"/>
      <c r="AH51" s="176"/>
      <c r="AI51" s="176"/>
    </row>
    <row r="52" spans="1:35" x14ac:dyDescent="0.2">
      <c r="A52" s="188">
        <v>45</v>
      </c>
      <c r="B52" s="187"/>
      <c r="C52" s="187"/>
      <c r="D52" s="277">
        <f t="shared" si="27"/>
        <v>0</v>
      </c>
      <c r="E52" s="277">
        <f t="shared" si="28"/>
        <v>0</v>
      </c>
      <c r="F52" s="287">
        <f t="shared" si="50"/>
        <v>6</v>
      </c>
      <c r="G52" s="281">
        <f t="shared" si="29"/>
        <v>6</v>
      </c>
      <c r="H52" s="287">
        <f t="shared" si="51"/>
        <v>5</v>
      </c>
      <c r="I52" s="279" t="str">
        <f t="shared" si="30"/>
        <v/>
      </c>
      <c r="J52" s="277">
        <f t="shared" si="31"/>
        <v>0</v>
      </c>
      <c r="K52" s="277">
        <f t="shared" si="52"/>
        <v>0</v>
      </c>
      <c r="L52" s="277">
        <f t="shared" si="32"/>
        <v>0</v>
      </c>
      <c r="M52" s="277">
        <f t="shared" si="33"/>
        <v>0</v>
      </c>
      <c r="N52" s="277">
        <f t="shared" si="53"/>
        <v>5</v>
      </c>
      <c r="O52" s="281">
        <f t="shared" si="34"/>
        <v>0</v>
      </c>
      <c r="P52" s="281">
        <f t="shared" si="35"/>
        <v>0</v>
      </c>
      <c r="Q52" s="281">
        <f t="shared" si="36"/>
        <v>0</v>
      </c>
      <c r="R52" s="281" t="str">
        <f t="shared" si="37"/>
        <v/>
      </c>
      <c r="S52" s="183" t="str">
        <f t="shared" si="38"/>
        <v/>
      </c>
      <c r="T52" s="183" t="str">
        <f t="shared" si="39"/>
        <v/>
      </c>
      <c r="U52" s="183" t="str">
        <f t="shared" si="40"/>
        <v/>
      </c>
      <c r="V52" s="183" t="str">
        <f t="shared" si="41"/>
        <v/>
      </c>
      <c r="W52" s="181" t="str">
        <f t="shared" si="42"/>
        <v/>
      </c>
      <c r="X52" s="183">
        <f t="shared" si="43"/>
        <v>0</v>
      </c>
      <c r="Y52" s="183">
        <f t="shared" si="44"/>
        <v>0</v>
      </c>
      <c r="Z52" s="183">
        <f t="shared" si="45"/>
        <v>0</v>
      </c>
      <c r="AA52" s="183">
        <f t="shared" si="46"/>
        <v>0</v>
      </c>
      <c r="AB52" s="183">
        <f t="shared" si="47"/>
        <v>0</v>
      </c>
      <c r="AC52" s="183">
        <f t="shared" si="48"/>
        <v>0</v>
      </c>
      <c r="AD52" s="183" t="str">
        <f t="shared" si="49"/>
        <v/>
      </c>
      <c r="AG52" s="176"/>
      <c r="AH52" s="176"/>
      <c r="AI52" s="176"/>
    </row>
    <row r="53" spans="1:35" x14ac:dyDescent="0.2">
      <c r="A53" s="188">
        <v>46</v>
      </c>
      <c r="B53" s="187"/>
      <c r="C53" s="187"/>
      <c r="D53" s="277">
        <f t="shared" si="27"/>
        <v>0</v>
      </c>
      <c r="E53" s="277">
        <f t="shared" si="28"/>
        <v>0</v>
      </c>
      <c r="F53" s="287">
        <f t="shared" si="50"/>
        <v>6</v>
      </c>
      <c r="G53" s="281">
        <f t="shared" si="29"/>
        <v>6</v>
      </c>
      <c r="H53" s="287">
        <f t="shared" si="51"/>
        <v>5</v>
      </c>
      <c r="I53" s="279" t="str">
        <f t="shared" si="30"/>
        <v/>
      </c>
      <c r="J53" s="277">
        <f t="shared" si="31"/>
        <v>0</v>
      </c>
      <c r="K53" s="277">
        <f t="shared" si="52"/>
        <v>0</v>
      </c>
      <c r="L53" s="277">
        <f t="shared" si="32"/>
        <v>0</v>
      </c>
      <c r="M53" s="277">
        <f t="shared" si="33"/>
        <v>0</v>
      </c>
      <c r="N53" s="277">
        <f t="shared" si="53"/>
        <v>5</v>
      </c>
      <c r="O53" s="281">
        <f t="shared" si="34"/>
        <v>0</v>
      </c>
      <c r="P53" s="281">
        <f t="shared" si="35"/>
        <v>0</v>
      </c>
      <c r="Q53" s="281">
        <f t="shared" si="36"/>
        <v>0</v>
      </c>
      <c r="R53" s="281" t="str">
        <f t="shared" si="37"/>
        <v/>
      </c>
      <c r="S53" s="183" t="str">
        <f t="shared" si="38"/>
        <v/>
      </c>
      <c r="T53" s="183" t="str">
        <f t="shared" si="39"/>
        <v/>
      </c>
      <c r="U53" s="183" t="str">
        <f t="shared" si="40"/>
        <v/>
      </c>
      <c r="V53" s="183" t="str">
        <f t="shared" si="41"/>
        <v/>
      </c>
      <c r="W53" s="181" t="str">
        <f t="shared" si="42"/>
        <v/>
      </c>
      <c r="X53" s="183">
        <f t="shared" si="43"/>
        <v>0</v>
      </c>
      <c r="Y53" s="183">
        <f t="shared" si="44"/>
        <v>0</v>
      </c>
      <c r="Z53" s="183">
        <f t="shared" si="45"/>
        <v>0</v>
      </c>
      <c r="AA53" s="183">
        <f t="shared" si="46"/>
        <v>0</v>
      </c>
      <c r="AB53" s="183">
        <f t="shared" si="47"/>
        <v>0</v>
      </c>
      <c r="AC53" s="183">
        <f t="shared" si="48"/>
        <v>0</v>
      </c>
      <c r="AD53" s="183" t="str">
        <f t="shared" si="49"/>
        <v/>
      </c>
      <c r="AG53" s="176"/>
      <c r="AH53" s="176"/>
      <c r="AI53" s="176"/>
    </row>
    <row r="54" spans="1:35" x14ac:dyDescent="0.2">
      <c r="A54" s="188">
        <v>47</v>
      </c>
      <c r="B54" s="187"/>
      <c r="C54" s="187"/>
      <c r="D54" s="277">
        <f t="shared" si="27"/>
        <v>0</v>
      </c>
      <c r="E54" s="277">
        <f t="shared" si="28"/>
        <v>0</v>
      </c>
      <c r="F54" s="287">
        <f t="shared" si="50"/>
        <v>6</v>
      </c>
      <c r="G54" s="281">
        <f t="shared" si="29"/>
        <v>6</v>
      </c>
      <c r="H54" s="287">
        <f t="shared" si="51"/>
        <v>5</v>
      </c>
      <c r="I54" s="279" t="str">
        <f t="shared" si="30"/>
        <v/>
      </c>
      <c r="J54" s="277">
        <f t="shared" si="31"/>
        <v>0</v>
      </c>
      <c r="K54" s="277">
        <f t="shared" si="52"/>
        <v>0</v>
      </c>
      <c r="L54" s="277">
        <f t="shared" si="32"/>
        <v>0</v>
      </c>
      <c r="M54" s="277">
        <f t="shared" si="33"/>
        <v>0</v>
      </c>
      <c r="N54" s="277">
        <f t="shared" si="53"/>
        <v>5</v>
      </c>
      <c r="O54" s="281">
        <f t="shared" si="34"/>
        <v>0</v>
      </c>
      <c r="P54" s="281">
        <f t="shared" si="35"/>
        <v>0</v>
      </c>
      <c r="Q54" s="281">
        <f t="shared" si="36"/>
        <v>0</v>
      </c>
      <c r="R54" s="281" t="str">
        <f t="shared" si="37"/>
        <v/>
      </c>
      <c r="S54" s="183" t="str">
        <f t="shared" si="38"/>
        <v/>
      </c>
      <c r="T54" s="183" t="str">
        <f t="shared" si="39"/>
        <v/>
      </c>
      <c r="U54" s="183" t="str">
        <f t="shared" si="40"/>
        <v/>
      </c>
      <c r="V54" s="183" t="str">
        <f t="shared" si="41"/>
        <v/>
      </c>
      <c r="W54" s="181" t="str">
        <f t="shared" si="42"/>
        <v/>
      </c>
      <c r="X54" s="183">
        <f t="shared" si="43"/>
        <v>0</v>
      </c>
      <c r="Y54" s="183">
        <f t="shared" si="44"/>
        <v>0</v>
      </c>
      <c r="Z54" s="183">
        <f t="shared" si="45"/>
        <v>0</v>
      </c>
      <c r="AA54" s="183">
        <f t="shared" si="46"/>
        <v>0</v>
      </c>
      <c r="AB54" s="183">
        <f t="shared" si="47"/>
        <v>0</v>
      </c>
      <c r="AC54" s="183">
        <f t="shared" si="48"/>
        <v>0</v>
      </c>
      <c r="AD54" s="183" t="str">
        <f t="shared" si="49"/>
        <v/>
      </c>
      <c r="AG54" s="176"/>
      <c r="AH54" s="176"/>
      <c r="AI54" s="176"/>
    </row>
    <row r="55" spans="1:35" x14ac:dyDescent="0.2">
      <c r="A55" s="188">
        <v>48</v>
      </c>
      <c r="B55" s="187"/>
      <c r="C55" s="187"/>
      <c r="D55" s="277">
        <f t="shared" si="27"/>
        <v>0</v>
      </c>
      <c r="E55" s="277">
        <f t="shared" si="28"/>
        <v>0</v>
      </c>
      <c r="F55" s="287">
        <f t="shared" si="50"/>
        <v>6</v>
      </c>
      <c r="G55" s="281">
        <f t="shared" si="29"/>
        <v>6</v>
      </c>
      <c r="H55" s="287">
        <f t="shared" si="51"/>
        <v>5</v>
      </c>
      <c r="I55" s="279" t="str">
        <f t="shared" si="30"/>
        <v/>
      </c>
      <c r="J55" s="277">
        <f t="shared" si="31"/>
        <v>0</v>
      </c>
      <c r="K55" s="277">
        <f t="shared" si="52"/>
        <v>0</v>
      </c>
      <c r="L55" s="277">
        <f t="shared" si="32"/>
        <v>0</v>
      </c>
      <c r="M55" s="277">
        <f t="shared" si="33"/>
        <v>0</v>
      </c>
      <c r="N55" s="277">
        <f t="shared" si="53"/>
        <v>5</v>
      </c>
      <c r="O55" s="281">
        <f t="shared" si="34"/>
        <v>0</v>
      </c>
      <c r="P55" s="281">
        <f t="shared" si="35"/>
        <v>0</v>
      </c>
      <c r="Q55" s="281">
        <f t="shared" si="36"/>
        <v>0</v>
      </c>
      <c r="R55" s="281" t="str">
        <f t="shared" si="37"/>
        <v/>
      </c>
      <c r="S55" s="183" t="str">
        <f t="shared" si="38"/>
        <v/>
      </c>
      <c r="T55" s="183" t="str">
        <f t="shared" si="39"/>
        <v/>
      </c>
      <c r="U55" s="183" t="str">
        <f t="shared" si="40"/>
        <v/>
      </c>
      <c r="V55" s="183" t="str">
        <f t="shared" si="41"/>
        <v/>
      </c>
      <c r="W55" s="181" t="str">
        <f t="shared" si="42"/>
        <v/>
      </c>
      <c r="X55" s="183">
        <f t="shared" si="43"/>
        <v>0</v>
      </c>
      <c r="Y55" s="183">
        <f t="shared" si="44"/>
        <v>0</v>
      </c>
      <c r="Z55" s="183">
        <f t="shared" si="45"/>
        <v>0</v>
      </c>
      <c r="AA55" s="183">
        <f t="shared" si="46"/>
        <v>0</v>
      </c>
      <c r="AB55" s="183">
        <f t="shared" si="47"/>
        <v>0</v>
      </c>
      <c r="AC55" s="183">
        <f t="shared" si="48"/>
        <v>0</v>
      </c>
      <c r="AD55" s="183" t="str">
        <f t="shared" si="49"/>
        <v/>
      </c>
      <c r="AG55" s="176"/>
      <c r="AH55" s="176"/>
      <c r="AI55" s="176"/>
    </row>
    <row r="56" spans="1:35" x14ac:dyDescent="0.2">
      <c r="A56" s="188">
        <v>49</v>
      </c>
      <c r="B56" s="187"/>
      <c r="C56" s="187"/>
      <c r="D56" s="277">
        <f t="shared" si="27"/>
        <v>0</v>
      </c>
      <c r="E56" s="277">
        <f t="shared" si="28"/>
        <v>0</v>
      </c>
      <c r="F56" s="287">
        <f t="shared" si="50"/>
        <v>6</v>
      </c>
      <c r="G56" s="281">
        <f t="shared" si="29"/>
        <v>6</v>
      </c>
      <c r="H56" s="287">
        <f t="shared" si="51"/>
        <v>5</v>
      </c>
      <c r="I56" s="279" t="str">
        <f t="shared" si="30"/>
        <v/>
      </c>
      <c r="J56" s="277">
        <f t="shared" si="31"/>
        <v>0</v>
      </c>
      <c r="K56" s="277">
        <f t="shared" si="52"/>
        <v>0</v>
      </c>
      <c r="L56" s="277">
        <f t="shared" si="32"/>
        <v>0</v>
      </c>
      <c r="M56" s="277">
        <f t="shared" si="33"/>
        <v>0</v>
      </c>
      <c r="N56" s="277">
        <f t="shared" si="53"/>
        <v>5</v>
      </c>
      <c r="O56" s="281">
        <f t="shared" si="34"/>
        <v>0</v>
      </c>
      <c r="P56" s="281">
        <f t="shared" si="35"/>
        <v>0</v>
      </c>
      <c r="Q56" s="281">
        <f t="shared" si="36"/>
        <v>0</v>
      </c>
      <c r="R56" s="281" t="str">
        <f t="shared" si="37"/>
        <v/>
      </c>
      <c r="S56" s="183" t="str">
        <f t="shared" si="38"/>
        <v/>
      </c>
      <c r="T56" s="183" t="str">
        <f t="shared" si="39"/>
        <v/>
      </c>
      <c r="U56" s="183" t="str">
        <f t="shared" si="40"/>
        <v/>
      </c>
      <c r="V56" s="183" t="str">
        <f t="shared" si="41"/>
        <v/>
      </c>
      <c r="W56" s="181" t="str">
        <f t="shared" si="42"/>
        <v/>
      </c>
      <c r="X56" s="183">
        <f t="shared" si="43"/>
        <v>0</v>
      </c>
      <c r="Y56" s="183">
        <f t="shared" si="44"/>
        <v>0</v>
      </c>
      <c r="Z56" s="183">
        <f t="shared" si="45"/>
        <v>0</v>
      </c>
      <c r="AA56" s="183">
        <f t="shared" si="46"/>
        <v>0</v>
      </c>
      <c r="AB56" s="183">
        <f t="shared" si="47"/>
        <v>0</v>
      </c>
      <c r="AC56" s="183">
        <f t="shared" si="48"/>
        <v>0</v>
      </c>
      <c r="AD56" s="183" t="str">
        <f t="shared" si="49"/>
        <v/>
      </c>
      <c r="AG56" s="176"/>
      <c r="AH56" s="176"/>
      <c r="AI56" s="176"/>
    </row>
    <row r="57" spans="1:35" x14ac:dyDescent="0.2">
      <c r="A57" s="188">
        <v>50</v>
      </c>
      <c r="B57" s="187"/>
      <c r="C57" s="187"/>
      <c r="D57" s="277">
        <f t="shared" si="27"/>
        <v>0</v>
      </c>
      <c r="E57" s="277">
        <f t="shared" si="28"/>
        <v>0</v>
      </c>
      <c r="F57" s="287">
        <f t="shared" si="50"/>
        <v>6</v>
      </c>
      <c r="G57" s="281">
        <f t="shared" si="29"/>
        <v>6</v>
      </c>
      <c r="H57" s="287">
        <f t="shared" si="51"/>
        <v>5</v>
      </c>
      <c r="I57" s="279" t="str">
        <f t="shared" si="30"/>
        <v/>
      </c>
      <c r="J57" s="277">
        <f t="shared" si="31"/>
        <v>0</v>
      </c>
      <c r="K57" s="277">
        <f t="shared" si="52"/>
        <v>0</v>
      </c>
      <c r="L57" s="277">
        <f t="shared" si="32"/>
        <v>0</v>
      </c>
      <c r="M57" s="277">
        <f t="shared" si="33"/>
        <v>0</v>
      </c>
      <c r="N57" s="277">
        <f t="shared" si="53"/>
        <v>5</v>
      </c>
      <c r="O57" s="281">
        <f t="shared" si="34"/>
        <v>0</v>
      </c>
      <c r="P57" s="281">
        <f t="shared" si="35"/>
        <v>0</v>
      </c>
      <c r="Q57" s="281">
        <f t="shared" si="36"/>
        <v>0</v>
      </c>
      <c r="R57" s="281" t="str">
        <f t="shared" si="37"/>
        <v/>
      </c>
      <c r="S57" s="183" t="str">
        <f t="shared" si="38"/>
        <v/>
      </c>
      <c r="T57" s="183" t="str">
        <f t="shared" si="39"/>
        <v/>
      </c>
      <c r="U57" s="183" t="str">
        <f t="shared" si="40"/>
        <v/>
      </c>
      <c r="V57" s="183" t="str">
        <f t="shared" si="41"/>
        <v/>
      </c>
      <c r="W57" s="181" t="str">
        <f t="shared" si="42"/>
        <v/>
      </c>
      <c r="X57" s="183">
        <f t="shared" si="43"/>
        <v>0</v>
      </c>
      <c r="Y57" s="183">
        <f t="shared" si="44"/>
        <v>0</v>
      </c>
      <c r="Z57" s="183">
        <f t="shared" si="45"/>
        <v>0</v>
      </c>
      <c r="AA57" s="183">
        <f t="shared" si="46"/>
        <v>0</v>
      </c>
      <c r="AB57" s="183">
        <f t="shared" si="47"/>
        <v>0</v>
      </c>
      <c r="AC57" s="183">
        <f t="shared" si="48"/>
        <v>0</v>
      </c>
      <c r="AD57" s="183" t="str">
        <f t="shared" si="49"/>
        <v/>
      </c>
      <c r="AG57" s="176"/>
      <c r="AH57" s="176"/>
      <c r="AI57" s="176"/>
    </row>
    <row r="58" spans="1:35" x14ac:dyDescent="0.2">
      <c r="A58" s="188">
        <v>51</v>
      </c>
      <c r="B58" s="187"/>
      <c r="C58" s="187"/>
      <c r="D58" s="277">
        <f t="shared" si="27"/>
        <v>0</v>
      </c>
      <c r="E58" s="277">
        <f t="shared" si="28"/>
        <v>0</v>
      </c>
      <c r="F58" s="287">
        <f t="shared" si="50"/>
        <v>6</v>
      </c>
      <c r="G58" s="281">
        <f t="shared" si="29"/>
        <v>6</v>
      </c>
      <c r="H58" s="287">
        <f t="shared" si="51"/>
        <v>5</v>
      </c>
      <c r="I58" s="279" t="str">
        <f t="shared" si="30"/>
        <v/>
      </c>
      <c r="J58" s="277">
        <f t="shared" si="31"/>
        <v>0</v>
      </c>
      <c r="K58" s="277">
        <f t="shared" si="52"/>
        <v>0</v>
      </c>
      <c r="L58" s="277">
        <f t="shared" si="32"/>
        <v>0</v>
      </c>
      <c r="M58" s="277">
        <f t="shared" si="33"/>
        <v>0</v>
      </c>
      <c r="N58" s="277">
        <f t="shared" si="53"/>
        <v>5</v>
      </c>
      <c r="O58" s="281">
        <f t="shared" si="34"/>
        <v>0</v>
      </c>
      <c r="P58" s="281">
        <f t="shared" si="35"/>
        <v>0</v>
      </c>
      <c r="Q58" s="281">
        <f t="shared" si="36"/>
        <v>0</v>
      </c>
      <c r="R58" s="281" t="str">
        <f t="shared" si="37"/>
        <v/>
      </c>
      <c r="S58" s="183" t="str">
        <f t="shared" si="38"/>
        <v/>
      </c>
      <c r="T58" s="183" t="str">
        <f t="shared" si="39"/>
        <v/>
      </c>
      <c r="U58" s="183" t="str">
        <f t="shared" si="40"/>
        <v/>
      </c>
      <c r="V58" s="183" t="str">
        <f t="shared" si="41"/>
        <v/>
      </c>
      <c r="W58" s="181" t="str">
        <f t="shared" si="42"/>
        <v/>
      </c>
      <c r="X58" s="183">
        <f t="shared" si="43"/>
        <v>0</v>
      </c>
      <c r="Y58" s="183">
        <f t="shared" si="44"/>
        <v>0</v>
      </c>
      <c r="Z58" s="183">
        <f t="shared" si="45"/>
        <v>0</v>
      </c>
      <c r="AA58" s="183">
        <f t="shared" si="46"/>
        <v>0</v>
      </c>
      <c r="AB58" s="183">
        <f t="shared" si="47"/>
        <v>0</v>
      </c>
      <c r="AC58" s="183">
        <f t="shared" si="48"/>
        <v>0</v>
      </c>
      <c r="AD58" s="183" t="str">
        <f t="shared" si="49"/>
        <v/>
      </c>
      <c r="AG58" s="176"/>
      <c r="AH58" s="176"/>
      <c r="AI58" s="176"/>
    </row>
    <row r="59" spans="1:35" x14ac:dyDescent="0.2">
      <c r="D59" s="277"/>
      <c r="E59" s="277"/>
      <c r="K59" s="277">
        <f t="shared" si="52"/>
        <v>0</v>
      </c>
      <c r="AG59" s="176"/>
      <c r="AH59" s="176"/>
      <c r="AI59" s="176"/>
    </row>
    <row r="60" spans="1:35" x14ac:dyDescent="0.2">
      <c r="A60" s="288"/>
      <c r="B60" s="276"/>
      <c r="C60" s="276"/>
      <c r="F60" s="276"/>
      <c r="AG60" s="176"/>
      <c r="AH60" s="176"/>
      <c r="AI60" s="176"/>
    </row>
    <row r="61" spans="1:35" x14ac:dyDescent="0.2">
      <c r="A61" s="276"/>
      <c r="B61" s="276"/>
      <c r="C61" s="276"/>
      <c r="F61" s="276"/>
      <c r="N61" s="282"/>
      <c r="O61" s="282"/>
      <c r="P61" s="282"/>
      <c r="AG61" s="176"/>
      <c r="AH61" s="176"/>
      <c r="AI61" s="176"/>
    </row>
    <row r="62" spans="1:35" x14ac:dyDescent="0.2">
      <c r="A62" s="277" t="s">
        <v>295</v>
      </c>
      <c r="B62" s="279" t="s">
        <v>294</v>
      </c>
      <c r="C62" s="279" t="s">
        <v>364</v>
      </c>
      <c r="D62" s="277" t="s">
        <v>365</v>
      </c>
      <c r="E62" s="277" t="s">
        <v>366</v>
      </c>
      <c r="AG62" s="176"/>
      <c r="AH62" s="176"/>
      <c r="AI62" s="176"/>
    </row>
    <row r="63" spans="1:35" ht="18" x14ac:dyDescent="0.2">
      <c r="A63" s="289">
        <v>1</v>
      </c>
      <c r="B63" s="290">
        <f t="shared" ref="B63:B94" si="54">+B8</f>
        <v>0</v>
      </c>
      <c r="C63" s="291">
        <f t="shared" ref="C63:C94" si="55">+C8*-1</f>
        <v>0</v>
      </c>
      <c r="D63" s="277">
        <f>(F8*-1)-(+H6*-1)</f>
        <v>-1</v>
      </c>
      <c r="E63" s="277">
        <f t="shared" ref="E63:E94" si="56">F8*-1</f>
        <v>-6</v>
      </c>
      <c r="O63" s="289" t="s">
        <v>293</v>
      </c>
      <c r="P63" s="283">
        <f>IF(H6&gt;F8,"",SUM(W8:W58))</f>
        <v>49.5</v>
      </c>
      <c r="Q63" s="284" t="s">
        <v>328</v>
      </c>
      <c r="AG63" s="176"/>
      <c r="AH63" s="176"/>
      <c r="AI63" s="176"/>
    </row>
    <row r="64" spans="1:35" x14ac:dyDescent="0.2">
      <c r="A64" s="289">
        <v>2</v>
      </c>
      <c r="B64" s="290">
        <f t="shared" si="54"/>
        <v>1.5</v>
      </c>
      <c r="C64" s="291">
        <f t="shared" si="55"/>
        <v>-1</v>
      </c>
      <c r="D64" s="284">
        <f t="shared" ref="D64:D95" si="57">+D63</f>
        <v>-1</v>
      </c>
      <c r="E64" s="284">
        <f t="shared" si="56"/>
        <v>-6</v>
      </c>
      <c r="AG64" s="176"/>
      <c r="AH64" s="176"/>
      <c r="AI64" s="176"/>
    </row>
    <row r="65" spans="1:35" x14ac:dyDescent="0.2">
      <c r="A65" s="289">
        <v>3</v>
      </c>
      <c r="B65" s="290">
        <f t="shared" si="54"/>
        <v>2</v>
      </c>
      <c r="C65" s="291">
        <f t="shared" si="55"/>
        <v>-2</v>
      </c>
      <c r="D65" s="277">
        <f t="shared" si="57"/>
        <v>-1</v>
      </c>
      <c r="E65" s="277">
        <f t="shared" si="56"/>
        <v>-6</v>
      </c>
      <c r="N65" s="292" t="str">
        <f>IF(H6&gt;F8,"PRECAUCION:","")</f>
        <v/>
      </c>
      <c r="O65" s="282"/>
      <c r="P65" s="282"/>
      <c r="AG65" s="176"/>
      <c r="AH65" s="176"/>
      <c r="AI65" s="176"/>
    </row>
    <row r="66" spans="1:35" x14ac:dyDescent="0.2">
      <c r="A66" s="289">
        <v>4</v>
      </c>
      <c r="B66" s="290">
        <f t="shared" si="54"/>
        <v>3</v>
      </c>
      <c r="C66" s="291">
        <f t="shared" si="55"/>
        <v>-3.5</v>
      </c>
      <c r="D66" s="277">
        <f t="shared" si="57"/>
        <v>-1</v>
      </c>
      <c r="E66" s="277">
        <f t="shared" si="56"/>
        <v>-6</v>
      </c>
      <c r="N66" s="292" t="str">
        <f>IF(H6&gt;F8,"    TIRANTE MEDIDO MAYOR QUE","")</f>
        <v/>
      </c>
      <c r="O66" s="282"/>
      <c r="P66" s="282"/>
      <c r="AG66" s="176"/>
      <c r="AH66" s="176"/>
      <c r="AI66" s="176"/>
    </row>
    <row r="67" spans="1:35" x14ac:dyDescent="0.2">
      <c r="A67" s="289">
        <v>5</v>
      </c>
      <c r="B67" s="290">
        <f t="shared" si="54"/>
        <v>5</v>
      </c>
      <c r="C67" s="291">
        <f t="shared" si="55"/>
        <v>-4</v>
      </c>
      <c r="D67" s="277">
        <f t="shared" si="57"/>
        <v>-1</v>
      </c>
      <c r="E67" s="277">
        <f t="shared" si="56"/>
        <v>-6</v>
      </c>
      <c r="N67" s="292" t="str">
        <f>IF(H6&gt;F8,"    TIRANTE MAXIMO, REVISAR DATOS","")</f>
        <v/>
      </c>
      <c r="O67" s="282"/>
      <c r="P67" s="282"/>
      <c r="AG67" s="176"/>
      <c r="AH67" s="176"/>
      <c r="AI67" s="176"/>
    </row>
    <row r="68" spans="1:35" x14ac:dyDescent="0.2">
      <c r="A68" s="289">
        <v>6</v>
      </c>
      <c r="B68" s="290">
        <f t="shared" si="54"/>
        <v>7</v>
      </c>
      <c r="C68" s="291">
        <f t="shared" si="55"/>
        <v>-6</v>
      </c>
      <c r="D68" s="277">
        <f t="shared" si="57"/>
        <v>-1</v>
      </c>
      <c r="E68" s="277">
        <f t="shared" si="56"/>
        <v>-6</v>
      </c>
      <c r="N68" s="282"/>
      <c r="O68" s="282"/>
      <c r="P68" s="282"/>
      <c r="AG68" s="176"/>
      <c r="AH68" s="176"/>
      <c r="AI68" s="176"/>
    </row>
    <row r="69" spans="1:35" x14ac:dyDescent="0.2">
      <c r="A69" s="289">
        <v>7</v>
      </c>
      <c r="B69" s="290">
        <f t="shared" si="54"/>
        <v>9</v>
      </c>
      <c r="C69" s="291">
        <f t="shared" si="55"/>
        <v>-5</v>
      </c>
      <c r="D69" s="277">
        <f t="shared" si="57"/>
        <v>-1</v>
      </c>
      <c r="E69" s="277">
        <f t="shared" si="56"/>
        <v>-6</v>
      </c>
      <c r="N69" s="282"/>
      <c r="O69" s="282"/>
      <c r="P69" s="282"/>
      <c r="AG69" s="176"/>
      <c r="AH69" s="176"/>
      <c r="AI69" s="176"/>
    </row>
    <row r="70" spans="1:35" x14ac:dyDescent="0.2">
      <c r="A70" s="289">
        <v>8</v>
      </c>
      <c r="B70" s="290">
        <f t="shared" si="54"/>
        <v>11</v>
      </c>
      <c r="C70" s="291">
        <f t="shared" si="55"/>
        <v>-4.5</v>
      </c>
      <c r="D70" s="277">
        <f t="shared" si="57"/>
        <v>-1</v>
      </c>
      <c r="E70" s="277">
        <f t="shared" si="56"/>
        <v>-6</v>
      </c>
      <c r="N70" s="282"/>
      <c r="O70" s="282"/>
      <c r="P70" s="282"/>
      <c r="AG70" s="176"/>
      <c r="AH70" s="176"/>
      <c r="AI70" s="176"/>
    </row>
    <row r="71" spans="1:35" x14ac:dyDescent="0.2">
      <c r="A71" s="289">
        <v>9</v>
      </c>
      <c r="B71" s="290">
        <f t="shared" si="54"/>
        <v>12.5</v>
      </c>
      <c r="C71" s="291">
        <f t="shared" si="55"/>
        <v>-5</v>
      </c>
      <c r="D71" s="277">
        <f t="shared" si="57"/>
        <v>-1</v>
      </c>
      <c r="E71" s="277">
        <f t="shared" si="56"/>
        <v>-6</v>
      </c>
      <c r="N71" s="282"/>
      <c r="O71" s="282"/>
      <c r="P71" s="282"/>
      <c r="AG71" s="176"/>
      <c r="AH71" s="176"/>
      <c r="AI71" s="176"/>
    </row>
    <row r="72" spans="1:35" x14ac:dyDescent="0.2">
      <c r="A72" s="289">
        <v>10</v>
      </c>
      <c r="B72" s="290">
        <f t="shared" si="54"/>
        <v>14</v>
      </c>
      <c r="C72" s="291">
        <f t="shared" si="55"/>
        <v>-4</v>
      </c>
      <c r="D72" s="277">
        <f t="shared" si="57"/>
        <v>-1</v>
      </c>
      <c r="E72" s="277">
        <f t="shared" si="56"/>
        <v>-6</v>
      </c>
      <c r="N72" s="282"/>
      <c r="O72" s="282"/>
      <c r="P72" s="282"/>
      <c r="AG72" s="176"/>
      <c r="AH72" s="176"/>
      <c r="AI72" s="176"/>
    </row>
    <row r="73" spans="1:35" x14ac:dyDescent="0.2">
      <c r="A73" s="289">
        <v>11</v>
      </c>
      <c r="B73" s="290">
        <f t="shared" si="54"/>
        <v>15.5</v>
      </c>
      <c r="C73" s="291">
        <f t="shared" si="55"/>
        <v>-3.5</v>
      </c>
      <c r="D73" s="277">
        <f t="shared" si="57"/>
        <v>-1</v>
      </c>
      <c r="E73" s="277">
        <f t="shared" si="56"/>
        <v>-6</v>
      </c>
      <c r="N73" s="282"/>
      <c r="O73" s="282"/>
      <c r="P73" s="282"/>
      <c r="AG73" s="176"/>
      <c r="AH73" s="176"/>
      <c r="AI73" s="176"/>
    </row>
    <row r="74" spans="1:35" x14ac:dyDescent="0.2">
      <c r="A74" s="289">
        <v>12</v>
      </c>
      <c r="B74" s="290">
        <f t="shared" si="54"/>
        <v>17</v>
      </c>
      <c r="C74" s="291">
        <f t="shared" si="55"/>
        <v>-1.5</v>
      </c>
      <c r="D74" s="277">
        <f t="shared" si="57"/>
        <v>-1</v>
      </c>
      <c r="E74" s="277">
        <f t="shared" si="56"/>
        <v>-6</v>
      </c>
      <c r="N74" s="282"/>
      <c r="O74" s="282"/>
      <c r="P74" s="282"/>
      <c r="AG74" s="176"/>
      <c r="AH74" s="176"/>
      <c r="AI74" s="176"/>
    </row>
    <row r="75" spans="1:35" x14ac:dyDescent="0.2">
      <c r="A75" s="289">
        <v>13</v>
      </c>
      <c r="B75" s="290">
        <f t="shared" si="54"/>
        <v>18.5</v>
      </c>
      <c r="C75" s="291">
        <f t="shared" si="55"/>
        <v>-0.75</v>
      </c>
      <c r="D75" s="277">
        <f t="shared" si="57"/>
        <v>-1</v>
      </c>
      <c r="E75" s="277">
        <f t="shared" si="56"/>
        <v>-6</v>
      </c>
      <c r="AG75" s="176"/>
      <c r="AH75" s="176"/>
      <c r="AI75" s="176"/>
    </row>
    <row r="76" spans="1:35" x14ac:dyDescent="0.2">
      <c r="A76" s="289">
        <v>14</v>
      </c>
      <c r="B76" s="290">
        <f t="shared" si="54"/>
        <v>20</v>
      </c>
      <c r="C76" s="291">
        <f t="shared" si="55"/>
        <v>0</v>
      </c>
      <c r="D76" s="277">
        <f t="shared" si="57"/>
        <v>-1</v>
      </c>
      <c r="E76" s="277">
        <f t="shared" si="56"/>
        <v>-6</v>
      </c>
      <c r="AG76" s="176"/>
      <c r="AH76" s="176"/>
      <c r="AI76" s="176"/>
    </row>
    <row r="77" spans="1:35" x14ac:dyDescent="0.2">
      <c r="A77" s="289">
        <v>15</v>
      </c>
      <c r="B77" s="290">
        <f t="shared" si="54"/>
        <v>0</v>
      </c>
      <c r="C77" s="291">
        <f t="shared" si="55"/>
        <v>0</v>
      </c>
      <c r="D77" s="277">
        <f t="shared" si="57"/>
        <v>-1</v>
      </c>
      <c r="E77" s="277">
        <f t="shared" si="56"/>
        <v>-6</v>
      </c>
      <c r="AG77" s="176"/>
      <c r="AH77" s="176"/>
      <c r="AI77" s="176"/>
    </row>
    <row r="78" spans="1:35" x14ac:dyDescent="0.2">
      <c r="A78" s="289">
        <v>16</v>
      </c>
      <c r="B78" s="290">
        <f t="shared" si="54"/>
        <v>0</v>
      </c>
      <c r="C78" s="291">
        <f t="shared" si="55"/>
        <v>0</v>
      </c>
      <c r="D78" s="277">
        <f t="shared" si="57"/>
        <v>-1</v>
      </c>
      <c r="E78" s="277">
        <f t="shared" si="56"/>
        <v>-6</v>
      </c>
      <c r="AG78" s="176"/>
      <c r="AH78" s="176"/>
      <c r="AI78" s="176"/>
    </row>
    <row r="79" spans="1:35" x14ac:dyDescent="0.2">
      <c r="A79" s="289">
        <v>17</v>
      </c>
      <c r="B79" s="290">
        <f t="shared" si="54"/>
        <v>0</v>
      </c>
      <c r="C79" s="291">
        <f t="shared" si="55"/>
        <v>0</v>
      </c>
      <c r="D79" s="277">
        <f t="shared" si="57"/>
        <v>-1</v>
      </c>
      <c r="E79" s="277">
        <f t="shared" si="56"/>
        <v>-6</v>
      </c>
      <c r="AG79" s="176"/>
      <c r="AH79" s="176"/>
      <c r="AI79" s="176"/>
    </row>
    <row r="80" spans="1:35" x14ac:dyDescent="0.2">
      <c r="A80" s="289">
        <v>18</v>
      </c>
      <c r="B80" s="290">
        <f t="shared" si="54"/>
        <v>0</v>
      </c>
      <c r="C80" s="291">
        <f t="shared" si="55"/>
        <v>0</v>
      </c>
      <c r="D80" s="277">
        <f t="shared" si="57"/>
        <v>-1</v>
      </c>
      <c r="E80" s="277">
        <f t="shared" si="56"/>
        <v>-6</v>
      </c>
      <c r="AG80" s="176"/>
      <c r="AH80" s="176"/>
      <c r="AI80" s="176"/>
    </row>
    <row r="81" spans="1:35" x14ac:dyDescent="0.2">
      <c r="A81" s="289">
        <v>19</v>
      </c>
      <c r="B81" s="290">
        <f t="shared" si="54"/>
        <v>0</v>
      </c>
      <c r="C81" s="291">
        <f t="shared" si="55"/>
        <v>0</v>
      </c>
      <c r="D81" s="277">
        <f t="shared" si="57"/>
        <v>-1</v>
      </c>
      <c r="E81" s="277">
        <f t="shared" si="56"/>
        <v>-6</v>
      </c>
      <c r="AG81" s="176"/>
      <c r="AH81" s="176"/>
      <c r="AI81" s="176"/>
    </row>
    <row r="82" spans="1:35" x14ac:dyDescent="0.2">
      <c r="A82" s="289">
        <v>20</v>
      </c>
      <c r="B82" s="290">
        <f t="shared" si="54"/>
        <v>0</v>
      </c>
      <c r="C82" s="291">
        <f t="shared" si="55"/>
        <v>0</v>
      </c>
      <c r="D82" s="277">
        <f t="shared" si="57"/>
        <v>-1</v>
      </c>
      <c r="E82" s="277">
        <f t="shared" si="56"/>
        <v>-6</v>
      </c>
      <c r="AG82" s="176"/>
      <c r="AH82" s="176"/>
      <c r="AI82" s="176"/>
    </row>
    <row r="83" spans="1:35" x14ac:dyDescent="0.2">
      <c r="A83" s="289">
        <v>21</v>
      </c>
      <c r="B83" s="290">
        <f t="shared" si="54"/>
        <v>0</v>
      </c>
      <c r="C83" s="291">
        <f t="shared" si="55"/>
        <v>0</v>
      </c>
      <c r="D83" s="277">
        <f t="shared" si="57"/>
        <v>-1</v>
      </c>
      <c r="E83" s="277">
        <f t="shared" si="56"/>
        <v>-6</v>
      </c>
      <c r="AG83" s="176"/>
      <c r="AH83" s="176"/>
      <c r="AI83" s="176"/>
    </row>
    <row r="84" spans="1:35" x14ac:dyDescent="0.2">
      <c r="A84" s="289">
        <v>22</v>
      </c>
      <c r="B84" s="290">
        <f t="shared" si="54"/>
        <v>0</v>
      </c>
      <c r="C84" s="291">
        <f t="shared" si="55"/>
        <v>0</v>
      </c>
      <c r="D84" s="277">
        <f t="shared" si="57"/>
        <v>-1</v>
      </c>
      <c r="E84" s="277">
        <f t="shared" si="56"/>
        <v>-6</v>
      </c>
      <c r="AG84" s="176"/>
      <c r="AH84" s="176"/>
      <c r="AI84" s="176"/>
    </row>
    <row r="85" spans="1:35" x14ac:dyDescent="0.2">
      <c r="A85" s="289">
        <v>23</v>
      </c>
      <c r="B85" s="290">
        <f t="shared" si="54"/>
        <v>0</v>
      </c>
      <c r="C85" s="291">
        <f t="shared" si="55"/>
        <v>0</v>
      </c>
      <c r="D85" s="277">
        <f t="shared" si="57"/>
        <v>-1</v>
      </c>
      <c r="E85" s="277">
        <f t="shared" si="56"/>
        <v>-6</v>
      </c>
      <c r="AG85" s="176"/>
      <c r="AH85" s="176"/>
      <c r="AI85" s="176"/>
    </row>
    <row r="86" spans="1:35" x14ac:dyDescent="0.2">
      <c r="A86" s="289">
        <v>24</v>
      </c>
      <c r="B86" s="290">
        <f t="shared" si="54"/>
        <v>0</v>
      </c>
      <c r="C86" s="291">
        <f t="shared" si="55"/>
        <v>0</v>
      </c>
      <c r="D86" s="277">
        <f t="shared" si="57"/>
        <v>-1</v>
      </c>
      <c r="E86" s="277">
        <f t="shared" si="56"/>
        <v>-6</v>
      </c>
      <c r="AG86" s="176"/>
      <c r="AH86" s="176"/>
      <c r="AI86" s="176"/>
    </row>
    <row r="87" spans="1:35" x14ac:dyDescent="0.2">
      <c r="A87" s="289">
        <v>25</v>
      </c>
      <c r="B87" s="290">
        <f t="shared" si="54"/>
        <v>0</v>
      </c>
      <c r="C87" s="291">
        <f t="shared" si="55"/>
        <v>0</v>
      </c>
      <c r="D87" s="277">
        <f t="shared" si="57"/>
        <v>-1</v>
      </c>
      <c r="E87" s="277">
        <f t="shared" si="56"/>
        <v>-6</v>
      </c>
      <c r="AG87" s="176"/>
      <c r="AH87" s="176"/>
      <c r="AI87" s="176"/>
    </row>
    <row r="88" spans="1:35" x14ac:dyDescent="0.2">
      <c r="A88" s="289">
        <v>26</v>
      </c>
      <c r="B88" s="290">
        <f t="shared" si="54"/>
        <v>0</v>
      </c>
      <c r="C88" s="291">
        <f t="shared" si="55"/>
        <v>0</v>
      </c>
      <c r="D88" s="277">
        <f t="shared" si="57"/>
        <v>-1</v>
      </c>
      <c r="E88" s="277">
        <f t="shared" si="56"/>
        <v>-6</v>
      </c>
      <c r="AG88" s="176"/>
      <c r="AH88" s="176"/>
      <c r="AI88" s="176"/>
    </row>
    <row r="89" spans="1:35" x14ac:dyDescent="0.2">
      <c r="A89" s="289">
        <v>27</v>
      </c>
      <c r="B89" s="290">
        <f t="shared" si="54"/>
        <v>0</v>
      </c>
      <c r="C89" s="291">
        <f t="shared" si="55"/>
        <v>0</v>
      </c>
      <c r="D89" s="277">
        <f t="shared" si="57"/>
        <v>-1</v>
      </c>
      <c r="E89" s="277">
        <f t="shared" si="56"/>
        <v>-6</v>
      </c>
      <c r="AG89" s="176"/>
      <c r="AH89" s="176"/>
      <c r="AI89" s="176"/>
    </row>
    <row r="90" spans="1:35" x14ac:dyDescent="0.2">
      <c r="A90" s="289">
        <v>28</v>
      </c>
      <c r="B90" s="290">
        <f t="shared" si="54"/>
        <v>0</v>
      </c>
      <c r="C90" s="291">
        <f t="shared" si="55"/>
        <v>0</v>
      </c>
      <c r="D90" s="277">
        <f t="shared" si="57"/>
        <v>-1</v>
      </c>
      <c r="E90" s="277">
        <f t="shared" si="56"/>
        <v>-6</v>
      </c>
      <c r="I90" s="293"/>
      <c r="J90" s="293"/>
      <c r="AG90" s="176"/>
      <c r="AH90" s="176"/>
      <c r="AI90" s="176"/>
    </row>
    <row r="91" spans="1:35" x14ac:dyDescent="0.2">
      <c r="A91" s="289">
        <v>29</v>
      </c>
      <c r="B91" s="290">
        <f t="shared" si="54"/>
        <v>0</v>
      </c>
      <c r="C91" s="291">
        <f t="shared" si="55"/>
        <v>0</v>
      </c>
      <c r="D91" s="277">
        <f t="shared" si="57"/>
        <v>-1</v>
      </c>
      <c r="E91" s="277">
        <f t="shared" si="56"/>
        <v>-6</v>
      </c>
      <c r="I91" s="293"/>
      <c r="J91" s="293"/>
      <c r="AG91" s="176"/>
      <c r="AH91" s="176"/>
      <c r="AI91" s="176"/>
    </row>
    <row r="92" spans="1:35" x14ac:dyDescent="0.2">
      <c r="A92" s="289">
        <v>30</v>
      </c>
      <c r="B92" s="290">
        <f t="shared" si="54"/>
        <v>0</v>
      </c>
      <c r="C92" s="291">
        <f t="shared" si="55"/>
        <v>0</v>
      </c>
      <c r="D92" s="277">
        <f t="shared" si="57"/>
        <v>-1</v>
      </c>
      <c r="E92" s="277">
        <f t="shared" si="56"/>
        <v>-6</v>
      </c>
      <c r="I92" s="293"/>
      <c r="J92" s="293"/>
      <c r="AG92" s="176"/>
      <c r="AH92" s="176"/>
      <c r="AI92" s="176"/>
    </row>
    <row r="93" spans="1:35" x14ac:dyDescent="0.2">
      <c r="A93" s="289">
        <v>31</v>
      </c>
      <c r="B93" s="290">
        <f t="shared" si="54"/>
        <v>0</v>
      </c>
      <c r="C93" s="291">
        <f t="shared" si="55"/>
        <v>0</v>
      </c>
      <c r="D93" s="277">
        <f t="shared" si="57"/>
        <v>-1</v>
      </c>
      <c r="E93" s="277">
        <f t="shared" si="56"/>
        <v>-6</v>
      </c>
      <c r="I93" s="293"/>
      <c r="J93" s="293"/>
      <c r="AG93" s="176"/>
      <c r="AH93" s="176"/>
      <c r="AI93" s="176"/>
    </row>
    <row r="94" spans="1:35" x14ac:dyDescent="0.2">
      <c r="A94" s="289">
        <v>32</v>
      </c>
      <c r="B94" s="290">
        <f t="shared" si="54"/>
        <v>0</v>
      </c>
      <c r="C94" s="291">
        <f t="shared" si="55"/>
        <v>0</v>
      </c>
      <c r="D94" s="277">
        <f t="shared" si="57"/>
        <v>-1</v>
      </c>
      <c r="E94" s="277">
        <f t="shared" si="56"/>
        <v>-6</v>
      </c>
      <c r="I94" s="293"/>
      <c r="J94" s="293"/>
      <c r="AG94" s="176"/>
      <c r="AH94" s="176"/>
      <c r="AI94" s="176"/>
    </row>
    <row r="95" spans="1:35" x14ac:dyDescent="0.2">
      <c r="A95" s="289">
        <v>33</v>
      </c>
      <c r="B95" s="290">
        <f t="shared" ref="B95:B113" si="58">+B40</f>
        <v>0</v>
      </c>
      <c r="C95" s="291">
        <f t="shared" ref="C95:C113" si="59">+C40*-1</f>
        <v>0</v>
      </c>
      <c r="D95" s="277">
        <f t="shared" si="57"/>
        <v>-1</v>
      </c>
      <c r="E95" s="277">
        <f>F40*-1</f>
        <v>-6</v>
      </c>
      <c r="I95" s="293"/>
      <c r="J95" s="293"/>
      <c r="AG95" s="176"/>
      <c r="AH95" s="176"/>
      <c r="AI95" s="176"/>
    </row>
    <row r="96" spans="1:35" x14ac:dyDescent="0.2">
      <c r="A96" s="289">
        <v>34</v>
      </c>
      <c r="B96" s="290">
        <f t="shared" si="58"/>
        <v>0</v>
      </c>
      <c r="C96" s="291">
        <f t="shared" si="59"/>
        <v>0</v>
      </c>
      <c r="D96" s="277">
        <f t="shared" ref="D96:D113" si="60">+D95</f>
        <v>-1</v>
      </c>
      <c r="E96" s="277">
        <f>F41*-1</f>
        <v>-6</v>
      </c>
      <c r="I96" s="293"/>
      <c r="J96" s="293"/>
      <c r="AG96" s="176"/>
      <c r="AH96" s="176"/>
      <c r="AI96" s="176"/>
    </row>
    <row r="97" spans="1:35" x14ac:dyDescent="0.2">
      <c r="A97" s="289">
        <v>35</v>
      </c>
      <c r="B97" s="290">
        <f t="shared" si="58"/>
        <v>0</v>
      </c>
      <c r="C97" s="291">
        <f t="shared" si="59"/>
        <v>0</v>
      </c>
      <c r="D97" s="277">
        <f t="shared" si="60"/>
        <v>-1</v>
      </c>
      <c r="E97" s="277">
        <f>F42*-1</f>
        <v>-6</v>
      </c>
      <c r="I97" s="293"/>
      <c r="J97" s="293"/>
      <c r="AG97" s="176"/>
      <c r="AH97" s="176"/>
      <c r="AI97" s="176"/>
    </row>
    <row r="98" spans="1:35" x14ac:dyDescent="0.2">
      <c r="A98" s="289">
        <v>36</v>
      </c>
      <c r="B98" s="290">
        <f t="shared" si="58"/>
        <v>0</v>
      </c>
      <c r="C98" s="291">
        <f t="shared" si="59"/>
        <v>0</v>
      </c>
      <c r="D98" s="277">
        <f t="shared" si="60"/>
        <v>-1</v>
      </c>
      <c r="E98" s="277">
        <f t="shared" ref="E98:E112" si="61">F43*-1</f>
        <v>-6</v>
      </c>
      <c r="I98" s="293"/>
      <c r="J98" s="293"/>
      <c r="AG98" s="176"/>
      <c r="AH98" s="176"/>
      <c r="AI98" s="176"/>
    </row>
    <row r="99" spans="1:35" x14ac:dyDescent="0.2">
      <c r="A99" s="289">
        <v>37</v>
      </c>
      <c r="B99" s="290">
        <f t="shared" si="58"/>
        <v>0</v>
      </c>
      <c r="C99" s="291">
        <f t="shared" si="59"/>
        <v>0</v>
      </c>
      <c r="D99" s="277">
        <f t="shared" si="60"/>
        <v>-1</v>
      </c>
      <c r="E99" s="277">
        <f t="shared" si="61"/>
        <v>-6</v>
      </c>
      <c r="I99" s="293"/>
      <c r="J99" s="293"/>
      <c r="AG99" s="176"/>
      <c r="AH99" s="176"/>
      <c r="AI99" s="176"/>
    </row>
    <row r="100" spans="1:35" x14ac:dyDescent="0.2">
      <c r="A100" s="289">
        <v>38</v>
      </c>
      <c r="B100" s="290">
        <f t="shared" si="58"/>
        <v>0</v>
      </c>
      <c r="C100" s="291">
        <f t="shared" si="59"/>
        <v>0</v>
      </c>
      <c r="D100" s="277">
        <f t="shared" si="60"/>
        <v>-1</v>
      </c>
      <c r="E100" s="277">
        <f t="shared" si="61"/>
        <v>-6</v>
      </c>
      <c r="I100" s="293"/>
      <c r="J100" s="293"/>
      <c r="AG100" s="176"/>
      <c r="AH100" s="176"/>
      <c r="AI100" s="176"/>
    </row>
    <row r="101" spans="1:35" x14ac:dyDescent="0.2">
      <c r="A101" s="289">
        <v>39</v>
      </c>
      <c r="B101" s="290">
        <f t="shared" si="58"/>
        <v>0</v>
      </c>
      <c r="C101" s="291">
        <f t="shared" si="59"/>
        <v>0</v>
      </c>
      <c r="D101" s="277">
        <f t="shared" si="60"/>
        <v>-1</v>
      </c>
      <c r="E101" s="277">
        <f t="shared" si="61"/>
        <v>-6</v>
      </c>
      <c r="I101" s="293"/>
      <c r="J101" s="293"/>
      <c r="AG101" s="176"/>
      <c r="AH101" s="176"/>
      <c r="AI101" s="176"/>
    </row>
    <row r="102" spans="1:35" x14ac:dyDescent="0.2">
      <c r="A102" s="289">
        <v>40</v>
      </c>
      <c r="B102" s="290">
        <f t="shared" si="58"/>
        <v>0</v>
      </c>
      <c r="C102" s="291">
        <f t="shared" si="59"/>
        <v>0</v>
      </c>
      <c r="D102" s="277">
        <f t="shared" si="60"/>
        <v>-1</v>
      </c>
      <c r="E102" s="277">
        <f t="shared" si="61"/>
        <v>-6</v>
      </c>
      <c r="AG102" s="176"/>
      <c r="AH102" s="176"/>
      <c r="AI102" s="176"/>
    </row>
    <row r="103" spans="1:35" x14ac:dyDescent="0.2">
      <c r="A103" s="289">
        <v>41</v>
      </c>
      <c r="B103" s="290">
        <f t="shared" si="58"/>
        <v>0</v>
      </c>
      <c r="C103" s="291">
        <f t="shared" si="59"/>
        <v>0</v>
      </c>
      <c r="D103" s="277">
        <f t="shared" si="60"/>
        <v>-1</v>
      </c>
      <c r="E103" s="277">
        <f t="shared" si="61"/>
        <v>-6</v>
      </c>
      <c r="AG103" s="176"/>
      <c r="AH103" s="176"/>
      <c r="AI103" s="176"/>
    </row>
    <row r="104" spans="1:35" x14ac:dyDescent="0.2">
      <c r="A104" s="289">
        <v>42</v>
      </c>
      <c r="B104" s="290">
        <f t="shared" si="58"/>
        <v>0</v>
      </c>
      <c r="C104" s="291">
        <f t="shared" si="59"/>
        <v>0</v>
      </c>
      <c r="D104" s="277">
        <f t="shared" si="60"/>
        <v>-1</v>
      </c>
      <c r="E104" s="277">
        <f t="shared" si="61"/>
        <v>-6</v>
      </c>
      <c r="AG104" s="176"/>
      <c r="AH104" s="176"/>
      <c r="AI104" s="176"/>
    </row>
    <row r="105" spans="1:35" x14ac:dyDescent="0.2">
      <c r="A105" s="289">
        <v>43</v>
      </c>
      <c r="B105" s="290">
        <f t="shared" si="58"/>
        <v>0</v>
      </c>
      <c r="C105" s="291">
        <f t="shared" si="59"/>
        <v>0</v>
      </c>
      <c r="D105" s="277">
        <f t="shared" si="60"/>
        <v>-1</v>
      </c>
      <c r="E105" s="277">
        <f t="shared" si="61"/>
        <v>-6</v>
      </c>
      <c r="AG105" s="176"/>
      <c r="AH105" s="176"/>
      <c r="AI105" s="176"/>
    </row>
    <row r="106" spans="1:35" x14ac:dyDescent="0.2">
      <c r="A106" s="289">
        <v>44</v>
      </c>
      <c r="B106" s="290">
        <f t="shared" si="58"/>
        <v>0</v>
      </c>
      <c r="C106" s="291">
        <f t="shared" si="59"/>
        <v>0</v>
      </c>
      <c r="D106" s="277">
        <f t="shared" si="60"/>
        <v>-1</v>
      </c>
      <c r="E106" s="277">
        <f t="shared" si="61"/>
        <v>-6</v>
      </c>
      <c r="AG106" s="176"/>
      <c r="AH106" s="176"/>
      <c r="AI106" s="176"/>
    </row>
    <row r="107" spans="1:35" x14ac:dyDescent="0.2">
      <c r="A107" s="289">
        <v>45</v>
      </c>
      <c r="B107" s="290">
        <f t="shared" si="58"/>
        <v>0</v>
      </c>
      <c r="C107" s="291">
        <f t="shared" si="59"/>
        <v>0</v>
      </c>
      <c r="D107" s="277">
        <f t="shared" si="60"/>
        <v>-1</v>
      </c>
      <c r="E107" s="277">
        <f t="shared" si="61"/>
        <v>-6</v>
      </c>
    </row>
    <row r="108" spans="1:35" x14ac:dyDescent="0.2">
      <c r="A108" s="289">
        <v>46</v>
      </c>
      <c r="B108" s="290">
        <f t="shared" si="58"/>
        <v>0</v>
      </c>
      <c r="C108" s="291">
        <f t="shared" si="59"/>
        <v>0</v>
      </c>
      <c r="D108" s="277">
        <f t="shared" si="60"/>
        <v>-1</v>
      </c>
      <c r="E108" s="277">
        <f t="shared" si="61"/>
        <v>-6</v>
      </c>
    </row>
    <row r="109" spans="1:35" x14ac:dyDescent="0.2">
      <c r="A109" s="289">
        <v>47</v>
      </c>
      <c r="B109" s="290">
        <f t="shared" si="58"/>
        <v>0</v>
      </c>
      <c r="C109" s="291">
        <f t="shared" si="59"/>
        <v>0</v>
      </c>
      <c r="D109" s="277">
        <f t="shared" si="60"/>
        <v>-1</v>
      </c>
      <c r="E109" s="277">
        <f t="shared" si="61"/>
        <v>-6</v>
      </c>
    </row>
    <row r="110" spans="1:35" x14ac:dyDescent="0.2">
      <c r="A110" s="289">
        <v>48</v>
      </c>
      <c r="B110" s="290">
        <f t="shared" si="58"/>
        <v>0</v>
      </c>
      <c r="C110" s="291">
        <f t="shared" si="59"/>
        <v>0</v>
      </c>
      <c r="D110" s="277">
        <f t="shared" si="60"/>
        <v>-1</v>
      </c>
      <c r="E110" s="277">
        <f t="shared" si="61"/>
        <v>-6</v>
      </c>
    </row>
    <row r="111" spans="1:35" x14ac:dyDescent="0.2">
      <c r="A111" s="289">
        <v>49</v>
      </c>
      <c r="B111" s="290">
        <f t="shared" si="58"/>
        <v>0</v>
      </c>
      <c r="C111" s="291">
        <f t="shared" si="59"/>
        <v>0</v>
      </c>
      <c r="D111" s="277">
        <f t="shared" si="60"/>
        <v>-1</v>
      </c>
      <c r="E111" s="277">
        <f t="shared" si="61"/>
        <v>-6</v>
      </c>
    </row>
    <row r="112" spans="1:35" x14ac:dyDescent="0.2">
      <c r="A112" s="289">
        <v>50</v>
      </c>
      <c r="B112" s="290">
        <f t="shared" si="58"/>
        <v>0</v>
      </c>
      <c r="C112" s="291">
        <f t="shared" si="59"/>
        <v>0</v>
      </c>
      <c r="D112" s="277">
        <f t="shared" si="60"/>
        <v>-1</v>
      </c>
      <c r="E112" s="277">
        <f t="shared" si="61"/>
        <v>-6</v>
      </c>
    </row>
    <row r="113" spans="1:5" x14ac:dyDescent="0.2">
      <c r="A113" s="289">
        <v>51</v>
      </c>
      <c r="B113" s="290">
        <f t="shared" si="58"/>
        <v>0</v>
      </c>
      <c r="C113" s="291">
        <f t="shared" si="59"/>
        <v>0</v>
      </c>
      <c r="D113" s="277">
        <f t="shared" si="60"/>
        <v>-1</v>
      </c>
      <c r="E113" s="277">
        <f>F58*-1</f>
        <v>-6</v>
      </c>
    </row>
    <row r="114" spans="1:5" x14ac:dyDescent="0.2">
      <c r="A114" s="276"/>
      <c r="B114" s="276"/>
      <c r="C114" s="276"/>
      <c r="D114" s="277"/>
      <c r="E114" s="277"/>
    </row>
    <row r="115" spans="1:5" hidden="1" x14ac:dyDescent="0.2">
      <c r="A115" s="276"/>
      <c r="B115" s="276"/>
      <c r="C115" s="276"/>
      <c r="D115" s="277"/>
      <c r="E115" s="277"/>
    </row>
  </sheetData>
  <sheetProtection sheet="1" objects="1" scenarios="1" selectLockedCells="1"/>
  <mergeCells count="6">
    <mergeCell ref="A6:A7"/>
    <mergeCell ref="B6:B7"/>
    <mergeCell ref="C6:C7"/>
    <mergeCell ref="A1:O1"/>
    <mergeCell ref="A2:O2"/>
    <mergeCell ref="A4:C5"/>
  </mergeCells>
  <dataValidations count="1">
    <dataValidation allowBlank="1" showInputMessage="1" showErrorMessage="1" prompt="El valor de la profundidad de la huella máxima, es el valor del tirante medido a partir del fondo del cauce hasta la huella máxima en cualquiera de las márgenes de la sección." sqref="F4" xr:uid="{00000000-0002-0000-0900-000000000000}"/>
  </dataValidations>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0">
    <tabColor rgb="FF00B050"/>
  </sheetPr>
  <dimension ref="A1:P50"/>
  <sheetViews>
    <sheetView zoomScale="115" zoomScaleNormal="115" workbookViewId="0">
      <selection activeCell="K21" sqref="K21"/>
    </sheetView>
  </sheetViews>
  <sheetFormatPr defaultColWidth="11.43359375" defaultRowHeight="15.75" x14ac:dyDescent="0.2"/>
  <cols>
    <col min="1" max="1" width="5.37890625" style="190" customWidth="1"/>
    <col min="2" max="2" width="10.625" style="190" customWidth="1"/>
    <col min="3" max="3" width="20.984375" style="190" customWidth="1"/>
    <col min="4" max="4" width="21.5234375" style="190" customWidth="1"/>
    <col min="5" max="5" width="14.9296875" style="190" customWidth="1"/>
    <col min="6" max="6" width="12.375" style="190" bestFit="1" customWidth="1"/>
    <col min="7" max="7" width="14.52734375" style="190" customWidth="1"/>
    <col min="8" max="8" width="5.37890625" style="190" customWidth="1"/>
    <col min="9" max="9" width="11.43359375" style="190"/>
    <col min="10" max="10" width="11.703125" style="190" customWidth="1"/>
    <col min="11" max="15" width="11.43359375" style="190"/>
    <col min="16" max="16" width="37.6640625" style="191" bestFit="1" customWidth="1"/>
    <col min="17" max="19" width="30.66796875" style="190" customWidth="1"/>
    <col min="20" max="21" width="11.43359375" style="190" customWidth="1"/>
    <col min="22" max="16384" width="11.43359375" style="190"/>
  </cols>
  <sheetData>
    <row r="1" spans="1:14" x14ac:dyDescent="0.2">
      <c r="A1" s="189"/>
      <c r="B1" s="85"/>
      <c r="C1" s="85"/>
      <c r="D1" s="85"/>
      <c r="E1" s="85"/>
      <c r="F1" s="85"/>
      <c r="G1" s="85"/>
      <c r="H1" s="189"/>
    </row>
    <row r="2" spans="1:14" x14ac:dyDescent="0.2">
      <c r="A2" s="85"/>
      <c r="B2" s="448" t="s">
        <v>343</v>
      </c>
      <c r="C2" s="448"/>
      <c r="D2" s="448"/>
      <c r="E2" s="448"/>
      <c r="F2" s="448"/>
      <c r="G2" s="448"/>
      <c r="H2" s="189"/>
    </row>
    <row r="3" spans="1:14" x14ac:dyDescent="0.2">
      <c r="A3" s="189"/>
      <c r="B3" s="449" t="s">
        <v>181</v>
      </c>
      <c r="C3" s="449"/>
      <c r="D3" s="449"/>
      <c r="E3" s="449"/>
      <c r="H3" s="192"/>
    </row>
    <row r="4" spans="1:14" ht="18" x14ac:dyDescent="0.2">
      <c r="A4" s="192"/>
      <c r="B4" s="453" t="s">
        <v>155</v>
      </c>
      <c r="C4" s="453"/>
      <c r="D4" s="193" t="s">
        <v>75</v>
      </c>
      <c r="E4" s="162" t="s">
        <v>330</v>
      </c>
      <c r="G4" s="194"/>
      <c r="H4" s="192"/>
    </row>
    <row r="5" spans="1:14" ht="15" customHeight="1" x14ac:dyDescent="0.2">
      <c r="A5" s="192"/>
      <c r="B5" s="453" t="s">
        <v>156</v>
      </c>
      <c r="C5" s="453"/>
      <c r="D5" s="193" t="s">
        <v>157</v>
      </c>
      <c r="E5" s="162" t="s">
        <v>23</v>
      </c>
      <c r="G5" s="194"/>
      <c r="H5" s="192"/>
    </row>
    <row r="6" spans="1:14" ht="15" customHeight="1" x14ac:dyDescent="0.2">
      <c r="A6" s="192"/>
      <c r="B6" s="453" t="s">
        <v>160</v>
      </c>
      <c r="C6" s="453"/>
      <c r="D6" s="193" t="s">
        <v>161</v>
      </c>
      <c r="E6" s="162" t="s">
        <v>23</v>
      </c>
      <c r="G6" s="194"/>
      <c r="H6" s="192"/>
    </row>
    <row r="7" spans="1:14" ht="15" customHeight="1" x14ac:dyDescent="0.2">
      <c r="A7" s="192"/>
      <c r="B7" s="453" t="s">
        <v>165</v>
      </c>
      <c r="C7" s="453"/>
      <c r="D7" s="193" t="s">
        <v>56</v>
      </c>
      <c r="E7" s="162" t="s">
        <v>290</v>
      </c>
      <c r="G7" s="194"/>
      <c r="H7" s="192"/>
    </row>
    <row r="8" spans="1:14" ht="15" customHeight="1" x14ac:dyDescent="0.2">
      <c r="A8" s="195"/>
      <c r="B8" s="453" t="s">
        <v>167</v>
      </c>
      <c r="C8" s="453"/>
      <c r="D8" s="193" t="s">
        <v>41</v>
      </c>
      <c r="E8" s="162" t="s">
        <v>67</v>
      </c>
      <c r="G8" s="194"/>
      <c r="H8" s="195"/>
    </row>
    <row r="9" spans="1:14" ht="15" customHeight="1" x14ac:dyDescent="0.2">
      <c r="A9" s="189"/>
      <c r="B9" s="457"/>
      <c r="C9" s="457"/>
      <c r="D9" s="457"/>
      <c r="E9" s="196"/>
      <c r="F9" s="196"/>
      <c r="G9" s="196"/>
      <c r="H9" s="189"/>
    </row>
    <row r="10" spans="1:14" ht="15" customHeight="1" x14ac:dyDescent="0.2">
      <c r="A10" s="189"/>
      <c r="B10" s="197" t="s">
        <v>179</v>
      </c>
      <c r="C10" s="198">
        <v>2.76E-2</v>
      </c>
      <c r="D10" s="196"/>
      <c r="E10" s="196"/>
      <c r="F10" s="196"/>
      <c r="G10" s="196"/>
      <c r="H10" s="189"/>
    </row>
    <row r="11" spans="1:14" ht="15" customHeight="1" x14ac:dyDescent="0.2">
      <c r="A11" s="189"/>
      <c r="B11" s="197" t="s">
        <v>178</v>
      </c>
      <c r="C11" s="199">
        <v>1</v>
      </c>
      <c r="D11" s="196"/>
      <c r="E11" s="196"/>
      <c r="F11" s="196"/>
      <c r="G11" s="196"/>
      <c r="H11" s="189"/>
    </row>
    <row r="12" spans="1:14" ht="15" customHeight="1" x14ac:dyDescent="0.2">
      <c r="A12" s="189"/>
      <c r="B12" s="197" t="s">
        <v>180</v>
      </c>
      <c r="C12" s="200">
        <f>IF(C11=1,0.04,(IF(C11=2,0.04,(IF(C11=3,0.02,IF(C11=4,0.03,IF(C11=5,0.03,IF(C11=6,0.02,IF(C11=7,0.02)))))))))</f>
        <v>0.04</v>
      </c>
      <c r="D12" s="196"/>
      <c r="E12" s="196"/>
      <c r="F12" s="196"/>
      <c r="G12" s="196"/>
      <c r="H12" s="189"/>
    </row>
    <row r="13" spans="1:14" ht="15" customHeight="1" x14ac:dyDescent="0.2">
      <c r="A13" s="189"/>
      <c r="B13" s="196"/>
      <c r="C13" s="196"/>
      <c r="D13" s="196"/>
      <c r="E13" s="196"/>
      <c r="F13" s="196"/>
      <c r="G13" s="196"/>
      <c r="H13" s="189"/>
    </row>
    <row r="14" spans="1:14" ht="18" x14ac:dyDescent="0.2">
      <c r="A14" s="189"/>
      <c r="B14" s="4" t="s">
        <v>173</v>
      </c>
      <c r="C14" s="4" t="s">
        <v>331</v>
      </c>
      <c r="D14" s="4" t="s">
        <v>174</v>
      </c>
      <c r="E14" s="4" t="s">
        <v>175</v>
      </c>
      <c r="F14" s="4" t="s">
        <v>176</v>
      </c>
      <c r="G14" s="4" t="s">
        <v>332</v>
      </c>
      <c r="H14" s="189"/>
    </row>
    <row r="15" spans="1:14" ht="15" customHeight="1" x14ac:dyDescent="0.2">
      <c r="A15" s="189"/>
      <c r="B15" s="201" t="s">
        <v>292</v>
      </c>
      <c r="C15" s="250">
        <f>'SECCIÓN TRANSVERSAL'!J4</f>
        <v>49.5</v>
      </c>
      <c r="D15" s="250">
        <f>'SECCIÓN TRANSVERSAL'!H4</f>
        <v>20.691497640995799</v>
      </c>
      <c r="E15" s="200">
        <f>C15/D15</f>
        <v>2.392286960511079</v>
      </c>
      <c r="F15" s="200">
        <f>((1/$C$12)*((E15)^(2/3))*(($C$10)^(1/2)))</f>
        <v>7.4291090239271709</v>
      </c>
      <c r="G15" s="200">
        <f>C15*F15</f>
        <v>367.74089668439495</v>
      </c>
      <c r="H15" s="189"/>
      <c r="I15" s="455"/>
      <c r="J15" s="455"/>
      <c r="K15" s="455"/>
      <c r="L15" s="202"/>
      <c r="M15" s="202"/>
      <c r="N15" s="202"/>
    </row>
    <row r="16" spans="1:14" ht="15" customHeight="1" x14ac:dyDescent="0.2">
      <c r="A16" s="189"/>
      <c r="B16" s="196"/>
      <c r="C16" s="196"/>
      <c r="D16" s="196"/>
      <c r="E16" s="196"/>
      <c r="F16" s="203" t="s">
        <v>291</v>
      </c>
      <c r="G16" s="204">
        <f>G15</f>
        <v>367.74089668439495</v>
      </c>
      <c r="H16" s="189"/>
      <c r="I16" s="454"/>
      <c r="J16" s="454"/>
      <c r="K16" s="454"/>
      <c r="L16" s="205"/>
      <c r="M16" s="205"/>
      <c r="N16" s="205"/>
    </row>
    <row r="17" spans="1:8" ht="27" customHeight="1" x14ac:dyDescent="0.2">
      <c r="A17" s="189"/>
      <c r="B17" s="85"/>
      <c r="C17" s="85"/>
      <c r="D17" s="85"/>
      <c r="E17" s="85"/>
      <c r="F17" s="189"/>
      <c r="G17" s="85"/>
      <c r="H17" s="189"/>
    </row>
    <row r="18" spans="1:8" x14ac:dyDescent="0.2">
      <c r="F18" s="206"/>
    </row>
    <row r="19" spans="1:8" x14ac:dyDescent="0.2">
      <c r="F19" s="206"/>
    </row>
    <row r="25" spans="1:8" x14ac:dyDescent="0.2">
      <c r="B25" s="456" t="s">
        <v>154</v>
      </c>
      <c r="C25" s="456"/>
      <c r="D25" s="456"/>
      <c r="E25" s="456"/>
      <c r="F25" s="456"/>
      <c r="G25" s="456"/>
    </row>
    <row r="26" spans="1:8" x14ac:dyDescent="0.2">
      <c r="B26" s="456"/>
      <c r="C26" s="456"/>
      <c r="D26" s="456"/>
      <c r="E26" s="456"/>
      <c r="F26" s="456"/>
      <c r="G26" s="456"/>
    </row>
    <row r="27" spans="1:8" x14ac:dyDescent="0.2">
      <c r="B27" s="450" t="s">
        <v>158</v>
      </c>
      <c r="C27" s="450"/>
      <c r="D27" s="450"/>
      <c r="E27" s="451" t="s">
        <v>159</v>
      </c>
      <c r="F27" s="451"/>
      <c r="G27" s="451"/>
    </row>
    <row r="28" spans="1:8" x14ac:dyDescent="0.2">
      <c r="B28" s="452"/>
      <c r="C28" s="452"/>
      <c r="D28" s="452"/>
      <c r="E28" s="207" t="s">
        <v>162</v>
      </c>
      <c r="F28" s="208" t="s">
        <v>163</v>
      </c>
      <c r="G28" s="208" t="s">
        <v>164</v>
      </c>
    </row>
    <row r="29" spans="1:8" x14ac:dyDescent="0.2">
      <c r="B29" s="209" t="s">
        <v>166</v>
      </c>
      <c r="C29" s="210"/>
      <c r="D29" s="211"/>
      <c r="E29" s="212">
        <v>3.5000000000000003E-2</v>
      </c>
      <c r="F29" s="213">
        <v>0.04</v>
      </c>
      <c r="G29" s="212">
        <v>0.05</v>
      </c>
    </row>
    <row r="30" spans="1:8" x14ac:dyDescent="0.2">
      <c r="B30" s="209" t="s">
        <v>168</v>
      </c>
      <c r="C30" s="210"/>
      <c r="D30" s="211"/>
      <c r="E30" s="212">
        <v>2.5000000000000001E-2</v>
      </c>
      <c r="F30" s="213">
        <v>3.5000000000000003E-2</v>
      </c>
      <c r="G30" s="212">
        <v>0.04</v>
      </c>
    </row>
    <row r="31" spans="1:8" x14ac:dyDescent="0.2">
      <c r="B31" s="209" t="s">
        <v>169</v>
      </c>
      <c r="C31" s="210"/>
      <c r="D31" s="211"/>
      <c r="E31" s="212">
        <v>1.7000000000000001E-2</v>
      </c>
      <c r="F31" s="213">
        <v>0.02</v>
      </c>
      <c r="G31" s="212">
        <v>2.5000000000000001E-2</v>
      </c>
    </row>
    <row r="32" spans="1:8" x14ac:dyDescent="0.2">
      <c r="B32" s="209" t="s">
        <v>170</v>
      </c>
      <c r="C32" s="210"/>
      <c r="D32" s="211"/>
      <c r="E32" s="212">
        <v>2.5000000000000001E-2</v>
      </c>
      <c r="F32" s="213">
        <v>2.8000000000000001E-2</v>
      </c>
      <c r="G32" s="212">
        <v>3.3000000000000002E-2</v>
      </c>
    </row>
    <row r="33" spans="2:7" x14ac:dyDescent="0.2">
      <c r="B33" s="209" t="s">
        <v>171</v>
      </c>
      <c r="C33" s="210"/>
      <c r="D33" s="211"/>
      <c r="E33" s="212">
        <v>2.5000000000000001E-2</v>
      </c>
      <c r="F33" s="213">
        <v>0.03</v>
      </c>
      <c r="G33" s="212">
        <v>3.3000000000000002E-2</v>
      </c>
    </row>
    <row r="34" spans="2:7" x14ac:dyDescent="0.2">
      <c r="B34" s="209" t="s">
        <v>172</v>
      </c>
      <c r="C34" s="210"/>
      <c r="D34" s="211"/>
      <c r="E34" s="212">
        <v>1.7000000000000001E-2</v>
      </c>
      <c r="F34" s="213">
        <v>0.02</v>
      </c>
      <c r="G34" s="212">
        <v>2.5000000000000001E-2</v>
      </c>
    </row>
    <row r="35" spans="2:7" x14ac:dyDescent="0.2">
      <c r="B35" s="214" t="s">
        <v>177</v>
      </c>
      <c r="C35" s="215"/>
      <c r="D35" s="216"/>
      <c r="E35" s="212">
        <v>1.2999999999999999E-2</v>
      </c>
      <c r="F35" s="213">
        <v>1.7000000000000001E-2</v>
      </c>
      <c r="G35" s="212">
        <v>0.02</v>
      </c>
    </row>
    <row r="39" spans="2:7" ht="15.75" customHeight="1" x14ac:dyDescent="0.2"/>
    <row r="43" spans="2:7" ht="15.75" customHeight="1" x14ac:dyDescent="0.2"/>
    <row r="50" ht="15.75" customHeight="1" x14ac:dyDescent="0.2"/>
  </sheetData>
  <sheetProtection selectLockedCells="1"/>
  <mergeCells count="14">
    <mergeCell ref="I16:K16"/>
    <mergeCell ref="I15:K15"/>
    <mergeCell ref="B25:G26"/>
    <mergeCell ref="B9:D9"/>
    <mergeCell ref="B4:C4"/>
    <mergeCell ref="B5:C5"/>
    <mergeCell ref="B3:E3"/>
    <mergeCell ref="B2:G2"/>
    <mergeCell ref="B27:D27"/>
    <mergeCell ref="E27:G27"/>
    <mergeCell ref="B28:D28"/>
    <mergeCell ref="B6:C6"/>
    <mergeCell ref="B7:C7"/>
    <mergeCell ref="B8:C8"/>
  </mergeCells>
  <pageMargins left="0.7" right="0.7" top="0.75" bottom="0.75" header="0.3" footer="0.3"/>
  <pageSetup orientation="portrait" horizontalDpi="1200" verticalDpi="1200" r:id="rId1"/>
  <ignoredErrors>
    <ignoredError sqref="C15:D15" unlockedFormula="1"/>
  </ignoredErrors>
  <drawing r:id="rId2"/>
  <legacyDrawing r:id="rId3"/>
  <oleObjects>
    <mc:AlternateContent xmlns:mc="http://schemas.openxmlformats.org/markup-compatibility/2006">
      <mc:Choice Requires="x14">
        <oleObject progId="Equation.DSMT4" shapeId="19465" r:id="rId4">
          <objectPr defaultSize="0" autoPict="0" r:id="rId5">
            <anchor moveWithCells="1" sizeWithCells="1">
              <from>
                <xdr:col>5</xdr:col>
                <xdr:colOff>19050</xdr:colOff>
                <xdr:row>2</xdr:row>
                <xdr:rowOff>209550</xdr:rowOff>
              </from>
              <to>
                <xdr:col>7</xdr:col>
                <xdr:colOff>361950</xdr:colOff>
                <xdr:row>2</xdr:row>
                <xdr:rowOff>209550</xdr:rowOff>
              </to>
            </anchor>
          </objectPr>
        </oleObject>
      </mc:Choice>
      <mc:Fallback>
        <oleObject progId="Equation.DSMT4" shapeId="19465" r:id="rId4"/>
      </mc:Fallback>
    </mc:AlternateContent>
    <mc:AlternateContent xmlns:mc="http://schemas.openxmlformats.org/markup-compatibility/2006">
      <mc:Choice Requires="x14">
        <oleObject progId="Equation.DSMT4" shapeId="19466" r:id="rId6">
          <objectPr defaultSize="0" autoPict="0" r:id="rId7">
            <anchor moveWithCells="1" sizeWithCells="1">
              <from>
                <xdr:col>5</xdr:col>
                <xdr:colOff>9525</xdr:colOff>
                <xdr:row>2</xdr:row>
                <xdr:rowOff>209550</xdr:rowOff>
              </from>
              <to>
                <xdr:col>7</xdr:col>
                <xdr:colOff>361950</xdr:colOff>
                <xdr:row>2</xdr:row>
                <xdr:rowOff>209550</xdr:rowOff>
              </to>
            </anchor>
          </objectPr>
        </oleObject>
      </mc:Choice>
      <mc:Fallback>
        <oleObject progId="Equation.DSMT4" shapeId="19466" r:id="rId6"/>
      </mc:Fallback>
    </mc:AlternateContent>
    <mc:AlternateContent xmlns:mc="http://schemas.openxmlformats.org/markup-compatibility/2006">
      <mc:Choice Requires="x14">
        <oleObject progId="Equation.DSMT4" shapeId="19467" r:id="rId8">
          <objectPr defaultSize="0" autoPict="0" r:id="rId9">
            <anchor moveWithCells="1" sizeWithCells="1">
              <from>
                <xdr:col>5</xdr:col>
                <xdr:colOff>9525</xdr:colOff>
                <xdr:row>2</xdr:row>
                <xdr:rowOff>209550</xdr:rowOff>
              </from>
              <to>
                <xdr:col>7</xdr:col>
                <xdr:colOff>361950</xdr:colOff>
                <xdr:row>2</xdr:row>
                <xdr:rowOff>209550</xdr:rowOff>
              </to>
            </anchor>
          </objectPr>
        </oleObject>
      </mc:Choice>
      <mc:Fallback>
        <oleObject progId="Equation.DSMT4" shapeId="19467" r:id="rId8"/>
      </mc:Fallback>
    </mc:AlternateContent>
  </oleObjects>
  <mc:AlternateContent xmlns:mc="http://schemas.openxmlformats.org/markup-compatibility/2006">
    <mc:Choice Requires="x14">
      <controls>
        <mc:AlternateContent xmlns:mc="http://schemas.openxmlformats.org/markup-compatibility/2006">
          <mc:Choice Requires="x14">
            <control shapeId="19474" r:id="rId10" name="Drop Down 18">
              <controlPr locked="0" defaultSize="0" autoLine="0" autoPict="0">
                <anchor moveWithCells="1">
                  <from>
                    <xdr:col>2</xdr:col>
                    <xdr:colOff>0</xdr:colOff>
                    <xdr:row>10</xdr:row>
                    <xdr:rowOff>0</xdr:rowOff>
                  </from>
                  <to>
                    <xdr:col>3</xdr:col>
                    <xdr:colOff>466725</xdr:colOff>
                    <xdr:row>11</xdr:row>
                    <xdr:rowOff>9525</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tabColor rgb="FF00B050"/>
  </sheetPr>
  <dimension ref="A1:I165"/>
  <sheetViews>
    <sheetView workbookViewId="0">
      <selection activeCell="G15" sqref="G15"/>
    </sheetView>
  </sheetViews>
  <sheetFormatPr defaultColWidth="11.43359375" defaultRowHeight="15.75" x14ac:dyDescent="0.2"/>
  <cols>
    <col min="1" max="1" width="5.6484375" style="75" customWidth="1"/>
    <col min="2" max="2" width="37.26171875" style="75" customWidth="1"/>
    <col min="3" max="3" width="18.4296875" style="75" customWidth="1"/>
    <col min="4" max="4" width="11.1640625" style="75" bestFit="1" customWidth="1"/>
    <col min="5" max="5" width="8.203125" style="75" bestFit="1" customWidth="1"/>
    <col min="6" max="6" width="5.6484375" style="75" customWidth="1"/>
    <col min="7" max="7" width="42.23828125" style="66" customWidth="1"/>
    <col min="8" max="8" width="19.1015625" style="75" customWidth="1"/>
    <col min="9" max="9" width="4.83984375" style="3" customWidth="1"/>
    <col min="10" max="16384" width="11.43359375" style="3"/>
  </cols>
  <sheetData>
    <row r="1" spans="1:9" ht="15.75" customHeight="1" x14ac:dyDescent="0.2">
      <c r="A1" s="85"/>
      <c r="B1" s="85"/>
      <c r="C1" s="85"/>
      <c r="D1" s="85"/>
      <c r="E1" s="85"/>
      <c r="F1" s="85"/>
      <c r="G1" s="225"/>
      <c r="H1" s="225"/>
      <c r="I1" s="238"/>
    </row>
    <row r="2" spans="1:9" ht="16.5" x14ac:dyDescent="0.2">
      <c r="A2" s="85"/>
      <c r="B2" s="458" t="s">
        <v>283</v>
      </c>
      <c r="C2" s="458"/>
      <c r="D2" s="458"/>
      <c r="E2" s="458"/>
      <c r="F2" s="458"/>
      <c r="G2" s="225"/>
      <c r="H2" s="225"/>
      <c r="I2" s="225"/>
    </row>
    <row r="3" spans="1:9" ht="17.25" customHeight="1" x14ac:dyDescent="0.2">
      <c r="A3" s="85"/>
      <c r="B3" s="459" t="s">
        <v>150</v>
      </c>
      <c r="C3" s="460"/>
      <c r="D3" s="460"/>
      <c r="E3" s="460"/>
      <c r="F3" s="171"/>
      <c r="G3" s="225"/>
      <c r="H3" s="225"/>
      <c r="I3" s="225"/>
    </row>
    <row r="4" spans="1:9" s="225" customFormat="1" ht="18" x14ac:dyDescent="0.2">
      <c r="A4" s="171"/>
      <c r="B4" s="172" t="s">
        <v>151</v>
      </c>
      <c r="C4" s="218">
        <f>'COEFICIENTE DE ESCURRIMIENTO'!E18*0.01</f>
        <v>3.98</v>
      </c>
      <c r="D4" s="219" t="s">
        <v>333</v>
      </c>
      <c r="E4" s="190"/>
      <c r="F4" s="171"/>
    </row>
    <row r="5" spans="1:9" s="194" customFormat="1" x14ac:dyDescent="0.2">
      <c r="A5" s="173"/>
      <c r="B5" s="220"/>
      <c r="C5" s="221"/>
      <c r="D5" s="219"/>
      <c r="F5" s="173"/>
      <c r="G5" s="225"/>
      <c r="H5" s="225"/>
    </row>
    <row r="6" spans="1:9" s="225" customFormat="1" x14ac:dyDescent="0.2">
      <c r="A6" s="171"/>
      <c r="B6" s="172" t="s">
        <v>284</v>
      </c>
      <c r="C6" s="222" t="s">
        <v>183</v>
      </c>
      <c r="D6" s="220"/>
      <c r="E6" s="190"/>
      <c r="F6" s="171"/>
    </row>
    <row r="7" spans="1:9" s="225" customFormat="1" x14ac:dyDescent="0.2">
      <c r="A7" s="171"/>
      <c r="B7" s="223">
        <v>24</v>
      </c>
      <c r="C7" s="218">
        <f>VLOOKUP(B7,$B$60:$D$87,3,FALSE)</f>
        <v>45</v>
      </c>
      <c r="D7" s="220"/>
      <c r="E7" s="190"/>
      <c r="F7" s="171"/>
    </row>
    <row r="8" spans="1:9" s="225" customFormat="1" x14ac:dyDescent="0.2">
      <c r="A8" s="171"/>
      <c r="C8" s="226"/>
      <c r="D8" s="190"/>
      <c r="E8" s="190"/>
      <c r="F8" s="171"/>
    </row>
    <row r="9" spans="1:9" s="225" customFormat="1" ht="18" x14ac:dyDescent="0.2">
      <c r="A9" s="171"/>
      <c r="B9" s="172" t="s">
        <v>153</v>
      </c>
      <c r="C9" s="227">
        <f>0.5033*C7*((C4/2.59)^((0.936/(C4^0.048))-1))</f>
        <v>21.473092344874072</v>
      </c>
      <c r="D9" s="219" t="s">
        <v>334</v>
      </c>
      <c r="E9" s="190"/>
      <c r="F9" s="171"/>
    </row>
    <row r="10" spans="1:9" s="225" customFormat="1" ht="18" x14ac:dyDescent="0.2">
      <c r="A10" s="171"/>
      <c r="B10" s="4" t="s">
        <v>152</v>
      </c>
      <c r="C10" s="227">
        <f>C9*C4</f>
        <v>85.462907532598805</v>
      </c>
      <c r="D10" s="219" t="s">
        <v>335</v>
      </c>
      <c r="E10" s="190"/>
      <c r="F10" s="171"/>
    </row>
    <row r="11" spans="1:9" s="225" customFormat="1" x14ac:dyDescent="0.2">
      <c r="A11" s="171"/>
      <c r="B11" s="228">
        <v>50</v>
      </c>
      <c r="C11" s="227">
        <f>C10*(B11/100)</f>
        <v>42.731453766299403</v>
      </c>
      <c r="D11" s="219"/>
      <c r="E11" s="190"/>
      <c r="F11" s="171"/>
    </row>
    <row r="12" spans="1:9" s="190" customFormat="1" x14ac:dyDescent="0.2">
      <c r="A12" s="171"/>
      <c r="C12" s="239"/>
      <c r="D12" s="194"/>
      <c r="F12" s="171"/>
      <c r="G12" s="225"/>
      <c r="H12" s="225"/>
    </row>
    <row r="13" spans="1:9" s="190" customFormat="1" ht="25.5" customHeight="1" x14ac:dyDescent="0.2">
      <c r="A13" s="171"/>
      <c r="B13" s="85"/>
      <c r="C13" s="56"/>
      <c r="D13" s="85"/>
      <c r="E13" s="85"/>
      <c r="F13" s="171"/>
      <c r="G13" s="225"/>
      <c r="H13" s="225"/>
    </row>
    <row r="14" spans="1:9" s="190" customFormat="1" x14ac:dyDescent="0.2">
      <c r="A14" s="225"/>
      <c r="B14" s="225"/>
      <c r="C14" s="225"/>
      <c r="D14" s="225"/>
      <c r="E14" s="225"/>
      <c r="F14" s="225"/>
      <c r="G14" s="225"/>
      <c r="H14" s="225"/>
    </row>
    <row r="15" spans="1:9" x14ac:dyDescent="0.2">
      <c r="A15" s="225"/>
      <c r="B15" s="225"/>
      <c r="C15" s="225"/>
      <c r="D15" s="225"/>
      <c r="E15" s="225"/>
      <c r="F15" s="225"/>
      <c r="G15" s="225"/>
      <c r="H15" s="225"/>
    </row>
    <row r="16" spans="1:9" x14ac:dyDescent="0.2">
      <c r="G16" s="225"/>
      <c r="H16" s="225"/>
    </row>
    <row r="18" spans="1:8" x14ac:dyDescent="0.2">
      <c r="A18" s="158"/>
      <c r="B18" s="399" t="s">
        <v>50</v>
      </c>
      <c r="C18" s="399" t="s">
        <v>182</v>
      </c>
      <c r="D18" s="399" t="s">
        <v>183</v>
      </c>
      <c r="E18" s="399"/>
      <c r="F18" s="158"/>
      <c r="G18" s="399" t="s">
        <v>184</v>
      </c>
      <c r="H18" s="399" t="s">
        <v>185</v>
      </c>
    </row>
    <row r="19" spans="1:8" x14ac:dyDescent="0.2">
      <c r="A19" s="158"/>
      <c r="B19" s="399"/>
      <c r="C19" s="399"/>
      <c r="D19" s="158" t="s">
        <v>186</v>
      </c>
      <c r="E19" s="158" t="s">
        <v>187</v>
      </c>
      <c r="F19" s="158"/>
      <c r="G19" s="399"/>
      <c r="H19" s="399"/>
    </row>
    <row r="20" spans="1:8" x14ac:dyDescent="0.2">
      <c r="A20" s="158"/>
      <c r="B20" s="158"/>
      <c r="C20" s="158" t="s">
        <v>188</v>
      </c>
      <c r="D20" s="158"/>
      <c r="E20" s="158"/>
      <c r="F20" s="158"/>
      <c r="G20" s="158"/>
      <c r="H20" s="158"/>
    </row>
    <row r="21" spans="1:8" s="55" customFormat="1" ht="57" x14ac:dyDescent="0.2">
      <c r="A21" s="160"/>
      <c r="B21" s="160">
        <v>1</v>
      </c>
      <c r="C21" s="160" t="s">
        <v>189</v>
      </c>
      <c r="D21" s="160">
        <v>30</v>
      </c>
      <c r="E21" s="160">
        <v>665</v>
      </c>
      <c r="F21" s="160"/>
      <c r="G21" s="159" t="s">
        <v>190</v>
      </c>
      <c r="H21" s="160" t="s">
        <v>191</v>
      </c>
    </row>
    <row r="22" spans="1:8" s="55" customFormat="1" ht="57" x14ac:dyDescent="0.2">
      <c r="A22" s="160"/>
      <c r="B22" s="160">
        <v>2</v>
      </c>
      <c r="C22" s="160" t="s">
        <v>192</v>
      </c>
      <c r="D22" s="160">
        <v>72</v>
      </c>
      <c r="E22" s="160">
        <v>1614</v>
      </c>
      <c r="F22" s="160"/>
      <c r="G22" s="159" t="s">
        <v>193</v>
      </c>
      <c r="H22" s="160" t="s">
        <v>194</v>
      </c>
    </row>
    <row r="23" spans="1:8" s="55" customFormat="1" ht="29.25" x14ac:dyDescent="0.2">
      <c r="A23" s="160"/>
      <c r="B23" s="160">
        <v>3</v>
      </c>
      <c r="C23" s="160" t="s">
        <v>195</v>
      </c>
      <c r="D23" s="160">
        <v>14</v>
      </c>
      <c r="E23" s="160">
        <v>580</v>
      </c>
      <c r="F23" s="160"/>
      <c r="G23" s="159" t="s">
        <v>196</v>
      </c>
      <c r="H23" s="160" t="s">
        <v>197</v>
      </c>
    </row>
    <row r="24" spans="1:8" s="235" customFormat="1" x14ac:dyDescent="0.2">
      <c r="A24" s="231"/>
      <c r="B24" s="230">
        <v>4</v>
      </c>
      <c r="C24" s="158" t="s">
        <v>198</v>
      </c>
      <c r="D24" s="231"/>
      <c r="E24" s="231"/>
      <c r="F24" s="231"/>
      <c r="G24" s="231"/>
      <c r="H24" s="231"/>
    </row>
    <row r="25" spans="1:8" s="55" customFormat="1" ht="29.25" x14ac:dyDescent="0.2">
      <c r="A25" s="160"/>
      <c r="B25" s="160" t="s">
        <v>199</v>
      </c>
      <c r="C25" s="160" t="s">
        <v>200</v>
      </c>
      <c r="D25" s="160">
        <v>35</v>
      </c>
      <c r="E25" s="160">
        <v>1223</v>
      </c>
      <c r="F25" s="160"/>
      <c r="G25" s="159" t="s">
        <v>201</v>
      </c>
      <c r="H25" s="160" t="s">
        <v>202</v>
      </c>
    </row>
    <row r="26" spans="1:8" s="55" customFormat="1" ht="57" x14ac:dyDescent="0.2">
      <c r="A26" s="160"/>
      <c r="B26" s="160" t="s">
        <v>203</v>
      </c>
      <c r="C26" s="160" t="s">
        <v>204</v>
      </c>
      <c r="D26" s="160">
        <v>64</v>
      </c>
      <c r="E26" s="160">
        <v>1969</v>
      </c>
      <c r="F26" s="160"/>
      <c r="G26" s="159" t="s">
        <v>205</v>
      </c>
      <c r="H26" s="160" t="s">
        <v>206</v>
      </c>
    </row>
    <row r="27" spans="1:8" s="236" customFormat="1" ht="29.25" x14ac:dyDescent="0.2">
      <c r="A27" s="230"/>
      <c r="B27" s="230">
        <v>5</v>
      </c>
      <c r="C27" s="158" t="s">
        <v>207</v>
      </c>
      <c r="D27" s="230"/>
      <c r="E27" s="230"/>
      <c r="F27" s="230"/>
      <c r="G27" s="230"/>
      <c r="H27" s="230"/>
    </row>
    <row r="28" spans="1:8" s="55" customFormat="1" ht="71.25" x14ac:dyDescent="0.2">
      <c r="A28" s="160"/>
      <c r="B28" s="160" t="s">
        <v>208</v>
      </c>
      <c r="C28" s="160" t="s">
        <v>209</v>
      </c>
      <c r="D28" s="160">
        <v>19</v>
      </c>
      <c r="E28" s="160">
        <v>720</v>
      </c>
      <c r="F28" s="160"/>
      <c r="G28" s="159" t="s">
        <v>336</v>
      </c>
      <c r="H28" s="160" t="s">
        <v>210</v>
      </c>
    </row>
    <row r="29" spans="1:8" s="55" customFormat="1" ht="74.25" x14ac:dyDescent="0.2">
      <c r="A29" s="160"/>
      <c r="B29" s="160" t="s">
        <v>211</v>
      </c>
      <c r="C29" s="160" t="s">
        <v>212</v>
      </c>
      <c r="D29" s="160">
        <v>16</v>
      </c>
      <c r="E29" s="160">
        <v>400</v>
      </c>
      <c r="F29" s="160"/>
      <c r="G29" s="159" t="s">
        <v>337</v>
      </c>
      <c r="H29" s="160" t="s">
        <v>213</v>
      </c>
    </row>
    <row r="30" spans="1:8" s="55" customFormat="1" ht="57" x14ac:dyDescent="0.2">
      <c r="A30" s="160"/>
      <c r="B30" s="160">
        <v>6</v>
      </c>
      <c r="C30" s="158" t="s">
        <v>214</v>
      </c>
      <c r="D30" s="160">
        <v>10</v>
      </c>
      <c r="E30" s="160">
        <v>3512</v>
      </c>
      <c r="F30" s="160"/>
      <c r="G30" s="159" t="s">
        <v>215</v>
      </c>
      <c r="H30" s="160" t="s">
        <v>216</v>
      </c>
    </row>
    <row r="31" spans="1:8" s="236" customFormat="1" ht="29.25" x14ac:dyDescent="0.2">
      <c r="A31" s="230"/>
      <c r="B31" s="230">
        <v>7</v>
      </c>
      <c r="C31" s="158" t="s">
        <v>217</v>
      </c>
      <c r="D31" s="230"/>
      <c r="E31" s="230"/>
      <c r="F31" s="230"/>
      <c r="G31" s="230"/>
      <c r="H31" s="230"/>
    </row>
    <row r="32" spans="1:8" s="55" customFormat="1" ht="45.75" x14ac:dyDescent="0.2">
      <c r="A32" s="160"/>
      <c r="B32" s="160" t="s">
        <v>218</v>
      </c>
      <c r="C32" s="160" t="s">
        <v>219</v>
      </c>
      <c r="D32" s="160">
        <v>32</v>
      </c>
      <c r="E32" s="160">
        <v>1143</v>
      </c>
      <c r="F32" s="160"/>
      <c r="G32" s="159" t="s">
        <v>338</v>
      </c>
      <c r="H32" s="160" t="s">
        <v>220</v>
      </c>
    </row>
    <row r="33" spans="1:8" s="55" customFormat="1" ht="42.75" x14ac:dyDescent="0.2">
      <c r="A33" s="160"/>
      <c r="B33" s="160" t="s">
        <v>221</v>
      </c>
      <c r="C33" s="160" t="s">
        <v>222</v>
      </c>
      <c r="D33" s="160">
        <v>18</v>
      </c>
      <c r="E33" s="160">
        <v>393</v>
      </c>
      <c r="F33" s="160"/>
      <c r="G33" s="159" t="s">
        <v>339</v>
      </c>
      <c r="H33" s="160" t="s">
        <v>223</v>
      </c>
    </row>
    <row r="34" spans="1:8" s="55" customFormat="1" ht="85.5" x14ac:dyDescent="0.2">
      <c r="A34" s="160"/>
      <c r="B34" s="160">
        <v>8</v>
      </c>
      <c r="C34" s="158" t="s">
        <v>224</v>
      </c>
      <c r="D34" s="160">
        <v>62</v>
      </c>
      <c r="E34" s="160">
        <v>1679</v>
      </c>
      <c r="F34" s="160"/>
      <c r="G34" s="159" t="s">
        <v>225</v>
      </c>
      <c r="H34" s="160" t="s">
        <v>226</v>
      </c>
    </row>
    <row r="35" spans="1:8" s="237" customFormat="1" ht="29.25" x14ac:dyDescent="0.2">
      <c r="A35" s="158"/>
      <c r="B35" s="158">
        <v>9</v>
      </c>
      <c r="C35" s="158" t="s">
        <v>227</v>
      </c>
      <c r="D35" s="158"/>
      <c r="E35" s="158"/>
      <c r="F35" s="158"/>
      <c r="G35" s="158"/>
      <c r="H35" s="158"/>
    </row>
    <row r="36" spans="1:8" s="55" customFormat="1" ht="42.75" x14ac:dyDescent="0.2">
      <c r="A36" s="160"/>
      <c r="B36" s="160" t="s">
        <v>228</v>
      </c>
      <c r="C36" s="160" t="s">
        <v>229</v>
      </c>
      <c r="D36" s="160">
        <v>23</v>
      </c>
      <c r="E36" s="160">
        <v>613</v>
      </c>
      <c r="F36" s="160"/>
      <c r="G36" s="159" t="s">
        <v>230</v>
      </c>
      <c r="H36" s="160" t="s">
        <v>231</v>
      </c>
    </row>
    <row r="37" spans="1:8" s="55" customFormat="1" ht="42.75" x14ac:dyDescent="0.2">
      <c r="A37" s="160"/>
      <c r="B37" s="160" t="s">
        <v>232</v>
      </c>
      <c r="C37" s="160" t="s">
        <v>233</v>
      </c>
      <c r="D37" s="160">
        <v>91</v>
      </c>
      <c r="E37" s="160">
        <v>2783</v>
      </c>
      <c r="F37" s="160"/>
      <c r="G37" s="159" t="s">
        <v>234</v>
      </c>
      <c r="H37" s="160" t="s">
        <v>235</v>
      </c>
    </row>
    <row r="38" spans="1:8" s="55" customFormat="1" ht="29.25" x14ac:dyDescent="0.2">
      <c r="A38" s="160"/>
      <c r="B38" s="160">
        <v>10</v>
      </c>
      <c r="C38" s="158" t="s">
        <v>236</v>
      </c>
      <c r="D38" s="160">
        <v>61</v>
      </c>
      <c r="E38" s="160">
        <v>1352</v>
      </c>
      <c r="F38" s="160"/>
      <c r="G38" s="159" t="s">
        <v>237</v>
      </c>
      <c r="H38" s="160" t="s">
        <v>238</v>
      </c>
    </row>
    <row r="39" spans="1:8" s="55" customFormat="1" ht="29.25" x14ac:dyDescent="0.2">
      <c r="A39" s="160"/>
      <c r="B39" s="160">
        <v>11</v>
      </c>
      <c r="C39" s="158" t="s">
        <v>239</v>
      </c>
      <c r="D39" s="160"/>
      <c r="E39" s="160"/>
      <c r="F39" s="160"/>
      <c r="G39" s="160"/>
      <c r="H39" s="160"/>
    </row>
    <row r="40" spans="1:8" s="55" customFormat="1" ht="42.75" x14ac:dyDescent="0.2">
      <c r="A40" s="160"/>
      <c r="B40" s="160" t="s">
        <v>240</v>
      </c>
      <c r="C40" s="160" t="s">
        <v>241</v>
      </c>
      <c r="D40" s="160">
        <v>14</v>
      </c>
      <c r="E40" s="160">
        <v>314</v>
      </c>
      <c r="F40" s="160"/>
      <c r="G40" s="160" t="s">
        <v>242</v>
      </c>
      <c r="H40" s="160" t="s">
        <v>243</v>
      </c>
    </row>
    <row r="41" spans="1:8" s="55" customFormat="1" ht="85.5" x14ac:dyDescent="0.2">
      <c r="A41" s="160"/>
      <c r="B41" s="160" t="s">
        <v>244</v>
      </c>
      <c r="C41" s="160" t="s">
        <v>245</v>
      </c>
      <c r="D41" s="160">
        <v>67</v>
      </c>
      <c r="E41" s="160">
        <v>1504</v>
      </c>
      <c r="F41" s="160"/>
      <c r="G41" s="159" t="s">
        <v>246</v>
      </c>
      <c r="H41" s="160" t="s">
        <v>247</v>
      </c>
    </row>
    <row r="42" spans="1:8" s="55" customFormat="1" ht="57" x14ac:dyDescent="0.2">
      <c r="A42" s="160"/>
      <c r="B42" s="160">
        <v>12</v>
      </c>
      <c r="C42" s="158" t="s">
        <v>248</v>
      </c>
      <c r="D42" s="160">
        <v>59</v>
      </c>
      <c r="E42" s="160">
        <v>1590</v>
      </c>
      <c r="F42" s="160"/>
      <c r="G42" s="159" t="s">
        <v>249</v>
      </c>
      <c r="H42" s="160" t="s">
        <v>250</v>
      </c>
    </row>
    <row r="43" spans="1:8" s="55" customFormat="1" ht="45.75" x14ac:dyDescent="0.2">
      <c r="A43" s="160"/>
      <c r="B43" s="160">
        <v>13</v>
      </c>
      <c r="C43" s="158" t="s">
        <v>251</v>
      </c>
      <c r="D43" s="160">
        <v>36</v>
      </c>
      <c r="E43" s="160">
        <v>933</v>
      </c>
      <c r="F43" s="160"/>
      <c r="G43" s="159" t="s">
        <v>340</v>
      </c>
      <c r="H43" s="160" t="s">
        <v>252</v>
      </c>
    </row>
    <row r="44" spans="1:8" s="55" customFormat="1" ht="32.25" x14ac:dyDescent="0.2">
      <c r="A44" s="160"/>
      <c r="B44" s="160">
        <v>14</v>
      </c>
      <c r="C44" s="158" t="s">
        <v>253</v>
      </c>
      <c r="D44" s="160">
        <v>36</v>
      </c>
      <c r="E44" s="160">
        <v>933</v>
      </c>
      <c r="F44" s="160"/>
      <c r="G44" s="159" t="s">
        <v>341</v>
      </c>
      <c r="H44" s="160" t="s">
        <v>254</v>
      </c>
    </row>
    <row r="45" spans="1:8" s="55" customFormat="1" ht="33" customHeight="1" x14ac:dyDescent="0.2">
      <c r="A45" s="160"/>
      <c r="B45" s="160">
        <v>15</v>
      </c>
      <c r="C45" s="158" t="s">
        <v>255</v>
      </c>
      <c r="D45" s="160">
        <v>50</v>
      </c>
      <c r="E45" s="160">
        <v>1060</v>
      </c>
      <c r="F45" s="160"/>
      <c r="G45" s="159" t="s">
        <v>342</v>
      </c>
      <c r="H45" s="160"/>
    </row>
    <row r="46" spans="1:8" s="55" customFormat="1" ht="42.75" x14ac:dyDescent="0.2">
      <c r="A46" s="160"/>
      <c r="B46" s="160">
        <v>16</v>
      </c>
      <c r="C46" s="158" t="s">
        <v>256</v>
      </c>
      <c r="D46" s="160">
        <v>3.7</v>
      </c>
      <c r="E46" s="160">
        <v>109</v>
      </c>
      <c r="F46" s="160"/>
      <c r="G46" s="159" t="s">
        <v>257</v>
      </c>
      <c r="H46" s="160" t="s">
        <v>258</v>
      </c>
    </row>
    <row r="47" spans="1:8" s="55" customFormat="1" ht="57" x14ac:dyDescent="0.2">
      <c r="A47" s="160"/>
      <c r="B47" s="160">
        <v>17</v>
      </c>
      <c r="C47" s="158" t="s">
        <v>259</v>
      </c>
      <c r="D47" s="160">
        <v>4</v>
      </c>
      <c r="E47" s="160">
        <v>154</v>
      </c>
      <c r="F47" s="160"/>
      <c r="G47" s="159" t="s">
        <v>260</v>
      </c>
      <c r="H47" s="160" t="s">
        <v>261</v>
      </c>
    </row>
    <row r="48" spans="1:8" s="55" customFormat="1" ht="29.25" x14ac:dyDescent="0.2">
      <c r="A48" s="160"/>
      <c r="B48" s="160">
        <v>18</v>
      </c>
      <c r="C48" s="158" t="s">
        <v>262</v>
      </c>
      <c r="D48" s="160"/>
      <c r="E48" s="160"/>
      <c r="F48" s="160"/>
      <c r="G48" s="159" t="s">
        <v>263</v>
      </c>
      <c r="H48" s="160"/>
    </row>
    <row r="49" spans="1:8" s="55" customFormat="1" ht="57" x14ac:dyDescent="0.2">
      <c r="A49" s="160"/>
      <c r="B49" s="160">
        <v>19</v>
      </c>
      <c r="C49" s="158" t="s">
        <v>264</v>
      </c>
      <c r="D49" s="160">
        <v>26</v>
      </c>
      <c r="E49" s="160">
        <v>862</v>
      </c>
      <c r="F49" s="160"/>
      <c r="G49" s="159" t="s">
        <v>265</v>
      </c>
      <c r="H49" s="160" t="s">
        <v>266</v>
      </c>
    </row>
    <row r="50" spans="1:8" s="55" customFormat="1" ht="57" x14ac:dyDescent="0.2">
      <c r="A50" s="160"/>
      <c r="B50" s="160">
        <v>20</v>
      </c>
      <c r="C50" s="158" t="s">
        <v>267</v>
      </c>
      <c r="D50" s="160">
        <v>45</v>
      </c>
      <c r="E50" s="160">
        <v>1123</v>
      </c>
      <c r="F50" s="160"/>
      <c r="G50" s="159" t="s">
        <v>268</v>
      </c>
      <c r="H50" s="160" t="s">
        <v>269</v>
      </c>
    </row>
    <row r="51" spans="1:8" s="55" customFormat="1" ht="42.75" x14ac:dyDescent="0.2">
      <c r="A51" s="160"/>
      <c r="B51" s="160">
        <v>21</v>
      </c>
      <c r="C51" s="158" t="s">
        <v>270</v>
      </c>
      <c r="D51" s="160">
        <v>8.4</v>
      </c>
      <c r="E51" s="160">
        <v>213</v>
      </c>
      <c r="F51" s="160"/>
      <c r="G51" s="159" t="s">
        <v>271</v>
      </c>
      <c r="H51" s="160" t="s">
        <v>272</v>
      </c>
    </row>
    <row r="52" spans="1:8" s="55" customFormat="1" ht="42.75" x14ac:dyDescent="0.2">
      <c r="A52" s="160"/>
      <c r="B52" s="160">
        <v>22</v>
      </c>
      <c r="C52" s="158" t="s">
        <v>273</v>
      </c>
      <c r="D52" s="160">
        <v>6.8</v>
      </c>
      <c r="E52" s="160">
        <v>1146</v>
      </c>
      <c r="F52" s="160"/>
      <c r="G52" s="159" t="s">
        <v>274</v>
      </c>
      <c r="H52" s="160" t="s">
        <v>275</v>
      </c>
    </row>
    <row r="53" spans="1:8" s="55" customFormat="1" ht="29.25" x14ac:dyDescent="0.2">
      <c r="A53" s="160"/>
      <c r="B53" s="160">
        <v>23</v>
      </c>
      <c r="C53" s="158" t="s">
        <v>276</v>
      </c>
      <c r="D53" s="160">
        <v>19</v>
      </c>
      <c r="E53" s="160">
        <v>593</v>
      </c>
      <c r="F53" s="160"/>
      <c r="G53" s="159" t="s">
        <v>277</v>
      </c>
      <c r="H53" s="160" t="s">
        <v>278</v>
      </c>
    </row>
    <row r="54" spans="1:8" s="55" customFormat="1" ht="29.25" x14ac:dyDescent="0.2">
      <c r="A54" s="160"/>
      <c r="B54" s="160">
        <v>24</v>
      </c>
      <c r="C54" s="158" t="s">
        <v>279</v>
      </c>
      <c r="D54" s="160">
        <v>37</v>
      </c>
      <c r="E54" s="160">
        <v>876</v>
      </c>
      <c r="F54" s="160"/>
      <c r="G54" s="159" t="s">
        <v>280</v>
      </c>
      <c r="H54" s="160" t="s">
        <v>281</v>
      </c>
    </row>
    <row r="55" spans="1:8" s="55" customFormat="1" ht="42.75" x14ac:dyDescent="0.2">
      <c r="A55" s="160"/>
      <c r="B55" s="160">
        <v>25</v>
      </c>
      <c r="C55" s="158" t="s">
        <v>282</v>
      </c>
      <c r="D55" s="160"/>
      <c r="E55" s="160"/>
      <c r="F55" s="160"/>
      <c r="G55" s="159" t="s">
        <v>263</v>
      </c>
      <c r="H55" s="160"/>
    </row>
    <row r="56" spans="1:8" s="55" customFormat="1" x14ac:dyDescent="0.2">
      <c r="A56" s="232"/>
      <c r="B56" s="232"/>
      <c r="C56" s="232"/>
      <c r="D56" s="232"/>
      <c r="E56" s="232"/>
      <c r="F56" s="232"/>
      <c r="G56" s="232"/>
      <c r="H56" s="232"/>
    </row>
    <row r="57" spans="1:8" s="55" customFormat="1" x14ac:dyDescent="0.2">
      <c r="A57" s="232"/>
      <c r="B57" s="232"/>
      <c r="C57" s="232"/>
      <c r="D57" s="232"/>
      <c r="E57" s="232"/>
      <c r="F57" s="232"/>
      <c r="G57" s="232"/>
      <c r="H57" s="232"/>
    </row>
    <row r="58" spans="1:8" s="55" customFormat="1" x14ac:dyDescent="0.2">
      <c r="A58" s="158"/>
      <c r="B58" s="399" t="s">
        <v>50</v>
      </c>
      <c r="C58" s="399" t="s">
        <v>182</v>
      </c>
      <c r="D58" s="399" t="s">
        <v>183</v>
      </c>
      <c r="E58" s="399"/>
      <c r="F58" s="158"/>
      <c r="G58" s="399" t="s">
        <v>184</v>
      </c>
      <c r="H58" s="399" t="s">
        <v>185</v>
      </c>
    </row>
    <row r="59" spans="1:8" s="55" customFormat="1" x14ac:dyDescent="0.2">
      <c r="A59" s="158"/>
      <c r="B59" s="399"/>
      <c r="C59" s="399"/>
      <c r="D59" s="158" t="s">
        <v>186</v>
      </c>
      <c r="E59" s="158" t="s">
        <v>187</v>
      </c>
      <c r="F59" s="158"/>
      <c r="G59" s="399"/>
      <c r="H59" s="399"/>
    </row>
    <row r="60" spans="1:8" s="55" customFormat="1" ht="57" x14ac:dyDescent="0.2">
      <c r="A60" s="160"/>
      <c r="B60" s="160">
        <v>1</v>
      </c>
      <c r="C60" s="160" t="s">
        <v>189</v>
      </c>
      <c r="D60" s="160">
        <v>30</v>
      </c>
      <c r="E60" s="160">
        <v>665</v>
      </c>
      <c r="F60" s="160"/>
      <c r="G60" s="159" t="s">
        <v>190</v>
      </c>
      <c r="H60" s="160" t="s">
        <v>191</v>
      </c>
    </row>
    <row r="61" spans="1:8" s="55" customFormat="1" ht="57" x14ac:dyDescent="0.2">
      <c r="A61" s="160"/>
      <c r="B61" s="160">
        <v>2</v>
      </c>
      <c r="C61" s="160" t="s">
        <v>192</v>
      </c>
      <c r="D61" s="160">
        <v>72</v>
      </c>
      <c r="E61" s="160">
        <v>1614</v>
      </c>
      <c r="F61" s="160"/>
      <c r="G61" s="159" t="s">
        <v>193</v>
      </c>
      <c r="H61" s="160" t="s">
        <v>194</v>
      </c>
    </row>
    <row r="62" spans="1:8" s="55" customFormat="1" ht="29.25" x14ac:dyDescent="0.2">
      <c r="A62" s="160"/>
      <c r="B62" s="160">
        <v>3</v>
      </c>
      <c r="C62" s="160" t="s">
        <v>195</v>
      </c>
      <c r="D62" s="160">
        <v>14</v>
      </c>
      <c r="E62" s="160">
        <v>580</v>
      </c>
      <c r="F62" s="160"/>
      <c r="G62" s="159" t="s">
        <v>196</v>
      </c>
      <c r="H62" s="160" t="s">
        <v>197</v>
      </c>
    </row>
    <row r="63" spans="1:8" s="55" customFormat="1" ht="29.25" x14ac:dyDescent="0.2">
      <c r="A63" s="160"/>
      <c r="B63" s="160">
        <v>4</v>
      </c>
      <c r="C63" s="160" t="s">
        <v>200</v>
      </c>
      <c r="D63" s="160">
        <v>35</v>
      </c>
      <c r="E63" s="160">
        <v>1223</v>
      </c>
      <c r="F63" s="160"/>
      <c r="G63" s="159" t="s">
        <v>201</v>
      </c>
      <c r="H63" s="160" t="s">
        <v>202</v>
      </c>
    </row>
    <row r="64" spans="1:8" s="55" customFormat="1" ht="57" x14ac:dyDescent="0.2">
      <c r="A64" s="160"/>
      <c r="B64" s="160">
        <v>5</v>
      </c>
      <c r="C64" s="160" t="s">
        <v>204</v>
      </c>
      <c r="D64" s="160">
        <v>64</v>
      </c>
      <c r="E64" s="160">
        <v>1969</v>
      </c>
      <c r="F64" s="160"/>
      <c r="G64" s="159" t="s">
        <v>205</v>
      </c>
      <c r="H64" s="160" t="s">
        <v>206</v>
      </c>
    </row>
    <row r="65" spans="1:8" s="55" customFormat="1" ht="71.25" x14ac:dyDescent="0.2">
      <c r="A65" s="160"/>
      <c r="B65" s="160">
        <v>6</v>
      </c>
      <c r="C65" s="160" t="s">
        <v>209</v>
      </c>
      <c r="D65" s="160">
        <v>19</v>
      </c>
      <c r="E65" s="160">
        <v>720</v>
      </c>
      <c r="F65" s="160"/>
      <c r="G65" s="159" t="s">
        <v>336</v>
      </c>
      <c r="H65" s="160" t="s">
        <v>210</v>
      </c>
    </row>
    <row r="66" spans="1:8" s="55" customFormat="1" ht="74.25" x14ac:dyDescent="0.2">
      <c r="A66" s="160"/>
      <c r="B66" s="160">
        <v>7</v>
      </c>
      <c r="C66" s="160" t="s">
        <v>212</v>
      </c>
      <c r="D66" s="160">
        <v>16</v>
      </c>
      <c r="E66" s="160">
        <v>400</v>
      </c>
      <c r="F66" s="160"/>
      <c r="G66" s="159" t="s">
        <v>337</v>
      </c>
      <c r="H66" s="160" t="s">
        <v>213</v>
      </c>
    </row>
    <row r="67" spans="1:8" s="55" customFormat="1" ht="57" x14ac:dyDescent="0.2">
      <c r="A67" s="160"/>
      <c r="B67" s="160">
        <v>8</v>
      </c>
      <c r="C67" s="158" t="s">
        <v>214</v>
      </c>
      <c r="D67" s="160">
        <v>10</v>
      </c>
      <c r="E67" s="160">
        <v>3512</v>
      </c>
      <c r="F67" s="160"/>
      <c r="G67" s="159" t="s">
        <v>215</v>
      </c>
      <c r="H67" s="160" t="s">
        <v>216</v>
      </c>
    </row>
    <row r="68" spans="1:8" s="55" customFormat="1" ht="45.75" x14ac:dyDescent="0.2">
      <c r="A68" s="160"/>
      <c r="B68" s="160">
        <v>9</v>
      </c>
      <c r="C68" s="160" t="s">
        <v>219</v>
      </c>
      <c r="D68" s="160">
        <v>32</v>
      </c>
      <c r="E68" s="160">
        <v>1143</v>
      </c>
      <c r="F68" s="160"/>
      <c r="G68" s="159" t="s">
        <v>338</v>
      </c>
      <c r="H68" s="160" t="s">
        <v>220</v>
      </c>
    </row>
    <row r="69" spans="1:8" s="55" customFormat="1" ht="42.75" x14ac:dyDescent="0.2">
      <c r="A69" s="160"/>
      <c r="B69" s="160">
        <v>10</v>
      </c>
      <c r="C69" s="160" t="s">
        <v>222</v>
      </c>
      <c r="D69" s="160">
        <v>18</v>
      </c>
      <c r="E69" s="160">
        <v>393</v>
      </c>
      <c r="F69" s="160"/>
      <c r="G69" s="159" t="s">
        <v>339</v>
      </c>
      <c r="H69" s="160" t="s">
        <v>223</v>
      </c>
    </row>
    <row r="70" spans="1:8" s="55" customFormat="1" ht="85.5" x14ac:dyDescent="0.2">
      <c r="A70" s="160"/>
      <c r="B70" s="160">
        <v>11</v>
      </c>
      <c r="C70" s="158" t="s">
        <v>224</v>
      </c>
      <c r="D70" s="160">
        <v>62</v>
      </c>
      <c r="E70" s="160">
        <v>1679</v>
      </c>
      <c r="F70" s="160"/>
      <c r="G70" s="159" t="s">
        <v>225</v>
      </c>
      <c r="H70" s="160" t="s">
        <v>226</v>
      </c>
    </row>
    <row r="71" spans="1:8" s="55" customFormat="1" ht="42.75" x14ac:dyDescent="0.2">
      <c r="A71" s="160"/>
      <c r="B71" s="160">
        <v>12</v>
      </c>
      <c r="C71" s="160" t="s">
        <v>229</v>
      </c>
      <c r="D71" s="160">
        <v>23</v>
      </c>
      <c r="E71" s="160">
        <v>613</v>
      </c>
      <c r="F71" s="160"/>
      <c r="G71" s="159" t="s">
        <v>230</v>
      </c>
      <c r="H71" s="160" t="s">
        <v>231</v>
      </c>
    </row>
    <row r="72" spans="1:8" s="55" customFormat="1" ht="42.75" x14ac:dyDescent="0.2">
      <c r="A72" s="160"/>
      <c r="B72" s="160">
        <v>13</v>
      </c>
      <c r="C72" s="160" t="s">
        <v>233</v>
      </c>
      <c r="D72" s="160">
        <v>91</v>
      </c>
      <c r="E72" s="160">
        <v>2783</v>
      </c>
      <c r="F72" s="160"/>
      <c r="G72" s="159" t="s">
        <v>234</v>
      </c>
      <c r="H72" s="160" t="s">
        <v>235</v>
      </c>
    </row>
    <row r="73" spans="1:8" s="55" customFormat="1" ht="29.25" x14ac:dyDescent="0.2">
      <c r="A73" s="160"/>
      <c r="B73" s="160">
        <v>14</v>
      </c>
      <c r="C73" s="158" t="s">
        <v>236</v>
      </c>
      <c r="D73" s="160">
        <v>61</v>
      </c>
      <c r="E73" s="160">
        <v>1352</v>
      </c>
      <c r="F73" s="160"/>
      <c r="G73" s="159" t="s">
        <v>237</v>
      </c>
      <c r="H73" s="160" t="s">
        <v>238</v>
      </c>
    </row>
    <row r="74" spans="1:8" s="55" customFormat="1" ht="42.75" x14ac:dyDescent="0.2">
      <c r="A74" s="160"/>
      <c r="B74" s="160">
        <v>15</v>
      </c>
      <c r="C74" s="160" t="s">
        <v>241</v>
      </c>
      <c r="D74" s="160">
        <v>14</v>
      </c>
      <c r="E74" s="160">
        <v>314</v>
      </c>
      <c r="F74" s="160"/>
      <c r="G74" s="160" t="s">
        <v>242</v>
      </c>
      <c r="H74" s="160" t="s">
        <v>243</v>
      </c>
    </row>
    <row r="75" spans="1:8" s="55" customFormat="1" ht="85.5" x14ac:dyDescent="0.2">
      <c r="A75" s="160"/>
      <c r="B75" s="160">
        <v>16</v>
      </c>
      <c r="C75" s="160" t="s">
        <v>245</v>
      </c>
      <c r="D75" s="160">
        <v>67</v>
      </c>
      <c r="E75" s="160">
        <v>1504</v>
      </c>
      <c r="F75" s="160"/>
      <c r="G75" s="159" t="s">
        <v>246</v>
      </c>
      <c r="H75" s="160" t="s">
        <v>247</v>
      </c>
    </row>
    <row r="76" spans="1:8" s="55" customFormat="1" ht="57" x14ac:dyDescent="0.2">
      <c r="A76" s="160"/>
      <c r="B76" s="160">
        <v>17</v>
      </c>
      <c r="C76" s="158" t="s">
        <v>248</v>
      </c>
      <c r="D76" s="160">
        <v>59</v>
      </c>
      <c r="E76" s="160">
        <v>1590</v>
      </c>
      <c r="F76" s="160"/>
      <c r="G76" s="159" t="s">
        <v>249</v>
      </c>
      <c r="H76" s="160" t="s">
        <v>250</v>
      </c>
    </row>
    <row r="77" spans="1:8" s="55" customFormat="1" ht="45.75" x14ac:dyDescent="0.2">
      <c r="A77" s="160"/>
      <c r="B77" s="160">
        <v>18</v>
      </c>
      <c r="C77" s="158" t="s">
        <v>251</v>
      </c>
      <c r="D77" s="160">
        <v>36</v>
      </c>
      <c r="E77" s="160">
        <v>933</v>
      </c>
      <c r="F77" s="160"/>
      <c r="G77" s="159" t="s">
        <v>340</v>
      </c>
      <c r="H77" s="160" t="s">
        <v>252</v>
      </c>
    </row>
    <row r="78" spans="1:8" s="55" customFormat="1" ht="32.25" x14ac:dyDescent="0.2">
      <c r="A78" s="160"/>
      <c r="B78" s="160">
        <v>19</v>
      </c>
      <c r="C78" s="158" t="s">
        <v>253</v>
      </c>
      <c r="D78" s="160">
        <v>36</v>
      </c>
      <c r="E78" s="160">
        <v>933</v>
      </c>
      <c r="F78" s="160"/>
      <c r="G78" s="159" t="s">
        <v>341</v>
      </c>
      <c r="H78" s="160" t="s">
        <v>254</v>
      </c>
    </row>
    <row r="79" spans="1:8" s="55" customFormat="1" ht="42.75" x14ac:dyDescent="0.2">
      <c r="A79" s="160"/>
      <c r="B79" s="160">
        <v>20</v>
      </c>
      <c r="C79" s="158" t="s">
        <v>255</v>
      </c>
      <c r="D79" s="160">
        <v>50</v>
      </c>
      <c r="E79" s="160">
        <v>1060</v>
      </c>
      <c r="F79" s="160"/>
      <c r="G79" s="159" t="s">
        <v>342</v>
      </c>
      <c r="H79" s="160"/>
    </row>
    <row r="80" spans="1:8" s="55" customFormat="1" ht="42.75" x14ac:dyDescent="0.2">
      <c r="A80" s="160"/>
      <c r="B80" s="160">
        <v>21</v>
      </c>
      <c r="C80" s="158" t="s">
        <v>256</v>
      </c>
      <c r="D80" s="160">
        <v>3.7</v>
      </c>
      <c r="E80" s="160">
        <v>109</v>
      </c>
      <c r="F80" s="160"/>
      <c r="G80" s="159" t="s">
        <v>257</v>
      </c>
      <c r="H80" s="160" t="s">
        <v>258</v>
      </c>
    </row>
    <row r="81" spans="1:8" s="55" customFormat="1" ht="57" x14ac:dyDescent="0.2">
      <c r="A81" s="160"/>
      <c r="B81" s="160">
        <v>22</v>
      </c>
      <c r="C81" s="158" t="s">
        <v>259</v>
      </c>
      <c r="D81" s="160">
        <v>4</v>
      </c>
      <c r="E81" s="160">
        <v>154</v>
      </c>
      <c r="F81" s="160"/>
      <c r="G81" s="159" t="s">
        <v>260</v>
      </c>
      <c r="H81" s="160" t="s">
        <v>261</v>
      </c>
    </row>
    <row r="82" spans="1:8" s="55" customFormat="1" ht="57" x14ac:dyDescent="0.2">
      <c r="A82" s="160"/>
      <c r="B82" s="160">
        <v>23</v>
      </c>
      <c r="C82" s="158" t="s">
        <v>264</v>
      </c>
      <c r="D82" s="160">
        <v>26</v>
      </c>
      <c r="E82" s="160">
        <v>862</v>
      </c>
      <c r="F82" s="160"/>
      <c r="G82" s="159" t="s">
        <v>265</v>
      </c>
      <c r="H82" s="160" t="s">
        <v>266</v>
      </c>
    </row>
    <row r="83" spans="1:8" s="55" customFormat="1" ht="57" x14ac:dyDescent="0.2">
      <c r="A83" s="160"/>
      <c r="B83" s="160">
        <v>24</v>
      </c>
      <c r="C83" s="158" t="s">
        <v>267</v>
      </c>
      <c r="D83" s="160">
        <v>45</v>
      </c>
      <c r="E83" s="160">
        <v>1123</v>
      </c>
      <c r="F83" s="160"/>
      <c r="G83" s="159" t="s">
        <v>268</v>
      </c>
      <c r="H83" s="160" t="s">
        <v>269</v>
      </c>
    </row>
    <row r="84" spans="1:8" s="55" customFormat="1" ht="42.75" x14ac:dyDescent="0.2">
      <c r="A84" s="160"/>
      <c r="B84" s="160">
        <v>25</v>
      </c>
      <c r="C84" s="158" t="s">
        <v>270</v>
      </c>
      <c r="D84" s="160">
        <v>8.4</v>
      </c>
      <c r="E84" s="160">
        <v>213</v>
      </c>
      <c r="F84" s="160"/>
      <c r="G84" s="159" t="s">
        <v>271</v>
      </c>
      <c r="H84" s="160" t="s">
        <v>272</v>
      </c>
    </row>
    <row r="85" spans="1:8" s="55" customFormat="1" ht="42.75" x14ac:dyDescent="0.2">
      <c r="A85" s="160"/>
      <c r="B85" s="160">
        <v>26</v>
      </c>
      <c r="C85" s="158" t="s">
        <v>273</v>
      </c>
      <c r="D85" s="160">
        <v>6.8</v>
      </c>
      <c r="E85" s="160">
        <v>1146</v>
      </c>
      <c r="F85" s="160"/>
      <c r="G85" s="159" t="s">
        <v>274</v>
      </c>
      <c r="H85" s="160" t="s">
        <v>275</v>
      </c>
    </row>
    <row r="86" spans="1:8" s="55" customFormat="1" ht="29.25" x14ac:dyDescent="0.2">
      <c r="A86" s="160"/>
      <c r="B86" s="160">
        <v>27</v>
      </c>
      <c r="C86" s="158" t="s">
        <v>276</v>
      </c>
      <c r="D86" s="160">
        <v>19</v>
      </c>
      <c r="E86" s="160">
        <v>593</v>
      </c>
      <c r="F86" s="160"/>
      <c r="G86" s="159" t="s">
        <v>277</v>
      </c>
      <c r="H86" s="160" t="s">
        <v>278</v>
      </c>
    </row>
    <row r="87" spans="1:8" s="55" customFormat="1" ht="29.25" x14ac:dyDescent="0.2">
      <c r="A87" s="160"/>
      <c r="B87" s="160">
        <v>28</v>
      </c>
      <c r="C87" s="158" t="s">
        <v>279</v>
      </c>
      <c r="D87" s="160">
        <v>37</v>
      </c>
      <c r="E87" s="160">
        <v>876</v>
      </c>
      <c r="F87" s="160"/>
      <c r="G87" s="159" t="s">
        <v>280</v>
      </c>
      <c r="H87" s="160" t="s">
        <v>281</v>
      </c>
    </row>
    <row r="88" spans="1:8" s="55" customFormat="1" x14ac:dyDescent="0.2">
      <c r="A88" s="232"/>
      <c r="B88" s="232"/>
      <c r="C88" s="232"/>
      <c r="D88" s="232"/>
      <c r="E88" s="232"/>
      <c r="F88" s="232"/>
      <c r="G88" s="232"/>
      <c r="H88" s="232"/>
    </row>
    <row r="89" spans="1:8" s="55" customFormat="1" x14ac:dyDescent="0.2">
      <c r="A89" s="232"/>
      <c r="B89" s="232"/>
      <c r="C89" s="232"/>
      <c r="D89" s="232"/>
      <c r="E89" s="232"/>
      <c r="F89" s="232"/>
      <c r="G89" s="232"/>
      <c r="H89" s="232"/>
    </row>
    <row r="90" spans="1:8" s="55" customFormat="1" x14ac:dyDescent="0.2">
      <c r="A90" s="232"/>
      <c r="B90" s="232"/>
      <c r="C90" s="232"/>
      <c r="D90" s="232"/>
      <c r="E90" s="232"/>
      <c r="F90" s="232"/>
      <c r="G90" s="232"/>
      <c r="H90" s="232"/>
    </row>
    <row r="91" spans="1:8" s="55" customFormat="1" x14ac:dyDescent="0.2">
      <c r="A91" s="232"/>
      <c r="B91" s="232"/>
      <c r="C91" s="232"/>
      <c r="D91" s="232"/>
      <c r="E91" s="232"/>
      <c r="F91" s="232"/>
      <c r="G91" s="232"/>
      <c r="H91" s="232"/>
    </row>
    <row r="92" spans="1:8" s="55" customFormat="1" x14ac:dyDescent="0.2">
      <c r="A92" s="232"/>
      <c r="B92" s="232"/>
      <c r="C92" s="232"/>
      <c r="D92" s="232"/>
      <c r="E92" s="232"/>
      <c r="F92" s="232"/>
      <c r="G92" s="232"/>
      <c r="H92" s="232"/>
    </row>
    <row r="93" spans="1:8" s="55" customFormat="1" x14ac:dyDescent="0.2">
      <c r="A93" s="232"/>
      <c r="B93" s="232"/>
      <c r="C93" s="232"/>
      <c r="D93" s="232"/>
      <c r="E93" s="232"/>
      <c r="F93" s="232"/>
      <c r="G93" s="232"/>
      <c r="H93" s="232"/>
    </row>
    <row r="94" spans="1:8" s="55" customFormat="1" x14ac:dyDescent="0.2">
      <c r="A94" s="232"/>
      <c r="B94" s="232"/>
      <c r="C94" s="232"/>
      <c r="D94" s="232"/>
      <c r="E94" s="232"/>
      <c r="F94" s="232"/>
      <c r="G94" s="232"/>
      <c r="H94" s="232"/>
    </row>
    <row r="95" spans="1:8" s="55" customFormat="1" x14ac:dyDescent="0.2">
      <c r="A95" s="232"/>
      <c r="B95" s="232"/>
      <c r="C95" s="232"/>
      <c r="D95" s="232"/>
      <c r="E95" s="232"/>
      <c r="F95" s="232"/>
      <c r="G95" s="232"/>
      <c r="H95" s="232"/>
    </row>
    <row r="96" spans="1:8" s="55" customFormat="1" x14ac:dyDescent="0.2">
      <c r="A96" s="232"/>
      <c r="B96" s="232"/>
      <c r="C96" s="232"/>
      <c r="D96" s="232"/>
      <c r="E96" s="232"/>
      <c r="F96" s="232"/>
      <c r="G96" s="232"/>
      <c r="H96" s="232"/>
    </row>
    <row r="97" spans="1:8" s="55" customFormat="1" x14ac:dyDescent="0.2">
      <c r="A97" s="232"/>
      <c r="B97" s="232"/>
      <c r="C97" s="232"/>
      <c r="D97" s="232"/>
      <c r="E97" s="232"/>
      <c r="F97" s="232"/>
      <c r="G97" s="232"/>
      <c r="H97" s="232"/>
    </row>
    <row r="98" spans="1:8" s="55" customFormat="1" x14ac:dyDescent="0.2">
      <c r="A98" s="232"/>
      <c r="B98" s="232"/>
      <c r="C98" s="232"/>
      <c r="D98" s="232"/>
      <c r="E98" s="232"/>
      <c r="F98" s="232"/>
      <c r="G98" s="232"/>
      <c r="H98" s="232"/>
    </row>
    <row r="145" spans="2:7" s="75" customFormat="1" x14ac:dyDescent="0.2">
      <c r="B145" s="233"/>
      <c r="C145" s="233"/>
      <c r="G145" s="66"/>
    </row>
    <row r="146" spans="2:7" s="75" customFormat="1" x14ac:dyDescent="0.2">
      <c r="B146" s="233"/>
      <c r="G146" s="66"/>
    </row>
    <row r="149" spans="2:7" s="75" customFormat="1" x14ac:dyDescent="0.2">
      <c r="B149" s="234"/>
      <c r="C149" s="234"/>
      <c r="D149" s="234"/>
      <c r="G149" s="66"/>
    </row>
    <row r="150" spans="2:7" s="75" customFormat="1" x14ac:dyDescent="0.2">
      <c r="B150" s="234"/>
      <c r="C150" s="234"/>
      <c r="D150" s="234"/>
      <c r="G150" s="66"/>
    </row>
    <row r="151" spans="2:7" s="75" customFormat="1" x14ac:dyDescent="0.2">
      <c r="B151" s="234"/>
      <c r="C151" s="234"/>
      <c r="D151" s="234"/>
      <c r="G151" s="66"/>
    </row>
    <row r="152" spans="2:7" s="75" customFormat="1" x14ac:dyDescent="0.2">
      <c r="B152" s="234"/>
      <c r="C152" s="234"/>
      <c r="D152" s="234"/>
      <c r="G152" s="66"/>
    </row>
    <row r="153" spans="2:7" s="75" customFormat="1" x14ac:dyDescent="0.2">
      <c r="B153" s="234"/>
      <c r="C153" s="234"/>
      <c r="D153" s="234"/>
      <c r="G153" s="66"/>
    </row>
    <row r="161" spans="2:7" s="3" customFormat="1" x14ac:dyDescent="0.2">
      <c r="B161" s="75"/>
      <c r="C161" s="75"/>
      <c r="D161" s="75"/>
      <c r="E161" s="75"/>
      <c r="F161" s="75"/>
      <c r="G161" s="66"/>
    </row>
    <row r="162" spans="2:7" s="3" customFormat="1" x14ac:dyDescent="0.2">
      <c r="B162" s="75"/>
      <c r="C162" s="75"/>
      <c r="D162" s="75"/>
      <c r="E162" s="75"/>
      <c r="F162" s="75"/>
      <c r="G162" s="66"/>
    </row>
    <row r="163" spans="2:7" s="3" customFormat="1" x14ac:dyDescent="0.2">
      <c r="B163" s="75"/>
      <c r="C163" s="75"/>
      <c r="D163" s="75"/>
      <c r="E163" s="75"/>
      <c r="F163" s="75"/>
      <c r="G163" s="66"/>
    </row>
    <row r="164" spans="2:7" s="3" customFormat="1" x14ac:dyDescent="0.2">
      <c r="B164" s="75"/>
      <c r="C164" s="75"/>
      <c r="D164" s="75"/>
      <c r="E164" s="75"/>
      <c r="F164" s="75"/>
      <c r="G164" s="66"/>
    </row>
    <row r="165" spans="2:7" s="3" customFormat="1" x14ac:dyDescent="0.2">
      <c r="B165" s="75"/>
      <c r="C165" s="75"/>
      <c r="D165" s="75"/>
      <c r="E165" s="75"/>
      <c r="F165" s="75"/>
      <c r="G165" s="66"/>
    </row>
  </sheetData>
  <mergeCells count="12">
    <mergeCell ref="B58:B59"/>
    <mergeCell ref="B2:F2"/>
    <mergeCell ref="B18:B19"/>
    <mergeCell ref="C18:C19"/>
    <mergeCell ref="D18:E18"/>
    <mergeCell ref="B3:E3"/>
    <mergeCell ref="C58:C59"/>
    <mergeCell ref="D58:E58"/>
    <mergeCell ref="G58:G59"/>
    <mergeCell ref="H58:H59"/>
    <mergeCell ref="G18:G19"/>
    <mergeCell ref="H18:H19"/>
  </mergeCells>
  <dataValidations xWindow="94" yWindow="460" count="2">
    <dataValidation allowBlank="1" showInputMessage="1" showErrorMessage="1" prompt="Introducir en porciento de Q a considerar, es recomendable tomar el 50% del gasto total." sqref="B11" xr:uid="{00000000-0002-0000-0B00-000000000000}"/>
    <dataValidation allowBlank="1" showInputMessage="1" showErrorMessage="1" prompt="Consultar instructivo HIDROLOGÍA APLICADA A LAS PEQUEÑAS OBRAS HIDRÁULICAS" sqref="C9:C10" xr:uid="{00000000-0002-0000-0B00-000001000000}"/>
  </dataValidation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1508" r:id="rId4" name="Drop Down 4">
              <controlPr defaultSize="0" autoLine="0" autoPict="0">
                <anchor moveWithCells="1">
                  <from>
                    <xdr:col>1</xdr:col>
                    <xdr:colOff>9525</xdr:colOff>
                    <xdr:row>6</xdr:row>
                    <xdr:rowOff>0</xdr:rowOff>
                  </from>
                  <to>
                    <xdr:col>2</xdr:col>
                    <xdr:colOff>0</xdr:colOff>
                    <xdr:row>7</xdr:row>
                    <xdr:rowOff>38100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tabColor rgb="FF00B050"/>
  </sheetPr>
  <dimension ref="A1:EJ162"/>
  <sheetViews>
    <sheetView workbookViewId="0">
      <selection activeCell="B4" sqref="B4"/>
    </sheetView>
  </sheetViews>
  <sheetFormatPr defaultColWidth="11.43359375" defaultRowHeight="15.75" x14ac:dyDescent="0.2"/>
  <cols>
    <col min="1" max="1" width="5.6484375" style="75" customWidth="1"/>
    <col min="2" max="2" width="37.39453125" style="75" customWidth="1"/>
    <col min="3" max="3" width="21.25390625" style="75" customWidth="1"/>
    <col min="4" max="4" width="11.1640625" style="75" bestFit="1" customWidth="1"/>
    <col min="5" max="5" width="9.81640625" style="75" customWidth="1"/>
    <col min="6" max="6" width="5.37890625" style="75" customWidth="1"/>
    <col min="7" max="7" width="50.578125" style="66" customWidth="1"/>
    <col min="8" max="8" width="28.78515625" style="75" bestFit="1" customWidth="1"/>
    <col min="9" max="9" width="4.83984375" style="3" customWidth="1"/>
    <col min="10" max="16384" width="11.43359375" style="3"/>
  </cols>
  <sheetData>
    <row r="1" spans="1:140" ht="15.75" customHeight="1" x14ac:dyDescent="0.2">
      <c r="A1" s="85"/>
      <c r="B1" s="85"/>
      <c r="C1" s="85"/>
      <c r="D1" s="85"/>
      <c r="E1" s="85"/>
      <c r="F1" s="85"/>
      <c r="G1" s="225"/>
      <c r="H1" s="225"/>
      <c r="I1" s="238"/>
    </row>
    <row r="2" spans="1:140" ht="16.5" x14ac:dyDescent="0.2">
      <c r="A2" s="85"/>
      <c r="B2" s="458" t="s">
        <v>285</v>
      </c>
      <c r="C2" s="458"/>
      <c r="D2" s="458"/>
      <c r="E2" s="458"/>
      <c r="F2" s="458"/>
      <c r="G2" s="225"/>
      <c r="H2" s="225"/>
      <c r="I2" s="225"/>
    </row>
    <row r="3" spans="1:140" ht="17.25" customHeight="1" x14ac:dyDescent="0.2">
      <c r="A3" s="85"/>
      <c r="B3" s="459" t="s">
        <v>150</v>
      </c>
      <c r="C3" s="460"/>
      <c r="D3" s="460"/>
      <c r="E3" s="460"/>
      <c r="F3" s="171"/>
      <c r="G3" s="225"/>
      <c r="H3" s="226"/>
      <c r="I3" s="225"/>
    </row>
    <row r="4" spans="1:140" s="225" customFormat="1" ht="18" x14ac:dyDescent="0.2">
      <c r="A4" s="171"/>
      <c r="B4" s="172" t="s">
        <v>151</v>
      </c>
      <c r="C4" s="218">
        <f>'COEFICIENTE DE ESCURRIMIENTO'!E18*0.01</f>
        <v>3.98</v>
      </c>
      <c r="D4" s="219" t="s">
        <v>333</v>
      </c>
      <c r="E4" s="190"/>
      <c r="F4" s="171"/>
    </row>
    <row r="5" spans="1:140" s="194" customFormat="1" x14ac:dyDescent="0.2">
      <c r="A5" s="173"/>
      <c r="B5" s="220"/>
      <c r="C5" s="221"/>
      <c r="D5" s="219"/>
      <c r="F5" s="173"/>
      <c r="G5" s="225"/>
      <c r="H5" s="225"/>
      <c r="I5" s="225"/>
      <c r="J5" s="225"/>
      <c r="K5" s="225"/>
      <c r="L5" s="225"/>
      <c r="M5" s="225"/>
      <c r="N5" s="225"/>
      <c r="O5" s="225"/>
      <c r="P5" s="225"/>
      <c r="Q5" s="225"/>
      <c r="R5" s="225"/>
      <c r="S5" s="225"/>
      <c r="T5" s="225"/>
      <c r="U5" s="225"/>
      <c r="V5" s="225"/>
      <c r="W5" s="225"/>
      <c r="X5" s="225"/>
      <c r="Y5" s="225"/>
      <c r="Z5" s="225"/>
      <c r="AA5" s="225"/>
      <c r="AB5" s="225"/>
      <c r="AC5" s="225"/>
      <c r="AD5" s="225"/>
      <c r="AE5" s="225"/>
      <c r="AF5" s="225"/>
      <c r="AG5" s="225"/>
      <c r="AH5" s="225"/>
      <c r="AI5" s="225"/>
      <c r="AJ5" s="225"/>
      <c r="AK5" s="225"/>
      <c r="AL5" s="225"/>
      <c r="AM5" s="225"/>
      <c r="AN5" s="225"/>
      <c r="AO5" s="225"/>
      <c r="AP5" s="225"/>
      <c r="AQ5" s="225"/>
      <c r="AR5" s="225"/>
      <c r="AS5" s="225"/>
      <c r="AT5" s="225"/>
      <c r="AU5" s="225"/>
      <c r="AV5" s="225"/>
      <c r="AW5" s="225"/>
      <c r="AX5" s="225"/>
      <c r="AY5" s="225"/>
      <c r="AZ5" s="225"/>
      <c r="BA5" s="225"/>
      <c r="BB5" s="225"/>
      <c r="BC5" s="225"/>
      <c r="BD5" s="225"/>
      <c r="BE5" s="225"/>
      <c r="BF5" s="225"/>
      <c r="BG5" s="225"/>
      <c r="BH5" s="225"/>
      <c r="BI5" s="225"/>
      <c r="BJ5" s="225"/>
      <c r="BK5" s="225"/>
      <c r="BL5" s="225"/>
      <c r="BM5" s="225"/>
      <c r="BN5" s="225"/>
      <c r="BO5" s="225"/>
      <c r="BP5" s="225"/>
      <c r="BQ5" s="225"/>
      <c r="BR5" s="225"/>
      <c r="BS5" s="225"/>
      <c r="BT5" s="225"/>
      <c r="BU5" s="225"/>
      <c r="BV5" s="225"/>
      <c r="BW5" s="225"/>
      <c r="BX5" s="225"/>
      <c r="BY5" s="225"/>
      <c r="BZ5" s="225"/>
      <c r="CA5" s="225"/>
      <c r="CB5" s="225"/>
      <c r="CC5" s="225"/>
      <c r="CD5" s="225"/>
      <c r="CE5" s="225"/>
      <c r="CF5" s="225"/>
      <c r="CG5" s="225"/>
      <c r="CH5" s="225"/>
      <c r="CI5" s="225"/>
      <c r="CJ5" s="225"/>
      <c r="CK5" s="225"/>
      <c r="CL5" s="225"/>
      <c r="CM5" s="225"/>
      <c r="CN5" s="225"/>
      <c r="CO5" s="225"/>
      <c r="CP5" s="225"/>
      <c r="CQ5" s="225"/>
      <c r="CR5" s="225"/>
      <c r="CS5" s="225"/>
      <c r="CT5" s="225"/>
      <c r="CU5" s="225"/>
      <c r="CV5" s="225"/>
      <c r="CW5" s="225"/>
      <c r="CX5" s="225"/>
      <c r="CY5" s="225"/>
      <c r="CZ5" s="225"/>
      <c r="DA5" s="225"/>
      <c r="DB5" s="225"/>
      <c r="DC5" s="225"/>
      <c r="DD5" s="225"/>
      <c r="DE5" s="225"/>
      <c r="DF5" s="225"/>
      <c r="DG5" s="225"/>
      <c r="DH5" s="225"/>
      <c r="DI5" s="225"/>
      <c r="DJ5" s="225"/>
      <c r="DK5" s="225"/>
      <c r="DL5" s="225"/>
      <c r="DM5" s="225"/>
      <c r="DN5" s="225"/>
      <c r="DO5" s="225"/>
      <c r="DP5" s="225"/>
      <c r="DQ5" s="225"/>
      <c r="DR5" s="225"/>
      <c r="DS5" s="225"/>
      <c r="DT5" s="225"/>
      <c r="DU5" s="225"/>
      <c r="DV5" s="225"/>
      <c r="DW5" s="225"/>
      <c r="DX5" s="225"/>
      <c r="DY5" s="225"/>
      <c r="DZ5" s="225"/>
      <c r="EA5" s="225"/>
      <c r="EB5" s="225"/>
      <c r="EC5" s="225"/>
      <c r="ED5" s="225"/>
      <c r="EE5" s="225"/>
      <c r="EF5" s="225"/>
      <c r="EG5" s="225"/>
      <c r="EH5" s="225"/>
      <c r="EI5" s="225"/>
      <c r="EJ5" s="225"/>
    </row>
    <row r="6" spans="1:140" s="225" customFormat="1" x14ac:dyDescent="0.2">
      <c r="A6" s="171"/>
      <c r="B6" s="172" t="s">
        <v>284</v>
      </c>
      <c r="C6" s="222" t="s">
        <v>183</v>
      </c>
      <c r="D6" s="220"/>
      <c r="E6" s="190"/>
      <c r="F6" s="171"/>
    </row>
    <row r="7" spans="1:140" s="225" customFormat="1" x14ac:dyDescent="0.2">
      <c r="A7" s="171"/>
      <c r="B7" s="223">
        <v>22</v>
      </c>
      <c r="C7" s="224">
        <f>VLOOKUP(B7,$B$61:$E$88,4,FALSE)</f>
        <v>154</v>
      </c>
      <c r="D7" s="220"/>
      <c r="E7" s="190"/>
      <c r="F7" s="171"/>
    </row>
    <row r="8" spans="1:140" s="225" customFormat="1" x14ac:dyDescent="0.2">
      <c r="A8" s="171"/>
      <c r="C8" s="226"/>
      <c r="D8" s="190"/>
      <c r="E8" s="190"/>
      <c r="F8" s="171"/>
    </row>
    <row r="9" spans="1:140" s="225" customFormat="1" ht="18" x14ac:dyDescent="0.2">
      <c r="A9" s="171"/>
      <c r="B9" s="172" t="s">
        <v>153</v>
      </c>
      <c r="C9" s="227">
        <f>C7/(C4+259)^0.8</f>
        <v>1.7847711781229563</v>
      </c>
      <c r="D9" s="219" t="s">
        <v>334</v>
      </c>
      <c r="E9" s="190"/>
      <c r="F9" s="171"/>
    </row>
    <row r="10" spans="1:140" s="225" customFormat="1" ht="18" x14ac:dyDescent="0.2">
      <c r="A10" s="171"/>
      <c r="B10" s="4" t="s">
        <v>152</v>
      </c>
      <c r="C10" s="227">
        <f>C9*C4</f>
        <v>7.1033892889293657</v>
      </c>
      <c r="D10" s="219" t="s">
        <v>335</v>
      </c>
      <c r="E10" s="190"/>
      <c r="F10" s="171"/>
    </row>
    <row r="11" spans="1:140" s="225" customFormat="1" x14ac:dyDescent="0.2">
      <c r="A11" s="171"/>
      <c r="B11" s="228">
        <v>40</v>
      </c>
      <c r="C11" s="174">
        <f>C10*(B11/100)</f>
        <v>2.8413557155717464</v>
      </c>
      <c r="D11" s="219"/>
      <c r="E11" s="190"/>
      <c r="F11" s="171"/>
    </row>
    <row r="12" spans="1:140" s="190" customFormat="1" x14ac:dyDescent="0.2">
      <c r="A12" s="171"/>
      <c r="C12" s="239"/>
      <c r="D12" s="194"/>
      <c r="F12" s="171"/>
      <c r="G12" s="225"/>
      <c r="H12" s="225"/>
      <c r="I12" s="225"/>
      <c r="J12" s="225"/>
      <c r="K12" s="225"/>
      <c r="L12" s="225"/>
      <c r="M12" s="225"/>
      <c r="N12" s="225"/>
      <c r="O12" s="225"/>
      <c r="P12" s="225"/>
      <c r="Q12" s="225"/>
      <c r="R12" s="225"/>
      <c r="S12" s="225"/>
      <c r="T12" s="225"/>
      <c r="U12" s="225"/>
      <c r="V12" s="225"/>
      <c r="W12" s="225"/>
      <c r="X12" s="225"/>
      <c r="Y12" s="225"/>
      <c r="Z12" s="225"/>
      <c r="AA12" s="225"/>
      <c r="AB12" s="225"/>
      <c r="AC12" s="225"/>
      <c r="AD12" s="225"/>
      <c r="AE12" s="225"/>
      <c r="AF12" s="225"/>
      <c r="AG12" s="225"/>
      <c r="AH12" s="225"/>
      <c r="AI12" s="225"/>
      <c r="AJ12" s="225"/>
      <c r="AK12" s="225"/>
      <c r="AL12" s="225"/>
      <c r="AM12" s="225"/>
      <c r="AN12" s="225"/>
      <c r="AO12" s="225"/>
      <c r="AP12" s="225"/>
      <c r="AQ12" s="225"/>
      <c r="AR12" s="225"/>
      <c r="AS12" s="225"/>
      <c r="AT12" s="225"/>
      <c r="AU12" s="225"/>
      <c r="AV12" s="225"/>
      <c r="AW12" s="225"/>
      <c r="AX12" s="225"/>
      <c r="AY12" s="225"/>
      <c r="AZ12" s="225"/>
      <c r="BA12" s="225"/>
      <c r="BB12" s="225"/>
      <c r="BC12" s="225"/>
      <c r="BD12" s="225"/>
      <c r="BE12" s="225"/>
      <c r="BF12" s="225"/>
      <c r="BG12" s="225"/>
      <c r="BH12" s="225"/>
      <c r="BI12" s="225"/>
      <c r="BJ12" s="225"/>
      <c r="BK12" s="225"/>
      <c r="BL12" s="225"/>
      <c r="BM12" s="225"/>
      <c r="BN12" s="225"/>
      <c r="BO12" s="225"/>
      <c r="BP12" s="225"/>
      <c r="BQ12" s="225"/>
      <c r="BR12" s="225"/>
      <c r="BS12" s="225"/>
      <c r="BT12" s="225"/>
      <c r="BU12" s="225"/>
      <c r="BV12" s="225"/>
      <c r="BW12" s="225"/>
      <c r="BX12" s="225"/>
      <c r="BY12" s="225"/>
      <c r="BZ12" s="225"/>
      <c r="CA12" s="225"/>
      <c r="CB12" s="225"/>
      <c r="CC12" s="225"/>
      <c r="CD12" s="225"/>
      <c r="CE12" s="225"/>
      <c r="CF12" s="225"/>
      <c r="CG12" s="225"/>
      <c r="CH12" s="225"/>
      <c r="CI12" s="225"/>
      <c r="CJ12" s="225"/>
      <c r="CK12" s="225"/>
      <c r="CL12" s="225"/>
      <c r="CM12" s="225"/>
      <c r="CN12" s="225"/>
      <c r="CO12" s="225"/>
      <c r="CP12" s="225"/>
      <c r="CQ12" s="225"/>
      <c r="CR12" s="225"/>
      <c r="CS12" s="225"/>
      <c r="CT12" s="225"/>
      <c r="CU12" s="225"/>
      <c r="CV12" s="225"/>
      <c r="CW12" s="225"/>
      <c r="CX12" s="225"/>
      <c r="CY12" s="225"/>
      <c r="CZ12" s="225"/>
      <c r="DA12" s="225"/>
      <c r="DB12" s="225"/>
      <c r="DC12" s="225"/>
      <c r="DD12" s="225"/>
      <c r="DE12" s="225"/>
      <c r="DF12" s="225"/>
      <c r="DG12" s="225"/>
      <c r="DH12" s="225"/>
      <c r="DI12" s="225"/>
      <c r="DJ12" s="225"/>
      <c r="DK12" s="225"/>
      <c r="DL12" s="225"/>
      <c r="DM12" s="225"/>
      <c r="DN12" s="225"/>
      <c r="DO12" s="225"/>
      <c r="DP12" s="225"/>
      <c r="DQ12" s="225"/>
      <c r="DR12" s="225"/>
      <c r="DS12" s="225"/>
      <c r="DT12" s="225"/>
      <c r="DU12" s="225"/>
      <c r="DV12" s="225"/>
      <c r="DW12" s="225"/>
      <c r="DX12" s="225"/>
      <c r="DY12" s="225"/>
      <c r="DZ12" s="225"/>
      <c r="EA12" s="225"/>
      <c r="EB12" s="225"/>
      <c r="EC12" s="225"/>
      <c r="ED12" s="225"/>
      <c r="EE12" s="225"/>
      <c r="EF12" s="225"/>
      <c r="EG12" s="225"/>
      <c r="EH12" s="225"/>
      <c r="EI12" s="225"/>
      <c r="EJ12" s="225"/>
    </row>
    <row r="13" spans="1:140" s="190" customFormat="1" ht="25.5" customHeight="1" x14ac:dyDescent="0.2">
      <c r="A13" s="171"/>
      <c r="B13" s="85"/>
      <c r="C13" s="56"/>
      <c r="D13" s="85"/>
      <c r="E13" s="85"/>
      <c r="F13" s="171"/>
      <c r="G13" s="225"/>
      <c r="H13" s="225"/>
      <c r="I13" s="225"/>
      <c r="J13" s="225"/>
      <c r="K13" s="225"/>
      <c r="L13" s="225"/>
      <c r="M13" s="225"/>
      <c r="N13" s="225"/>
      <c r="O13" s="225"/>
      <c r="P13" s="225"/>
      <c r="Q13" s="225"/>
      <c r="R13" s="225"/>
      <c r="S13" s="225"/>
      <c r="T13" s="225"/>
      <c r="U13" s="225"/>
      <c r="V13" s="225"/>
      <c r="W13" s="225"/>
      <c r="X13" s="225"/>
      <c r="Y13" s="225"/>
      <c r="Z13" s="225"/>
      <c r="AA13" s="225"/>
      <c r="AB13" s="225"/>
      <c r="AC13" s="225"/>
      <c r="AD13" s="225"/>
      <c r="AE13" s="225"/>
      <c r="AF13" s="225"/>
      <c r="AG13" s="225"/>
      <c r="AH13" s="225"/>
      <c r="AI13" s="225"/>
      <c r="AJ13" s="225"/>
      <c r="AK13" s="225"/>
      <c r="AL13" s="225"/>
      <c r="AM13" s="225"/>
      <c r="AN13" s="225"/>
      <c r="AO13" s="225"/>
      <c r="AP13" s="225"/>
      <c r="AQ13" s="225"/>
      <c r="AR13" s="225"/>
      <c r="AS13" s="225"/>
      <c r="AT13" s="225"/>
      <c r="AU13" s="225"/>
      <c r="AV13" s="225"/>
      <c r="AW13" s="225"/>
      <c r="AX13" s="225"/>
      <c r="AY13" s="225"/>
      <c r="AZ13" s="225"/>
      <c r="BA13" s="225"/>
      <c r="BB13" s="225"/>
      <c r="BC13" s="225"/>
      <c r="BD13" s="225"/>
      <c r="BE13" s="225"/>
      <c r="BF13" s="225"/>
      <c r="BG13" s="225"/>
      <c r="BH13" s="225"/>
      <c r="BI13" s="225"/>
      <c r="BJ13" s="225"/>
      <c r="BK13" s="225"/>
      <c r="BL13" s="225"/>
      <c r="BM13" s="225"/>
      <c r="BN13" s="225"/>
      <c r="BO13" s="225"/>
      <c r="BP13" s="225"/>
      <c r="BQ13" s="225"/>
      <c r="BR13" s="225"/>
      <c r="BS13" s="225"/>
      <c r="BT13" s="225"/>
      <c r="BU13" s="225"/>
      <c r="BV13" s="225"/>
      <c r="BW13" s="225"/>
      <c r="BX13" s="225"/>
      <c r="BY13" s="225"/>
      <c r="BZ13" s="225"/>
      <c r="CA13" s="225"/>
      <c r="CB13" s="225"/>
      <c r="CC13" s="225"/>
      <c r="CD13" s="225"/>
      <c r="CE13" s="225"/>
      <c r="CF13" s="225"/>
      <c r="CG13" s="225"/>
      <c r="CH13" s="225"/>
      <c r="CI13" s="225"/>
      <c r="CJ13" s="225"/>
      <c r="CK13" s="225"/>
      <c r="CL13" s="225"/>
      <c r="CM13" s="225"/>
      <c r="CN13" s="225"/>
      <c r="CO13" s="225"/>
      <c r="CP13" s="225"/>
      <c r="CQ13" s="225"/>
      <c r="CR13" s="225"/>
      <c r="CS13" s="225"/>
      <c r="CT13" s="225"/>
      <c r="CU13" s="225"/>
      <c r="CV13" s="225"/>
      <c r="CW13" s="225"/>
      <c r="CX13" s="225"/>
      <c r="CY13" s="225"/>
      <c r="CZ13" s="225"/>
      <c r="DA13" s="225"/>
      <c r="DB13" s="225"/>
      <c r="DC13" s="225"/>
      <c r="DD13" s="225"/>
      <c r="DE13" s="225"/>
      <c r="DF13" s="225"/>
      <c r="DG13" s="225"/>
      <c r="DH13" s="225"/>
      <c r="DI13" s="225"/>
      <c r="DJ13" s="225"/>
      <c r="DK13" s="225"/>
      <c r="DL13" s="225"/>
      <c r="DM13" s="225"/>
      <c r="DN13" s="225"/>
      <c r="DO13" s="225"/>
      <c r="DP13" s="225"/>
      <c r="DQ13" s="225"/>
      <c r="DR13" s="225"/>
      <c r="DS13" s="225"/>
      <c r="DT13" s="225"/>
      <c r="DU13" s="225"/>
      <c r="DV13" s="225"/>
      <c r="DW13" s="225"/>
      <c r="DX13" s="225"/>
      <c r="DY13" s="225"/>
      <c r="DZ13" s="225"/>
      <c r="EA13" s="225"/>
      <c r="EB13" s="225"/>
      <c r="EC13" s="225"/>
      <c r="ED13" s="225"/>
      <c r="EE13" s="225"/>
      <c r="EF13" s="225"/>
      <c r="EG13" s="225"/>
      <c r="EH13" s="225"/>
      <c r="EI13" s="225"/>
      <c r="EJ13" s="225"/>
    </row>
    <row r="14" spans="1:140" s="190" customFormat="1" ht="25.5" customHeight="1" x14ac:dyDescent="0.2">
      <c r="A14" s="225"/>
      <c r="B14" s="225"/>
      <c r="C14" s="225"/>
      <c r="D14" s="225"/>
      <c r="E14" s="225"/>
      <c r="F14" s="225"/>
      <c r="G14" s="225"/>
      <c r="H14" s="225"/>
      <c r="I14" s="225"/>
      <c r="J14" s="225"/>
      <c r="K14" s="225"/>
      <c r="L14" s="225"/>
      <c r="M14" s="225"/>
      <c r="N14" s="225"/>
      <c r="O14" s="225"/>
      <c r="P14" s="225"/>
      <c r="Q14" s="225"/>
      <c r="R14" s="225"/>
      <c r="S14" s="225"/>
      <c r="T14" s="225"/>
      <c r="U14" s="225"/>
      <c r="V14" s="225"/>
      <c r="W14" s="225"/>
      <c r="X14" s="225"/>
      <c r="Y14" s="225"/>
      <c r="Z14" s="225"/>
      <c r="AA14" s="225"/>
      <c r="AB14" s="225"/>
      <c r="AC14" s="225"/>
      <c r="AD14" s="225"/>
      <c r="AE14" s="225"/>
      <c r="AF14" s="225"/>
      <c r="AG14" s="225"/>
      <c r="AH14" s="225"/>
      <c r="AI14" s="225"/>
      <c r="AJ14" s="225"/>
      <c r="AK14" s="225"/>
      <c r="AL14" s="225"/>
      <c r="AM14" s="225"/>
      <c r="AN14" s="225"/>
      <c r="AO14" s="225"/>
      <c r="AP14" s="225"/>
      <c r="AQ14" s="225"/>
      <c r="AR14" s="225"/>
      <c r="AS14" s="225"/>
      <c r="AT14" s="225"/>
      <c r="AU14" s="225"/>
      <c r="AV14" s="225"/>
      <c r="AW14" s="225"/>
      <c r="AX14" s="225"/>
      <c r="AY14" s="225"/>
      <c r="AZ14" s="225"/>
      <c r="BA14" s="225"/>
      <c r="BB14" s="225"/>
      <c r="BC14" s="225"/>
      <c r="BD14" s="225"/>
      <c r="BE14" s="225"/>
      <c r="BF14" s="225"/>
      <c r="BG14" s="225"/>
      <c r="BH14" s="225"/>
      <c r="BI14" s="225"/>
      <c r="BJ14" s="225"/>
      <c r="BK14" s="225"/>
      <c r="BL14" s="225"/>
      <c r="BM14" s="225"/>
      <c r="BN14" s="225"/>
      <c r="BO14" s="225"/>
      <c r="BP14" s="225"/>
      <c r="BQ14" s="225"/>
      <c r="BR14" s="225"/>
      <c r="BS14" s="225"/>
      <c r="BT14" s="225"/>
      <c r="BU14" s="225"/>
      <c r="BV14" s="225"/>
      <c r="BW14" s="225"/>
      <c r="BX14" s="225"/>
      <c r="BY14" s="225"/>
      <c r="BZ14" s="225"/>
      <c r="CA14" s="225"/>
      <c r="CB14" s="225"/>
      <c r="CC14" s="225"/>
      <c r="CD14" s="225"/>
      <c r="CE14" s="225"/>
      <c r="CF14" s="225"/>
      <c r="CG14" s="225"/>
      <c r="CH14" s="225"/>
      <c r="CI14" s="225"/>
      <c r="CJ14" s="225"/>
      <c r="CK14" s="225"/>
      <c r="CL14" s="225"/>
      <c r="CM14" s="225"/>
      <c r="CN14" s="225"/>
      <c r="CO14" s="225"/>
      <c r="CP14" s="225"/>
      <c r="CQ14" s="225"/>
      <c r="CR14" s="225"/>
      <c r="CS14" s="225"/>
      <c r="CT14" s="225"/>
      <c r="CU14" s="225"/>
      <c r="CV14" s="225"/>
      <c r="CW14" s="225"/>
      <c r="CX14" s="225"/>
      <c r="CY14" s="225"/>
      <c r="CZ14" s="225"/>
      <c r="DA14" s="225"/>
      <c r="DB14" s="225"/>
      <c r="DC14" s="225"/>
      <c r="DD14" s="225"/>
      <c r="DE14" s="225"/>
      <c r="DF14" s="225"/>
      <c r="DG14" s="225"/>
      <c r="DH14" s="225"/>
      <c r="DI14" s="225"/>
      <c r="DJ14" s="225"/>
      <c r="DK14" s="225"/>
      <c r="DL14" s="225"/>
      <c r="DM14" s="225"/>
      <c r="DN14" s="225"/>
      <c r="DO14" s="225"/>
      <c r="DP14" s="225"/>
      <c r="DQ14" s="225"/>
      <c r="DR14" s="225"/>
      <c r="DS14" s="225"/>
      <c r="DT14" s="225"/>
      <c r="DU14" s="225"/>
      <c r="DV14" s="225"/>
      <c r="DW14" s="225"/>
      <c r="DX14" s="225"/>
      <c r="DY14" s="225"/>
      <c r="DZ14" s="225"/>
      <c r="EA14" s="225"/>
      <c r="EB14" s="225"/>
      <c r="EC14" s="225"/>
      <c r="ED14" s="225"/>
      <c r="EE14" s="225"/>
      <c r="EF14" s="225"/>
      <c r="EG14" s="225"/>
      <c r="EH14" s="225"/>
      <c r="EI14" s="225"/>
      <c r="EJ14" s="225"/>
    </row>
    <row r="15" spans="1:140" s="190" customFormat="1" ht="25.5" customHeight="1" x14ac:dyDescent="0.2">
      <c r="A15" s="225"/>
      <c r="B15" s="225"/>
      <c r="C15" s="225"/>
      <c r="D15" s="225"/>
      <c r="E15" s="225"/>
      <c r="F15" s="225"/>
      <c r="G15" s="225"/>
      <c r="H15" s="225"/>
      <c r="I15" s="225"/>
      <c r="J15" s="225"/>
      <c r="K15" s="225"/>
      <c r="L15" s="225"/>
      <c r="M15" s="225"/>
      <c r="N15" s="225"/>
      <c r="O15" s="225"/>
      <c r="P15" s="225"/>
      <c r="Q15" s="225"/>
      <c r="R15" s="225"/>
      <c r="S15" s="225"/>
      <c r="T15" s="225"/>
      <c r="U15" s="225"/>
      <c r="V15" s="225"/>
      <c r="W15" s="225"/>
      <c r="X15" s="225"/>
      <c r="Y15" s="225"/>
      <c r="Z15" s="225"/>
      <c r="AA15" s="225"/>
      <c r="AB15" s="225"/>
      <c r="AC15" s="225"/>
      <c r="AD15" s="225"/>
      <c r="AE15" s="225"/>
      <c r="AF15" s="225"/>
      <c r="AG15" s="225"/>
      <c r="AH15" s="225"/>
      <c r="AI15" s="225"/>
      <c r="AJ15" s="225"/>
      <c r="AK15" s="225"/>
      <c r="AL15" s="225"/>
      <c r="AM15" s="225"/>
      <c r="AN15" s="225"/>
      <c r="AO15" s="225"/>
      <c r="AP15" s="225"/>
      <c r="AQ15" s="225"/>
      <c r="AR15" s="225"/>
      <c r="AS15" s="225"/>
      <c r="AT15" s="225"/>
      <c r="AU15" s="225"/>
      <c r="AV15" s="225"/>
      <c r="AW15" s="225"/>
      <c r="AX15" s="225"/>
      <c r="AY15" s="225"/>
      <c r="AZ15" s="225"/>
      <c r="BA15" s="225"/>
      <c r="BB15" s="225"/>
      <c r="BC15" s="225"/>
      <c r="BD15" s="225"/>
      <c r="BE15" s="225"/>
      <c r="BF15" s="225"/>
      <c r="BG15" s="225"/>
      <c r="BH15" s="225"/>
      <c r="BI15" s="225"/>
      <c r="BJ15" s="225"/>
      <c r="BK15" s="225"/>
      <c r="BL15" s="225"/>
      <c r="BM15" s="225"/>
      <c r="BN15" s="225"/>
      <c r="BO15" s="225"/>
      <c r="BP15" s="225"/>
      <c r="BQ15" s="225"/>
      <c r="BR15" s="225"/>
      <c r="BS15" s="225"/>
      <c r="BT15" s="225"/>
      <c r="BU15" s="225"/>
      <c r="BV15" s="225"/>
      <c r="BW15" s="225"/>
      <c r="BX15" s="225"/>
      <c r="BY15" s="225"/>
      <c r="BZ15" s="225"/>
      <c r="CA15" s="225"/>
      <c r="CB15" s="225"/>
      <c r="CC15" s="225"/>
      <c r="CD15" s="225"/>
      <c r="CE15" s="225"/>
      <c r="CF15" s="225"/>
      <c r="CG15" s="225"/>
      <c r="CH15" s="225"/>
      <c r="CI15" s="225"/>
      <c r="CJ15" s="225"/>
      <c r="CK15" s="225"/>
      <c r="CL15" s="225"/>
      <c r="CM15" s="225"/>
      <c r="CN15" s="225"/>
      <c r="CO15" s="225"/>
      <c r="CP15" s="225"/>
      <c r="CQ15" s="225"/>
      <c r="CR15" s="225"/>
      <c r="CS15" s="225"/>
      <c r="CT15" s="225"/>
      <c r="CU15" s="225"/>
      <c r="CV15" s="225"/>
      <c r="CW15" s="225"/>
      <c r="CX15" s="225"/>
      <c r="CY15" s="225"/>
      <c r="CZ15" s="225"/>
      <c r="DA15" s="225"/>
      <c r="DB15" s="225"/>
      <c r="DC15" s="225"/>
      <c r="DD15" s="225"/>
      <c r="DE15" s="225"/>
      <c r="DF15" s="225"/>
      <c r="DG15" s="225"/>
      <c r="DH15" s="225"/>
      <c r="DI15" s="225"/>
      <c r="DJ15" s="225"/>
      <c r="DK15" s="225"/>
      <c r="DL15" s="225"/>
      <c r="DM15" s="225"/>
      <c r="DN15" s="225"/>
      <c r="DO15" s="225"/>
      <c r="DP15" s="225"/>
      <c r="DQ15" s="225"/>
      <c r="DR15" s="225"/>
      <c r="DS15" s="225"/>
      <c r="DT15" s="225"/>
      <c r="DU15" s="225"/>
      <c r="DV15" s="225"/>
      <c r="DW15" s="225"/>
      <c r="DX15" s="225"/>
      <c r="DY15" s="225"/>
      <c r="DZ15" s="225"/>
      <c r="EA15" s="225"/>
      <c r="EB15" s="225"/>
      <c r="EC15" s="225"/>
      <c r="ED15" s="225"/>
      <c r="EE15" s="225"/>
      <c r="EF15" s="225"/>
      <c r="EG15" s="225"/>
      <c r="EH15" s="225"/>
      <c r="EI15" s="225"/>
      <c r="EJ15" s="225"/>
    </row>
    <row r="16" spans="1:140" s="190" customFormat="1" ht="25.5" customHeight="1" x14ac:dyDescent="0.2">
      <c r="A16" s="225"/>
      <c r="B16" s="225"/>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5"/>
      <c r="BG16" s="225"/>
      <c r="BH16" s="225"/>
      <c r="BI16" s="225"/>
      <c r="BJ16" s="225"/>
      <c r="BK16" s="225"/>
      <c r="BL16" s="225"/>
      <c r="BM16" s="225"/>
      <c r="BN16" s="225"/>
      <c r="BO16" s="225"/>
      <c r="BP16" s="225"/>
      <c r="BQ16" s="225"/>
      <c r="BR16" s="225"/>
      <c r="BS16" s="225"/>
      <c r="BT16" s="225"/>
      <c r="BU16" s="225"/>
      <c r="BV16" s="225"/>
      <c r="BW16" s="225"/>
      <c r="BX16" s="225"/>
      <c r="BY16" s="225"/>
      <c r="BZ16" s="225"/>
      <c r="CA16" s="225"/>
      <c r="CB16" s="225"/>
      <c r="CC16" s="225"/>
      <c r="CD16" s="225"/>
      <c r="CE16" s="225"/>
      <c r="CF16" s="225"/>
      <c r="CG16" s="225"/>
      <c r="CH16" s="225"/>
      <c r="CI16" s="225"/>
      <c r="CJ16" s="225"/>
      <c r="CK16" s="225"/>
      <c r="CL16" s="225"/>
      <c r="CM16" s="225"/>
      <c r="CN16" s="225"/>
      <c r="CO16" s="225"/>
      <c r="CP16" s="225"/>
      <c r="CQ16" s="225"/>
      <c r="CR16" s="225"/>
      <c r="CS16" s="225"/>
      <c r="CT16" s="225"/>
      <c r="CU16" s="225"/>
      <c r="CV16" s="225"/>
      <c r="CW16" s="225"/>
      <c r="CX16" s="225"/>
      <c r="CY16" s="225"/>
      <c r="CZ16" s="225"/>
      <c r="DA16" s="225"/>
      <c r="DB16" s="225"/>
      <c r="DC16" s="225"/>
      <c r="DD16" s="225"/>
      <c r="DE16" s="225"/>
      <c r="DF16" s="225"/>
      <c r="DG16" s="225"/>
      <c r="DH16" s="225"/>
      <c r="DI16" s="225"/>
      <c r="DJ16" s="225"/>
      <c r="DK16" s="225"/>
      <c r="DL16" s="225"/>
      <c r="DM16" s="225"/>
      <c r="DN16" s="225"/>
      <c r="DO16" s="225"/>
      <c r="DP16" s="225"/>
      <c r="DQ16" s="225"/>
      <c r="DR16" s="225"/>
      <c r="DS16" s="225"/>
      <c r="DT16" s="225"/>
      <c r="DU16" s="225"/>
      <c r="DV16" s="225"/>
      <c r="DW16" s="225"/>
      <c r="DX16" s="225"/>
      <c r="DY16" s="225"/>
      <c r="DZ16" s="225"/>
      <c r="EA16" s="225"/>
      <c r="EB16" s="225"/>
      <c r="EC16" s="225"/>
      <c r="ED16" s="225"/>
      <c r="EE16" s="225"/>
      <c r="EF16" s="225"/>
      <c r="EG16" s="225"/>
      <c r="EH16" s="225"/>
      <c r="EI16" s="225"/>
      <c r="EJ16" s="225"/>
    </row>
    <row r="17" spans="1:140" s="190" customFormat="1" ht="25.5" customHeight="1" x14ac:dyDescent="0.2">
      <c r="A17" s="225"/>
      <c r="B17" s="225"/>
      <c r="C17" s="225"/>
      <c r="D17" s="225"/>
      <c r="E17" s="225"/>
      <c r="F17" s="225"/>
      <c r="G17" s="225"/>
      <c r="H17" s="225"/>
      <c r="I17" s="225"/>
      <c r="J17" s="225"/>
      <c r="K17" s="225"/>
      <c r="L17" s="225"/>
      <c r="M17" s="225"/>
      <c r="N17" s="225"/>
      <c r="O17" s="225"/>
      <c r="P17" s="225"/>
      <c r="Q17" s="225"/>
      <c r="R17" s="225"/>
      <c r="S17" s="225"/>
      <c r="T17" s="225"/>
      <c r="U17" s="225"/>
      <c r="V17" s="225"/>
      <c r="W17" s="225"/>
      <c r="X17" s="225"/>
      <c r="Y17" s="225"/>
      <c r="Z17" s="225"/>
      <c r="AA17" s="225"/>
      <c r="AB17" s="225"/>
      <c r="AC17" s="225"/>
      <c r="AD17" s="225"/>
      <c r="AE17" s="225"/>
      <c r="AF17" s="225"/>
      <c r="AG17" s="225"/>
      <c r="AH17" s="225"/>
      <c r="AI17" s="225"/>
      <c r="AJ17" s="225"/>
      <c r="AK17" s="225"/>
      <c r="AL17" s="225"/>
      <c r="AM17" s="225"/>
      <c r="AN17" s="225"/>
      <c r="AO17" s="225"/>
      <c r="AP17" s="225"/>
      <c r="AQ17" s="225"/>
      <c r="AR17" s="225"/>
      <c r="AS17" s="225"/>
      <c r="AT17" s="225"/>
      <c r="AU17" s="225"/>
      <c r="AV17" s="225"/>
      <c r="AW17" s="225"/>
      <c r="AX17" s="225"/>
      <c r="AY17" s="225"/>
      <c r="AZ17" s="225"/>
      <c r="BA17" s="225"/>
      <c r="BB17" s="225"/>
      <c r="BC17" s="225"/>
      <c r="BD17" s="225"/>
      <c r="BE17" s="225"/>
      <c r="BF17" s="225"/>
      <c r="BG17" s="225"/>
      <c r="BH17" s="225"/>
      <c r="BI17" s="225"/>
      <c r="BJ17" s="225"/>
      <c r="BK17" s="225"/>
      <c r="BL17" s="225"/>
      <c r="BM17" s="225"/>
      <c r="BN17" s="225"/>
      <c r="BO17" s="225"/>
      <c r="BP17" s="225"/>
      <c r="BQ17" s="225"/>
      <c r="BR17" s="225"/>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25"/>
      <c r="CZ17" s="225"/>
      <c r="DA17" s="225"/>
      <c r="DB17" s="225"/>
      <c r="DC17" s="225"/>
      <c r="DD17" s="225"/>
      <c r="DE17" s="225"/>
      <c r="DF17" s="225"/>
      <c r="DG17" s="225"/>
      <c r="DH17" s="225"/>
      <c r="DI17" s="225"/>
      <c r="DJ17" s="225"/>
      <c r="DK17" s="225"/>
      <c r="DL17" s="225"/>
      <c r="DM17" s="225"/>
      <c r="DN17" s="225"/>
      <c r="DO17" s="225"/>
      <c r="DP17" s="225"/>
      <c r="DQ17" s="225"/>
      <c r="DR17" s="225"/>
      <c r="DS17" s="225"/>
      <c r="DT17" s="225"/>
      <c r="DU17" s="225"/>
      <c r="DV17" s="225"/>
      <c r="DW17" s="225"/>
      <c r="DX17" s="225"/>
      <c r="DY17" s="225"/>
      <c r="DZ17" s="225"/>
      <c r="EA17" s="225"/>
      <c r="EB17" s="225"/>
      <c r="EC17" s="225"/>
      <c r="ED17" s="225"/>
      <c r="EE17" s="225"/>
      <c r="EF17" s="225"/>
      <c r="EG17" s="225"/>
      <c r="EH17" s="225"/>
      <c r="EI17" s="225"/>
      <c r="EJ17" s="225"/>
    </row>
    <row r="18" spans="1:140" s="190" customFormat="1" x14ac:dyDescent="0.2">
      <c r="A18" s="225"/>
      <c r="B18" s="225"/>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225"/>
      <c r="BG18" s="225"/>
      <c r="BH18" s="225"/>
      <c r="BI18" s="225"/>
      <c r="BJ18" s="225"/>
      <c r="BK18" s="225"/>
      <c r="BL18" s="225"/>
      <c r="BM18" s="225"/>
      <c r="BN18" s="225"/>
      <c r="BO18" s="225"/>
      <c r="BP18" s="225"/>
      <c r="BQ18" s="225"/>
      <c r="BR18" s="225"/>
      <c r="BS18" s="225"/>
      <c r="BT18" s="225"/>
      <c r="BU18" s="225"/>
      <c r="BV18" s="225"/>
      <c r="BW18" s="225"/>
      <c r="BX18" s="225"/>
      <c r="BY18" s="225"/>
      <c r="BZ18" s="225"/>
      <c r="CA18" s="225"/>
      <c r="CB18" s="225"/>
      <c r="CC18" s="225"/>
      <c r="CD18" s="225"/>
      <c r="CE18" s="225"/>
      <c r="CF18" s="225"/>
      <c r="CG18" s="225"/>
      <c r="CH18" s="225"/>
      <c r="CI18" s="225"/>
      <c r="CJ18" s="225"/>
      <c r="CK18" s="225"/>
      <c r="CL18" s="225"/>
      <c r="CM18" s="225"/>
      <c r="CN18" s="225"/>
      <c r="CO18" s="225"/>
      <c r="CP18" s="225"/>
      <c r="CQ18" s="225"/>
      <c r="CR18" s="225"/>
      <c r="CS18" s="225"/>
      <c r="CT18" s="225"/>
      <c r="CU18" s="225"/>
      <c r="CV18" s="225"/>
      <c r="CW18" s="225"/>
      <c r="CX18" s="225"/>
      <c r="CY18" s="225"/>
      <c r="CZ18" s="225"/>
      <c r="DA18" s="225"/>
      <c r="DB18" s="225"/>
      <c r="DC18" s="225"/>
      <c r="DD18" s="225"/>
      <c r="DE18" s="225"/>
      <c r="DF18" s="225"/>
      <c r="DG18" s="225"/>
      <c r="DH18" s="225"/>
      <c r="DI18" s="225"/>
      <c r="DJ18" s="225"/>
      <c r="DK18" s="225"/>
      <c r="DL18" s="225"/>
      <c r="DM18" s="225"/>
      <c r="DN18" s="225"/>
      <c r="DO18" s="225"/>
      <c r="DP18" s="225"/>
      <c r="DQ18" s="225"/>
      <c r="DR18" s="225"/>
      <c r="DS18" s="225"/>
      <c r="DT18" s="225"/>
      <c r="DU18" s="225"/>
      <c r="DV18" s="225"/>
      <c r="DW18" s="225"/>
      <c r="DX18" s="225"/>
      <c r="DY18" s="225"/>
      <c r="DZ18" s="225"/>
      <c r="EA18" s="225"/>
      <c r="EB18" s="225"/>
      <c r="EC18" s="225"/>
      <c r="ED18" s="225"/>
      <c r="EE18" s="225"/>
      <c r="EF18" s="225"/>
      <c r="EG18" s="225"/>
      <c r="EH18" s="225"/>
      <c r="EI18" s="225"/>
      <c r="EJ18" s="225"/>
    </row>
    <row r="19" spans="1:140" ht="17.25" customHeight="1" x14ac:dyDescent="0.2">
      <c r="A19" s="158"/>
      <c r="B19" s="399" t="s">
        <v>50</v>
      </c>
      <c r="C19" s="399" t="s">
        <v>182</v>
      </c>
      <c r="D19" s="399" t="s">
        <v>183</v>
      </c>
      <c r="E19" s="399"/>
      <c r="F19" s="158"/>
      <c r="G19" s="399" t="s">
        <v>184</v>
      </c>
      <c r="H19" s="229" t="s">
        <v>185</v>
      </c>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225"/>
      <c r="AZ19" s="225"/>
      <c r="BA19" s="225"/>
      <c r="BB19" s="225"/>
      <c r="BC19" s="225"/>
      <c r="BD19" s="225"/>
      <c r="BE19" s="225"/>
      <c r="BF19" s="225"/>
      <c r="BG19" s="225"/>
      <c r="BH19" s="225"/>
      <c r="BI19" s="225"/>
      <c r="BJ19" s="225"/>
      <c r="BK19" s="225"/>
      <c r="BL19" s="225"/>
      <c r="BM19" s="225"/>
      <c r="BN19" s="225"/>
      <c r="BO19" s="225"/>
      <c r="BP19" s="225"/>
      <c r="BQ19" s="225"/>
      <c r="BR19" s="225"/>
      <c r="BS19" s="225"/>
      <c r="BT19" s="225"/>
      <c r="BU19" s="225"/>
      <c r="BV19" s="225"/>
      <c r="BW19" s="225"/>
      <c r="BX19" s="225"/>
      <c r="BY19" s="225"/>
      <c r="BZ19" s="225"/>
      <c r="CA19" s="225"/>
      <c r="CB19" s="225"/>
      <c r="CC19" s="225"/>
      <c r="CD19" s="225"/>
      <c r="CE19" s="225"/>
      <c r="CF19" s="225"/>
      <c r="CG19" s="225"/>
      <c r="CH19" s="225"/>
      <c r="CI19" s="225"/>
      <c r="CJ19" s="225"/>
      <c r="CK19" s="225"/>
      <c r="CL19" s="225"/>
      <c r="CM19" s="225"/>
      <c r="CN19" s="225"/>
      <c r="CO19" s="225"/>
      <c r="CP19" s="225"/>
      <c r="CQ19" s="225"/>
      <c r="CR19" s="225"/>
      <c r="CS19" s="225"/>
      <c r="CT19" s="225"/>
      <c r="CU19" s="225"/>
      <c r="CV19" s="225"/>
      <c r="CW19" s="225"/>
      <c r="CX19" s="225"/>
      <c r="CY19" s="225"/>
      <c r="CZ19" s="225"/>
      <c r="DA19" s="225"/>
      <c r="DB19" s="225"/>
      <c r="DC19" s="225"/>
      <c r="DD19" s="225"/>
      <c r="DE19" s="225"/>
      <c r="DF19" s="225"/>
      <c r="DG19" s="225"/>
      <c r="DH19" s="225"/>
      <c r="DI19" s="225"/>
      <c r="DJ19" s="225"/>
      <c r="DK19" s="225"/>
      <c r="DL19" s="225"/>
      <c r="DM19" s="225"/>
      <c r="DN19" s="225"/>
      <c r="DO19" s="225"/>
      <c r="DP19" s="225"/>
      <c r="DQ19" s="225"/>
      <c r="DR19" s="225"/>
      <c r="DS19" s="225"/>
      <c r="DT19" s="225"/>
      <c r="DU19" s="225"/>
      <c r="DV19" s="225"/>
      <c r="DW19" s="225"/>
      <c r="DX19" s="225"/>
      <c r="DY19" s="225"/>
      <c r="DZ19" s="225"/>
      <c r="EA19" s="225"/>
      <c r="EB19" s="225"/>
      <c r="EC19" s="225"/>
      <c r="ED19" s="225"/>
      <c r="EE19" s="225"/>
      <c r="EF19" s="225"/>
      <c r="EG19" s="225"/>
      <c r="EH19" s="225"/>
      <c r="EI19" s="225"/>
      <c r="EJ19" s="225"/>
    </row>
    <row r="20" spans="1:140" x14ac:dyDescent="0.2">
      <c r="A20" s="158"/>
      <c r="B20" s="399"/>
      <c r="C20" s="399"/>
      <c r="D20" s="158" t="s">
        <v>186</v>
      </c>
      <c r="E20" s="158" t="s">
        <v>187</v>
      </c>
      <c r="F20" s="158"/>
      <c r="G20" s="399"/>
      <c r="H20" s="229"/>
      <c r="I20" s="225"/>
      <c r="J20" s="225"/>
      <c r="K20" s="225"/>
      <c r="L20" s="225"/>
      <c r="M20" s="225"/>
      <c r="N20" s="225"/>
      <c r="O20" s="225"/>
      <c r="P20" s="225"/>
      <c r="Q20" s="225"/>
      <c r="R20" s="225"/>
      <c r="S20" s="225"/>
      <c r="T20" s="225"/>
      <c r="U20" s="225"/>
      <c r="V20" s="225"/>
      <c r="W20" s="225"/>
      <c r="X20" s="225"/>
      <c r="Y20" s="225"/>
      <c r="Z20" s="225"/>
      <c r="AA20" s="225"/>
      <c r="AB20" s="225"/>
      <c r="AC20" s="225"/>
      <c r="AD20" s="225"/>
      <c r="AE20" s="225"/>
      <c r="AF20" s="225"/>
      <c r="AG20" s="225"/>
      <c r="AH20" s="225"/>
      <c r="AI20" s="225"/>
      <c r="AJ20" s="225"/>
      <c r="AK20" s="225"/>
      <c r="AL20" s="225"/>
      <c r="AM20" s="225"/>
      <c r="AN20" s="225"/>
      <c r="AO20" s="225"/>
      <c r="AP20" s="225"/>
      <c r="AQ20" s="225"/>
      <c r="AR20" s="225"/>
      <c r="AS20" s="225"/>
      <c r="AT20" s="225"/>
      <c r="AU20" s="225"/>
      <c r="AV20" s="225"/>
      <c r="AW20" s="225"/>
      <c r="AX20" s="225"/>
      <c r="AY20" s="225"/>
      <c r="AZ20" s="225"/>
      <c r="BA20" s="225"/>
      <c r="BB20" s="225"/>
      <c r="BC20" s="225"/>
      <c r="BD20" s="225"/>
      <c r="BE20" s="225"/>
      <c r="BF20" s="225"/>
      <c r="BG20" s="225"/>
      <c r="BH20" s="225"/>
      <c r="BI20" s="225"/>
      <c r="BJ20" s="225"/>
      <c r="BK20" s="225"/>
      <c r="BL20" s="225"/>
      <c r="BM20" s="225"/>
      <c r="BN20" s="225"/>
      <c r="BO20" s="225"/>
      <c r="BP20" s="225"/>
      <c r="BQ20" s="225"/>
      <c r="BR20" s="225"/>
      <c r="BS20" s="225"/>
      <c r="BT20" s="225"/>
      <c r="BU20" s="225"/>
      <c r="BV20" s="225"/>
      <c r="BW20" s="225"/>
      <c r="BX20" s="225"/>
      <c r="BY20" s="225"/>
      <c r="BZ20" s="225"/>
      <c r="CA20" s="225"/>
      <c r="CB20" s="225"/>
      <c r="CC20" s="225"/>
      <c r="CD20" s="225"/>
      <c r="CE20" s="225"/>
      <c r="CF20" s="225"/>
      <c r="CG20" s="225"/>
      <c r="CH20" s="225"/>
      <c r="CI20" s="225"/>
      <c r="CJ20" s="225"/>
      <c r="CK20" s="225"/>
      <c r="CL20" s="225"/>
      <c r="CM20" s="225"/>
      <c r="CN20" s="225"/>
      <c r="CO20" s="225"/>
      <c r="CP20" s="225"/>
      <c r="CQ20" s="225"/>
      <c r="CR20" s="225"/>
      <c r="CS20" s="225"/>
      <c r="CT20" s="225"/>
      <c r="CU20" s="225"/>
      <c r="CV20" s="225"/>
      <c r="CW20" s="225"/>
      <c r="CX20" s="225"/>
      <c r="CY20" s="225"/>
      <c r="CZ20" s="225"/>
      <c r="DA20" s="225"/>
      <c r="DB20" s="225"/>
      <c r="DC20" s="225"/>
      <c r="DD20" s="225"/>
      <c r="DE20" s="225"/>
      <c r="DF20" s="225"/>
      <c r="DG20" s="225"/>
      <c r="DH20" s="225"/>
      <c r="DI20" s="225"/>
      <c r="DJ20" s="225"/>
      <c r="DK20" s="225"/>
      <c r="DL20" s="225"/>
      <c r="DM20" s="225"/>
      <c r="DN20" s="225"/>
      <c r="DO20" s="225"/>
      <c r="DP20" s="225"/>
      <c r="DQ20" s="225"/>
      <c r="DR20" s="225"/>
      <c r="DS20" s="225"/>
      <c r="DT20" s="225"/>
      <c r="DU20" s="225"/>
      <c r="DV20" s="225"/>
      <c r="DW20" s="225"/>
      <c r="DX20" s="225"/>
      <c r="DY20" s="225"/>
      <c r="DZ20" s="225"/>
      <c r="EA20" s="225"/>
      <c r="EB20" s="225"/>
      <c r="EC20" s="225"/>
      <c r="ED20" s="225"/>
      <c r="EE20" s="225"/>
      <c r="EF20" s="225"/>
      <c r="EG20" s="225"/>
      <c r="EH20" s="225"/>
      <c r="EI20" s="225"/>
      <c r="EJ20" s="225"/>
    </row>
    <row r="21" spans="1:140" x14ac:dyDescent="0.2">
      <c r="A21" s="158"/>
      <c r="B21" s="158"/>
      <c r="C21" s="158" t="s">
        <v>188</v>
      </c>
      <c r="D21" s="158"/>
      <c r="E21" s="158"/>
      <c r="F21" s="158"/>
      <c r="G21" s="158"/>
      <c r="H21" s="158"/>
    </row>
    <row r="22" spans="1:140" s="55" customFormat="1" ht="42.75" x14ac:dyDescent="0.2">
      <c r="A22" s="160"/>
      <c r="B22" s="160">
        <v>1</v>
      </c>
      <c r="C22" s="160" t="s">
        <v>189</v>
      </c>
      <c r="D22" s="160">
        <v>30</v>
      </c>
      <c r="E22" s="160">
        <v>665</v>
      </c>
      <c r="F22" s="160"/>
      <c r="G22" s="159" t="s">
        <v>190</v>
      </c>
      <c r="H22" s="160" t="s">
        <v>191</v>
      </c>
    </row>
    <row r="23" spans="1:140" s="55" customFormat="1" ht="42.75" x14ac:dyDescent="0.2">
      <c r="A23" s="160"/>
      <c r="B23" s="160">
        <v>2</v>
      </c>
      <c r="C23" s="160" t="s">
        <v>192</v>
      </c>
      <c r="D23" s="160">
        <v>72</v>
      </c>
      <c r="E23" s="160">
        <v>1614</v>
      </c>
      <c r="F23" s="160"/>
      <c r="G23" s="159" t="s">
        <v>193</v>
      </c>
      <c r="H23" s="160" t="s">
        <v>194</v>
      </c>
    </row>
    <row r="24" spans="1:140" s="55" customFormat="1" ht="29.25" x14ac:dyDescent="0.2">
      <c r="A24" s="160"/>
      <c r="B24" s="160">
        <v>3</v>
      </c>
      <c r="C24" s="160" t="s">
        <v>195</v>
      </c>
      <c r="D24" s="160">
        <v>14</v>
      </c>
      <c r="E24" s="160">
        <v>580</v>
      </c>
      <c r="F24" s="160"/>
      <c r="G24" s="159" t="s">
        <v>196</v>
      </c>
      <c r="H24" s="160" t="s">
        <v>197</v>
      </c>
    </row>
    <row r="25" spans="1:140" s="235" customFormat="1" x14ac:dyDescent="0.2">
      <c r="A25" s="231"/>
      <c r="B25" s="230">
        <v>4</v>
      </c>
      <c r="C25" s="158" t="s">
        <v>198</v>
      </c>
      <c r="D25" s="231"/>
      <c r="E25" s="231"/>
      <c r="F25" s="231"/>
      <c r="G25" s="231"/>
      <c r="H25" s="231"/>
    </row>
    <row r="26" spans="1:140" s="55" customFormat="1" ht="29.25" x14ac:dyDescent="0.2">
      <c r="A26" s="160"/>
      <c r="B26" s="160" t="s">
        <v>199</v>
      </c>
      <c r="C26" s="160" t="s">
        <v>200</v>
      </c>
      <c r="D26" s="160">
        <v>35</v>
      </c>
      <c r="E26" s="160">
        <v>1223</v>
      </c>
      <c r="F26" s="160"/>
      <c r="G26" s="159" t="s">
        <v>201</v>
      </c>
      <c r="H26" s="160" t="s">
        <v>202</v>
      </c>
    </row>
    <row r="27" spans="1:140" s="55" customFormat="1" ht="42.75" x14ac:dyDescent="0.2">
      <c r="A27" s="160"/>
      <c r="B27" s="160" t="s">
        <v>203</v>
      </c>
      <c r="C27" s="160" t="s">
        <v>204</v>
      </c>
      <c r="D27" s="160">
        <v>64</v>
      </c>
      <c r="E27" s="160">
        <v>1969</v>
      </c>
      <c r="F27" s="160"/>
      <c r="G27" s="159" t="s">
        <v>205</v>
      </c>
      <c r="H27" s="160" t="s">
        <v>206</v>
      </c>
    </row>
    <row r="28" spans="1:140" s="236" customFormat="1" ht="29.25" x14ac:dyDescent="0.2">
      <c r="A28" s="230"/>
      <c r="B28" s="230">
        <v>5</v>
      </c>
      <c r="C28" s="158" t="s">
        <v>207</v>
      </c>
      <c r="D28" s="230"/>
      <c r="E28" s="230"/>
      <c r="F28" s="230"/>
      <c r="G28" s="230"/>
      <c r="H28" s="230"/>
    </row>
    <row r="29" spans="1:140" s="55" customFormat="1" ht="42.75" x14ac:dyDescent="0.2">
      <c r="A29" s="160"/>
      <c r="B29" s="160" t="s">
        <v>208</v>
      </c>
      <c r="C29" s="160" t="s">
        <v>209</v>
      </c>
      <c r="D29" s="160">
        <v>19</v>
      </c>
      <c r="E29" s="160">
        <v>720</v>
      </c>
      <c r="F29" s="160"/>
      <c r="G29" s="159" t="s">
        <v>336</v>
      </c>
      <c r="H29" s="160" t="s">
        <v>210</v>
      </c>
    </row>
    <row r="30" spans="1:140" s="55" customFormat="1" ht="60" x14ac:dyDescent="0.2">
      <c r="A30" s="160"/>
      <c r="B30" s="160" t="s">
        <v>211</v>
      </c>
      <c r="C30" s="160" t="s">
        <v>212</v>
      </c>
      <c r="D30" s="160">
        <v>16</v>
      </c>
      <c r="E30" s="160">
        <v>400</v>
      </c>
      <c r="F30" s="160"/>
      <c r="G30" s="159" t="s">
        <v>337</v>
      </c>
      <c r="H30" s="160" t="s">
        <v>213</v>
      </c>
    </row>
    <row r="31" spans="1:140" s="55" customFormat="1" ht="42.75" x14ac:dyDescent="0.2">
      <c r="A31" s="160"/>
      <c r="B31" s="160">
        <v>6</v>
      </c>
      <c r="C31" s="158" t="s">
        <v>214</v>
      </c>
      <c r="D31" s="160">
        <v>10</v>
      </c>
      <c r="E31" s="160">
        <v>3512</v>
      </c>
      <c r="F31" s="160"/>
      <c r="G31" s="159" t="s">
        <v>215</v>
      </c>
      <c r="H31" s="160" t="s">
        <v>216</v>
      </c>
    </row>
    <row r="32" spans="1:140" s="236" customFormat="1" ht="29.25" x14ac:dyDescent="0.2">
      <c r="A32" s="230"/>
      <c r="B32" s="230">
        <v>7</v>
      </c>
      <c r="C32" s="158" t="s">
        <v>217</v>
      </c>
      <c r="D32" s="230"/>
      <c r="E32" s="230"/>
      <c r="F32" s="230"/>
      <c r="G32" s="230"/>
      <c r="H32" s="230"/>
    </row>
    <row r="33" spans="1:8" s="55" customFormat="1" ht="32.25" x14ac:dyDescent="0.2">
      <c r="A33" s="160"/>
      <c r="B33" s="160" t="s">
        <v>218</v>
      </c>
      <c r="C33" s="160" t="s">
        <v>219</v>
      </c>
      <c r="D33" s="160">
        <v>32</v>
      </c>
      <c r="E33" s="160">
        <v>1143</v>
      </c>
      <c r="F33" s="160"/>
      <c r="G33" s="159" t="s">
        <v>338</v>
      </c>
      <c r="H33" s="160" t="s">
        <v>220</v>
      </c>
    </row>
    <row r="34" spans="1:8" s="55" customFormat="1" ht="32.25" x14ac:dyDescent="0.2">
      <c r="A34" s="160"/>
      <c r="B34" s="160" t="s">
        <v>221</v>
      </c>
      <c r="C34" s="160" t="s">
        <v>222</v>
      </c>
      <c r="D34" s="160">
        <v>18</v>
      </c>
      <c r="E34" s="160">
        <v>393</v>
      </c>
      <c r="F34" s="160"/>
      <c r="G34" s="159" t="s">
        <v>339</v>
      </c>
      <c r="H34" s="160" t="s">
        <v>223</v>
      </c>
    </row>
    <row r="35" spans="1:8" s="55" customFormat="1" ht="71.25" x14ac:dyDescent="0.2">
      <c r="A35" s="160"/>
      <c r="B35" s="160">
        <v>8</v>
      </c>
      <c r="C35" s="158" t="s">
        <v>224</v>
      </c>
      <c r="D35" s="160">
        <v>62</v>
      </c>
      <c r="E35" s="160">
        <v>1679</v>
      </c>
      <c r="F35" s="160"/>
      <c r="G35" s="159" t="s">
        <v>225</v>
      </c>
      <c r="H35" s="160" t="s">
        <v>226</v>
      </c>
    </row>
    <row r="36" spans="1:8" s="237" customFormat="1" ht="29.25" x14ac:dyDescent="0.2">
      <c r="A36" s="158"/>
      <c r="B36" s="158">
        <v>9</v>
      </c>
      <c r="C36" s="158" t="s">
        <v>227</v>
      </c>
      <c r="D36" s="158"/>
      <c r="E36" s="158"/>
      <c r="F36" s="158"/>
      <c r="G36" s="158"/>
      <c r="H36" s="158"/>
    </row>
    <row r="37" spans="1:8" s="55" customFormat="1" ht="29.25" x14ac:dyDescent="0.2">
      <c r="A37" s="160"/>
      <c r="B37" s="160" t="s">
        <v>228</v>
      </c>
      <c r="C37" s="160" t="s">
        <v>229</v>
      </c>
      <c r="D37" s="160">
        <v>23</v>
      </c>
      <c r="E37" s="160">
        <v>613</v>
      </c>
      <c r="F37" s="160"/>
      <c r="G37" s="159" t="s">
        <v>230</v>
      </c>
      <c r="H37" s="160" t="s">
        <v>231</v>
      </c>
    </row>
    <row r="38" spans="1:8" s="55" customFormat="1" ht="29.25" x14ac:dyDescent="0.2">
      <c r="A38" s="160"/>
      <c r="B38" s="160" t="s">
        <v>232</v>
      </c>
      <c r="C38" s="160" t="s">
        <v>233</v>
      </c>
      <c r="D38" s="160">
        <v>91</v>
      </c>
      <c r="E38" s="160">
        <v>2783</v>
      </c>
      <c r="F38" s="160"/>
      <c r="G38" s="159" t="s">
        <v>234</v>
      </c>
      <c r="H38" s="160" t="s">
        <v>235</v>
      </c>
    </row>
    <row r="39" spans="1:8" s="55" customFormat="1" x14ac:dyDescent="0.2">
      <c r="A39" s="160"/>
      <c r="B39" s="160">
        <v>10</v>
      </c>
      <c r="C39" s="158" t="s">
        <v>236</v>
      </c>
      <c r="D39" s="160">
        <v>61</v>
      </c>
      <c r="E39" s="160">
        <v>1352</v>
      </c>
      <c r="F39" s="160"/>
      <c r="G39" s="159" t="s">
        <v>237</v>
      </c>
      <c r="H39" s="160" t="s">
        <v>238</v>
      </c>
    </row>
    <row r="40" spans="1:8" s="55" customFormat="1" ht="29.25" x14ac:dyDescent="0.2">
      <c r="A40" s="160"/>
      <c r="B40" s="160">
        <v>11</v>
      </c>
      <c r="C40" s="158" t="s">
        <v>239</v>
      </c>
      <c r="D40" s="160"/>
      <c r="E40" s="160"/>
      <c r="F40" s="160"/>
      <c r="G40" s="160"/>
      <c r="H40" s="160"/>
    </row>
    <row r="41" spans="1:8" s="55" customFormat="1" ht="29.25" x14ac:dyDescent="0.2">
      <c r="A41" s="160"/>
      <c r="B41" s="160" t="s">
        <v>240</v>
      </c>
      <c r="C41" s="160" t="s">
        <v>241</v>
      </c>
      <c r="D41" s="160">
        <v>14</v>
      </c>
      <c r="E41" s="160">
        <v>314</v>
      </c>
      <c r="F41" s="160"/>
      <c r="G41" s="160" t="s">
        <v>242</v>
      </c>
      <c r="H41" s="160" t="s">
        <v>243</v>
      </c>
    </row>
    <row r="42" spans="1:8" s="55" customFormat="1" ht="42.75" x14ac:dyDescent="0.2">
      <c r="A42" s="160"/>
      <c r="B42" s="160" t="s">
        <v>244</v>
      </c>
      <c r="C42" s="160" t="s">
        <v>245</v>
      </c>
      <c r="D42" s="160">
        <v>67</v>
      </c>
      <c r="E42" s="160">
        <v>1504</v>
      </c>
      <c r="F42" s="160"/>
      <c r="G42" s="159" t="s">
        <v>246</v>
      </c>
      <c r="H42" s="160" t="s">
        <v>247</v>
      </c>
    </row>
    <row r="43" spans="1:8" s="55" customFormat="1" ht="42.75" x14ac:dyDescent="0.2">
      <c r="A43" s="160"/>
      <c r="B43" s="160">
        <v>12</v>
      </c>
      <c r="C43" s="158" t="s">
        <v>248</v>
      </c>
      <c r="D43" s="160">
        <v>59</v>
      </c>
      <c r="E43" s="160">
        <v>1590</v>
      </c>
      <c r="F43" s="160"/>
      <c r="G43" s="159" t="s">
        <v>249</v>
      </c>
      <c r="H43" s="160" t="s">
        <v>250</v>
      </c>
    </row>
    <row r="44" spans="1:8" s="55" customFormat="1" ht="45.75" x14ac:dyDescent="0.2">
      <c r="A44" s="160"/>
      <c r="B44" s="160">
        <v>13</v>
      </c>
      <c r="C44" s="158" t="s">
        <v>251</v>
      </c>
      <c r="D44" s="160">
        <v>36</v>
      </c>
      <c r="E44" s="160">
        <v>933</v>
      </c>
      <c r="F44" s="160"/>
      <c r="G44" s="159" t="s">
        <v>340</v>
      </c>
      <c r="H44" s="160" t="s">
        <v>252</v>
      </c>
    </row>
    <row r="45" spans="1:8" s="55" customFormat="1" ht="18" x14ac:dyDescent="0.2">
      <c r="A45" s="160"/>
      <c r="B45" s="160">
        <v>14</v>
      </c>
      <c r="C45" s="158" t="s">
        <v>253</v>
      </c>
      <c r="D45" s="160">
        <v>36</v>
      </c>
      <c r="E45" s="160">
        <v>933</v>
      </c>
      <c r="F45" s="160"/>
      <c r="G45" s="159" t="s">
        <v>341</v>
      </c>
      <c r="H45" s="160" t="s">
        <v>254</v>
      </c>
    </row>
    <row r="46" spans="1:8" s="55" customFormat="1" ht="33" customHeight="1" x14ac:dyDescent="0.2">
      <c r="A46" s="160"/>
      <c r="B46" s="160">
        <v>15</v>
      </c>
      <c r="C46" s="158" t="s">
        <v>255</v>
      </c>
      <c r="D46" s="160">
        <v>50</v>
      </c>
      <c r="E46" s="160">
        <v>1060</v>
      </c>
      <c r="F46" s="160"/>
      <c r="G46" s="159" t="s">
        <v>342</v>
      </c>
      <c r="H46" s="160"/>
    </row>
    <row r="47" spans="1:8" s="55" customFormat="1" ht="29.25" x14ac:dyDescent="0.2">
      <c r="A47" s="160"/>
      <c r="B47" s="160">
        <v>16</v>
      </c>
      <c r="C47" s="158" t="s">
        <v>256</v>
      </c>
      <c r="D47" s="160">
        <v>3.7</v>
      </c>
      <c r="E47" s="160">
        <v>109</v>
      </c>
      <c r="F47" s="160"/>
      <c r="G47" s="159" t="s">
        <v>257</v>
      </c>
      <c r="H47" s="160" t="s">
        <v>258</v>
      </c>
    </row>
    <row r="48" spans="1:8" s="55" customFormat="1" ht="42.75" x14ac:dyDescent="0.2">
      <c r="A48" s="160"/>
      <c r="B48" s="160">
        <v>17</v>
      </c>
      <c r="C48" s="158" t="s">
        <v>259</v>
      </c>
      <c r="D48" s="160">
        <v>4</v>
      </c>
      <c r="E48" s="160">
        <v>154</v>
      </c>
      <c r="F48" s="160"/>
      <c r="G48" s="159" t="s">
        <v>260</v>
      </c>
      <c r="H48" s="160" t="s">
        <v>261</v>
      </c>
    </row>
    <row r="49" spans="1:8" s="55" customFormat="1" ht="29.25" x14ac:dyDescent="0.2">
      <c r="A49" s="160"/>
      <c r="B49" s="160">
        <v>18</v>
      </c>
      <c r="C49" s="158" t="s">
        <v>262</v>
      </c>
      <c r="D49" s="160"/>
      <c r="E49" s="160"/>
      <c r="F49" s="160"/>
      <c r="G49" s="159" t="s">
        <v>263</v>
      </c>
      <c r="H49" s="160"/>
    </row>
    <row r="50" spans="1:8" s="55" customFormat="1" ht="42.75" x14ac:dyDescent="0.2">
      <c r="A50" s="160"/>
      <c r="B50" s="160">
        <v>19</v>
      </c>
      <c r="C50" s="158" t="s">
        <v>264</v>
      </c>
      <c r="D50" s="160">
        <v>26</v>
      </c>
      <c r="E50" s="160">
        <v>862</v>
      </c>
      <c r="F50" s="160"/>
      <c r="G50" s="159" t="s">
        <v>265</v>
      </c>
      <c r="H50" s="160" t="s">
        <v>266</v>
      </c>
    </row>
    <row r="51" spans="1:8" s="55" customFormat="1" ht="29.25" x14ac:dyDescent="0.2">
      <c r="A51" s="160"/>
      <c r="B51" s="160">
        <v>20</v>
      </c>
      <c r="C51" s="158" t="s">
        <v>267</v>
      </c>
      <c r="D51" s="160">
        <v>45</v>
      </c>
      <c r="E51" s="160">
        <v>1123</v>
      </c>
      <c r="F51" s="160"/>
      <c r="G51" s="159" t="s">
        <v>268</v>
      </c>
      <c r="H51" s="160" t="s">
        <v>269</v>
      </c>
    </row>
    <row r="52" spans="1:8" s="55" customFormat="1" ht="29.25" x14ac:dyDescent="0.2">
      <c r="A52" s="160"/>
      <c r="B52" s="160">
        <v>21</v>
      </c>
      <c r="C52" s="158" t="s">
        <v>270</v>
      </c>
      <c r="D52" s="160">
        <v>8.4</v>
      </c>
      <c r="E52" s="160">
        <v>213</v>
      </c>
      <c r="F52" s="160"/>
      <c r="G52" s="159" t="s">
        <v>271</v>
      </c>
      <c r="H52" s="160" t="s">
        <v>272</v>
      </c>
    </row>
    <row r="53" spans="1:8" s="55" customFormat="1" ht="28.5" customHeight="1" x14ac:dyDescent="0.2">
      <c r="A53" s="160"/>
      <c r="B53" s="160">
        <v>22</v>
      </c>
      <c r="C53" s="158" t="s">
        <v>273</v>
      </c>
      <c r="D53" s="160">
        <v>6.8</v>
      </c>
      <c r="E53" s="160">
        <v>1146</v>
      </c>
      <c r="F53" s="160"/>
      <c r="G53" s="159" t="s">
        <v>274</v>
      </c>
      <c r="H53" s="160" t="s">
        <v>275</v>
      </c>
    </row>
    <row r="54" spans="1:8" s="55" customFormat="1" ht="29.25" x14ac:dyDescent="0.2">
      <c r="A54" s="160"/>
      <c r="B54" s="160">
        <v>23</v>
      </c>
      <c r="C54" s="158" t="s">
        <v>276</v>
      </c>
      <c r="D54" s="160">
        <v>19</v>
      </c>
      <c r="E54" s="160">
        <v>593</v>
      </c>
      <c r="F54" s="160"/>
      <c r="G54" s="159" t="s">
        <v>277</v>
      </c>
      <c r="H54" s="160" t="s">
        <v>278</v>
      </c>
    </row>
    <row r="55" spans="1:8" s="55" customFormat="1" ht="29.25" x14ac:dyDescent="0.2">
      <c r="A55" s="160"/>
      <c r="B55" s="160">
        <v>24</v>
      </c>
      <c r="C55" s="158" t="s">
        <v>279</v>
      </c>
      <c r="D55" s="160">
        <v>37</v>
      </c>
      <c r="E55" s="160">
        <v>876</v>
      </c>
      <c r="F55" s="160"/>
      <c r="G55" s="159" t="s">
        <v>280</v>
      </c>
      <c r="H55" s="160" t="s">
        <v>281</v>
      </c>
    </row>
    <row r="56" spans="1:8" s="55" customFormat="1" ht="42.75" x14ac:dyDescent="0.2">
      <c r="A56" s="160"/>
      <c r="B56" s="160">
        <v>25</v>
      </c>
      <c r="C56" s="158" t="s">
        <v>282</v>
      </c>
      <c r="D56" s="160"/>
      <c r="E56" s="160"/>
      <c r="F56" s="160"/>
      <c r="G56" s="159" t="s">
        <v>263</v>
      </c>
      <c r="H56" s="160"/>
    </row>
    <row r="57" spans="1:8" s="55" customFormat="1" x14ac:dyDescent="0.2">
      <c r="A57" s="232"/>
      <c r="B57" s="232"/>
      <c r="C57" s="232"/>
      <c r="D57" s="232"/>
      <c r="E57" s="232"/>
      <c r="F57" s="232"/>
      <c r="G57" s="232"/>
      <c r="H57" s="232"/>
    </row>
    <row r="58" spans="1:8" s="55" customFormat="1" x14ac:dyDescent="0.2">
      <c r="A58" s="232"/>
      <c r="B58" s="232"/>
      <c r="C58" s="232"/>
      <c r="D58" s="232"/>
      <c r="E58" s="232"/>
      <c r="F58" s="232"/>
      <c r="G58" s="232"/>
      <c r="H58" s="232"/>
    </row>
    <row r="59" spans="1:8" s="55" customFormat="1" hidden="1" x14ac:dyDescent="0.2">
      <c r="A59" s="232"/>
      <c r="B59" s="399" t="s">
        <v>50</v>
      </c>
      <c r="C59" s="399" t="s">
        <v>182</v>
      </c>
      <c r="D59" s="399" t="s">
        <v>183</v>
      </c>
      <c r="E59" s="399"/>
      <c r="F59" s="158"/>
      <c r="G59" s="399" t="s">
        <v>184</v>
      </c>
      <c r="H59" s="399" t="s">
        <v>185</v>
      </c>
    </row>
    <row r="60" spans="1:8" s="55" customFormat="1" hidden="1" x14ac:dyDescent="0.2">
      <c r="A60" s="232"/>
      <c r="B60" s="399"/>
      <c r="C60" s="399"/>
      <c r="D60" s="158" t="s">
        <v>186</v>
      </c>
      <c r="E60" s="158" t="s">
        <v>187</v>
      </c>
      <c r="F60" s="158"/>
      <c r="G60" s="399"/>
      <c r="H60" s="399"/>
    </row>
    <row r="61" spans="1:8" s="55" customFormat="1" hidden="1" x14ac:dyDescent="0.2">
      <c r="A61" s="232"/>
      <c r="B61" s="160">
        <v>1</v>
      </c>
      <c r="C61" s="160" t="s">
        <v>189</v>
      </c>
      <c r="D61" s="160">
        <v>30</v>
      </c>
      <c r="E61" s="160">
        <v>665</v>
      </c>
      <c r="F61" s="160"/>
      <c r="G61" s="159" t="s">
        <v>190</v>
      </c>
      <c r="H61" s="160" t="s">
        <v>191</v>
      </c>
    </row>
    <row r="62" spans="1:8" s="55" customFormat="1" hidden="1" x14ac:dyDescent="0.2">
      <c r="A62" s="232"/>
      <c r="B62" s="160">
        <v>2</v>
      </c>
      <c r="C62" s="160" t="s">
        <v>192</v>
      </c>
      <c r="D62" s="160">
        <v>72</v>
      </c>
      <c r="E62" s="160">
        <v>1614</v>
      </c>
      <c r="F62" s="160"/>
      <c r="G62" s="159" t="s">
        <v>193</v>
      </c>
      <c r="H62" s="160" t="s">
        <v>194</v>
      </c>
    </row>
    <row r="63" spans="1:8" s="55" customFormat="1" hidden="1" x14ac:dyDescent="0.2">
      <c r="A63" s="232"/>
      <c r="B63" s="160">
        <v>3</v>
      </c>
      <c r="C63" s="160" t="s">
        <v>195</v>
      </c>
      <c r="D63" s="160">
        <v>14</v>
      </c>
      <c r="E63" s="160">
        <v>580</v>
      </c>
      <c r="F63" s="160"/>
      <c r="G63" s="159" t="s">
        <v>196</v>
      </c>
      <c r="H63" s="160" t="s">
        <v>197</v>
      </c>
    </row>
    <row r="64" spans="1:8" s="55" customFormat="1" hidden="1" x14ac:dyDescent="0.2">
      <c r="A64" s="232"/>
      <c r="B64" s="160">
        <v>4</v>
      </c>
      <c r="C64" s="160" t="s">
        <v>200</v>
      </c>
      <c r="D64" s="160">
        <v>35</v>
      </c>
      <c r="E64" s="160">
        <v>1223</v>
      </c>
      <c r="F64" s="160"/>
      <c r="G64" s="159" t="s">
        <v>201</v>
      </c>
      <c r="H64" s="160" t="s">
        <v>202</v>
      </c>
    </row>
    <row r="65" spans="1:8" s="55" customFormat="1" hidden="1" x14ac:dyDescent="0.2">
      <c r="A65" s="232"/>
      <c r="B65" s="160">
        <v>5</v>
      </c>
      <c r="C65" s="160" t="s">
        <v>204</v>
      </c>
      <c r="D65" s="160">
        <v>64</v>
      </c>
      <c r="E65" s="160">
        <v>1969</v>
      </c>
      <c r="F65" s="160"/>
      <c r="G65" s="159" t="s">
        <v>205</v>
      </c>
      <c r="H65" s="160" t="s">
        <v>206</v>
      </c>
    </row>
    <row r="66" spans="1:8" s="55" customFormat="1" hidden="1" x14ac:dyDescent="0.2">
      <c r="A66" s="232"/>
      <c r="B66" s="160">
        <v>6</v>
      </c>
      <c r="C66" s="160" t="s">
        <v>209</v>
      </c>
      <c r="D66" s="160">
        <v>19</v>
      </c>
      <c r="E66" s="160">
        <v>720</v>
      </c>
      <c r="F66" s="160"/>
      <c r="G66" s="159" t="s">
        <v>336</v>
      </c>
      <c r="H66" s="160" t="s">
        <v>210</v>
      </c>
    </row>
    <row r="67" spans="1:8" s="55" customFormat="1" hidden="1" x14ac:dyDescent="0.2">
      <c r="A67" s="232"/>
      <c r="B67" s="160">
        <v>7</v>
      </c>
      <c r="C67" s="160" t="s">
        <v>212</v>
      </c>
      <c r="D67" s="160">
        <v>16</v>
      </c>
      <c r="E67" s="160">
        <v>400</v>
      </c>
      <c r="F67" s="160"/>
      <c r="G67" s="159" t="s">
        <v>337</v>
      </c>
      <c r="H67" s="160" t="s">
        <v>213</v>
      </c>
    </row>
    <row r="68" spans="1:8" s="55" customFormat="1" hidden="1" x14ac:dyDescent="0.2">
      <c r="A68" s="232"/>
      <c r="B68" s="160">
        <v>8</v>
      </c>
      <c r="C68" s="158" t="s">
        <v>214</v>
      </c>
      <c r="D68" s="160">
        <v>10</v>
      </c>
      <c r="E68" s="160">
        <v>3512</v>
      </c>
      <c r="F68" s="160"/>
      <c r="G68" s="159" t="s">
        <v>215</v>
      </c>
      <c r="H68" s="160" t="s">
        <v>216</v>
      </c>
    </row>
    <row r="69" spans="1:8" s="55" customFormat="1" hidden="1" x14ac:dyDescent="0.2">
      <c r="A69" s="232"/>
      <c r="B69" s="160">
        <v>9</v>
      </c>
      <c r="C69" s="160" t="s">
        <v>219</v>
      </c>
      <c r="D69" s="160">
        <v>32</v>
      </c>
      <c r="E69" s="160">
        <v>1143</v>
      </c>
      <c r="F69" s="160"/>
      <c r="G69" s="159" t="s">
        <v>338</v>
      </c>
      <c r="H69" s="160" t="s">
        <v>220</v>
      </c>
    </row>
    <row r="70" spans="1:8" s="55" customFormat="1" hidden="1" x14ac:dyDescent="0.2">
      <c r="A70" s="232"/>
      <c r="B70" s="160">
        <v>10</v>
      </c>
      <c r="C70" s="160" t="s">
        <v>222</v>
      </c>
      <c r="D70" s="160">
        <v>18</v>
      </c>
      <c r="E70" s="160">
        <v>393</v>
      </c>
      <c r="F70" s="160"/>
      <c r="G70" s="159" t="s">
        <v>339</v>
      </c>
      <c r="H70" s="160" t="s">
        <v>223</v>
      </c>
    </row>
    <row r="71" spans="1:8" s="55" customFormat="1" hidden="1" x14ac:dyDescent="0.2">
      <c r="A71" s="232"/>
      <c r="B71" s="160">
        <v>11</v>
      </c>
      <c r="C71" s="158" t="s">
        <v>224</v>
      </c>
      <c r="D71" s="160">
        <v>62</v>
      </c>
      <c r="E71" s="160">
        <v>1679</v>
      </c>
      <c r="F71" s="160"/>
      <c r="G71" s="159" t="s">
        <v>225</v>
      </c>
      <c r="H71" s="160" t="s">
        <v>226</v>
      </c>
    </row>
    <row r="72" spans="1:8" s="55" customFormat="1" hidden="1" x14ac:dyDescent="0.2">
      <c r="A72" s="232"/>
      <c r="B72" s="160">
        <v>12</v>
      </c>
      <c r="C72" s="160" t="s">
        <v>229</v>
      </c>
      <c r="D72" s="160">
        <v>23</v>
      </c>
      <c r="E72" s="160">
        <v>613</v>
      </c>
      <c r="F72" s="160"/>
      <c r="G72" s="159" t="s">
        <v>230</v>
      </c>
      <c r="H72" s="160" t="s">
        <v>231</v>
      </c>
    </row>
    <row r="73" spans="1:8" s="55" customFormat="1" hidden="1" x14ac:dyDescent="0.2">
      <c r="A73" s="232"/>
      <c r="B73" s="160">
        <v>13</v>
      </c>
      <c r="C73" s="160" t="s">
        <v>233</v>
      </c>
      <c r="D73" s="160">
        <v>91</v>
      </c>
      <c r="E73" s="160">
        <v>2783</v>
      </c>
      <c r="F73" s="160"/>
      <c r="G73" s="159" t="s">
        <v>234</v>
      </c>
      <c r="H73" s="160" t="s">
        <v>235</v>
      </c>
    </row>
    <row r="74" spans="1:8" s="55" customFormat="1" hidden="1" x14ac:dyDescent="0.2">
      <c r="A74" s="232"/>
      <c r="B74" s="160">
        <v>14</v>
      </c>
      <c r="C74" s="158" t="s">
        <v>236</v>
      </c>
      <c r="D74" s="160">
        <v>61</v>
      </c>
      <c r="E74" s="160">
        <v>1352</v>
      </c>
      <c r="F74" s="160"/>
      <c r="G74" s="159" t="s">
        <v>237</v>
      </c>
      <c r="H74" s="160" t="s">
        <v>238</v>
      </c>
    </row>
    <row r="75" spans="1:8" s="55" customFormat="1" hidden="1" x14ac:dyDescent="0.2">
      <c r="A75" s="232"/>
      <c r="B75" s="160">
        <v>15</v>
      </c>
      <c r="C75" s="160" t="s">
        <v>241</v>
      </c>
      <c r="D75" s="160">
        <v>14</v>
      </c>
      <c r="E75" s="160">
        <v>314</v>
      </c>
      <c r="F75" s="160"/>
      <c r="G75" s="160" t="s">
        <v>242</v>
      </c>
      <c r="H75" s="160" t="s">
        <v>243</v>
      </c>
    </row>
    <row r="76" spans="1:8" s="55" customFormat="1" hidden="1" x14ac:dyDescent="0.2">
      <c r="A76" s="232"/>
      <c r="B76" s="160">
        <v>16</v>
      </c>
      <c r="C76" s="160" t="s">
        <v>245</v>
      </c>
      <c r="D76" s="160">
        <v>67</v>
      </c>
      <c r="E76" s="160">
        <v>1504</v>
      </c>
      <c r="F76" s="160"/>
      <c r="G76" s="159" t="s">
        <v>246</v>
      </c>
      <c r="H76" s="160" t="s">
        <v>247</v>
      </c>
    </row>
    <row r="77" spans="1:8" s="55" customFormat="1" hidden="1" x14ac:dyDescent="0.2">
      <c r="A77" s="232"/>
      <c r="B77" s="160">
        <v>17</v>
      </c>
      <c r="C77" s="158" t="s">
        <v>248</v>
      </c>
      <c r="D77" s="160">
        <v>59</v>
      </c>
      <c r="E77" s="160">
        <v>1590</v>
      </c>
      <c r="F77" s="160"/>
      <c r="G77" s="159" t="s">
        <v>249</v>
      </c>
      <c r="H77" s="160" t="s">
        <v>250</v>
      </c>
    </row>
    <row r="78" spans="1:8" s="55" customFormat="1" hidden="1" x14ac:dyDescent="0.2">
      <c r="A78" s="232"/>
      <c r="B78" s="160">
        <v>18</v>
      </c>
      <c r="C78" s="158" t="s">
        <v>251</v>
      </c>
      <c r="D78" s="160">
        <v>36</v>
      </c>
      <c r="E78" s="160">
        <v>933</v>
      </c>
      <c r="F78" s="160"/>
      <c r="G78" s="159" t="s">
        <v>340</v>
      </c>
      <c r="H78" s="160" t="s">
        <v>252</v>
      </c>
    </row>
    <row r="79" spans="1:8" s="55" customFormat="1" hidden="1" x14ac:dyDescent="0.2">
      <c r="A79" s="232"/>
      <c r="B79" s="160">
        <v>19</v>
      </c>
      <c r="C79" s="158" t="s">
        <v>253</v>
      </c>
      <c r="D79" s="160">
        <v>36</v>
      </c>
      <c r="E79" s="160">
        <v>933</v>
      </c>
      <c r="F79" s="160"/>
      <c r="G79" s="159" t="s">
        <v>341</v>
      </c>
      <c r="H79" s="160" t="s">
        <v>254</v>
      </c>
    </row>
    <row r="80" spans="1:8" s="55" customFormat="1" hidden="1" x14ac:dyDescent="0.2">
      <c r="A80" s="232"/>
      <c r="B80" s="160">
        <v>20</v>
      </c>
      <c r="C80" s="158" t="s">
        <v>255</v>
      </c>
      <c r="D80" s="160">
        <v>50</v>
      </c>
      <c r="E80" s="160">
        <v>1060</v>
      </c>
      <c r="F80" s="160"/>
      <c r="G80" s="159" t="s">
        <v>342</v>
      </c>
      <c r="H80" s="160"/>
    </row>
    <row r="81" spans="1:8" s="55" customFormat="1" hidden="1" x14ac:dyDescent="0.2">
      <c r="A81" s="232"/>
      <c r="B81" s="160">
        <v>21</v>
      </c>
      <c r="C81" s="158" t="s">
        <v>256</v>
      </c>
      <c r="D81" s="160">
        <v>3.7</v>
      </c>
      <c r="E81" s="160">
        <v>109</v>
      </c>
      <c r="F81" s="160"/>
      <c r="G81" s="159" t="s">
        <v>257</v>
      </c>
      <c r="H81" s="160" t="s">
        <v>258</v>
      </c>
    </row>
    <row r="82" spans="1:8" s="55" customFormat="1" hidden="1" x14ac:dyDescent="0.2">
      <c r="A82" s="232"/>
      <c r="B82" s="160">
        <v>22</v>
      </c>
      <c r="C82" s="158" t="s">
        <v>259</v>
      </c>
      <c r="D82" s="160">
        <v>4</v>
      </c>
      <c r="E82" s="160">
        <v>154</v>
      </c>
      <c r="F82" s="160"/>
      <c r="G82" s="159" t="s">
        <v>260</v>
      </c>
      <c r="H82" s="160" t="s">
        <v>261</v>
      </c>
    </row>
    <row r="83" spans="1:8" s="55" customFormat="1" hidden="1" x14ac:dyDescent="0.2">
      <c r="A83" s="232"/>
      <c r="B83" s="160">
        <v>23</v>
      </c>
      <c r="C83" s="158" t="s">
        <v>264</v>
      </c>
      <c r="D83" s="160">
        <v>26</v>
      </c>
      <c r="E83" s="160">
        <v>862</v>
      </c>
      <c r="F83" s="160"/>
      <c r="G83" s="159" t="s">
        <v>265</v>
      </c>
      <c r="H83" s="160" t="s">
        <v>266</v>
      </c>
    </row>
    <row r="84" spans="1:8" s="55" customFormat="1" hidden="1" x14ac:dyDescent="0.2">
      <c r="A84" s="232"/>
      <c r="B84" s="160">
        <v>24</v>
      </c>
      <c r="C84" s="158" t="s">
        <v>267</v>
      </c>
      <c r="D84" s="160">
        <v>45</v>
      </c>
      <c r="E84" s="160">
        <v>1123</v>
      </c>
      <c r="F84" s="160"/>
      <c r="G84" s="159" t="s">
        <v>268</v>
      </c>
      <c r="H84" s="160" t="s">
        <v>269</v>
      </c>
    </row>
    <row r="85" spans="1:8" s="55" customFormat="1" hidden="1" x14ac:dyDescent="0.2">
      <c r="A85" s="232"/>
      <c r="B85" s="160">
        <v>25</v>
      </c>
      <c r="C85" s="158" t="s">
        <v>270</v>
      </c>
      <c r="D85" s="160">
        <v>8.4</v>
      </c>
      <c r="E85" s="160">
        <v>213</v>
      </c>
      <c r="F85" s="160"/>
      <c r="G85" s="159" t="s">
        <v>271</v>
      </c>
      <c r="H85" s="160" t="s">
        <v>272</v>
      </c>
    </row>
    <row r="86" spans="1:8" s="55" customFormat="1" hidden="1" x14ac:dyDescent="0.2">
      <c r="A86" s="232"/>
      <c r="B86" s="160">
        <v>26</v>
      </c>
      <c r="C86" s="158" t="s">
        <v>273</v>
      </c>
      <c r="D86" s="160">
        <v>6.8</v>
      </c>
      <c r="E86" s="160">
        <v>1146</v>
      </c>
      <c r="F86" s="160"/>
      <c r="G86" s="159" t="s">
        <v>274</v>
      </c>
      <c r="H86" s="160" t="s">
        <v>275</v>
      </c>
    </row>
    <row r="87" spans="1:8" s="55" customFormat="1" hidden="1" x14ac:dyDescent="0.2">
      <c r="A87" s="232"/>
      <c r="B87" s="160">
        <v>27</v>
      </c>
      <c r="C87" s="158" t="s">
        <v>276</v>
      </c>
      <c r="D87" s="160">
        <v>19</v>
      </c>
      <c r="E87" s="160">
        <v>593</v>
      </c>
      <c r="F87" s="160"/>
      <c r="G87" s="159" t="s">
        <v>277</v>
      </c>
      <c r="H87" s="160" t="s">
        <v>278</v>
      </c>
    </row>
    <row r="88" spans="1:8" s="55" customFormat="1" hidden="1" x14ac:dyDescent="0.2">
      <c r="A88" s="232"/>
      <c r="B88" s="160">
        <v>28</v>
      </c>
      <c r="C88" s="158" t="s">
        <v>279</v>
      </c>
      <c r="D88" s="160">
        <v>37</v>
      </c>
      <c r="E88" s="160">
        <v>876</v>
      </c>
      <c r="F88" s="160"/>
      <c r="G88" s="159" t="s">
        <v>280</v>
      </c>
      <c r="H88" s="160" t="s">
        <v>281</v>
      </c>
    </row>
    <row r="89" spans="1:8" s="55" customFormat="1" x14ac:dyDescent="0.2">
      <c r="A89" s="232"/>
      <c r="B89" s="232"/>
      <c r="C89" s="232"/>
      <c r="D89" s="232"/>
      <c r="E89" s="232"/>
      <c r="F89" s="232"/>
      <c r="G89" s="232"/>
      <c r="H89" s="232"/>
    </row>
    <row r="90" spans="1:8" s="55" customFormat="1" x14ac:dyDescent="0.2">
      <c r="A90" s="232"/>
      <c r="B90" s="232"/>
      <c r="C90" s="232"/>
      <c r="D90" s="232"/>
      <c r="E90" s="232"/>
      <c r="F90" s="232"/>
      <c r="G90" s="232"/>
      <c r="H90" s="232"/>
    </row>
    <row r="91" spans="1:8" s="55" customFormat="1" x14ac:dyDescent="0.2">
      <c r="A91" s="232"/>
      <c r="B91" s="232"/>
      <c r="C91" s="232"/>
      <c r="D91" s="232"/>
      <c r="E91" s="232"/>
      <c r="F91" s="232"/>
      <c r="G91" s="232"/>
      <c r="H91" s="232"/>
    </row>
    <row r="92" spans="1:8" s="55" customFormat="1" x14ac:dyDescent="0.2">
      <c r="A92" s="232"/>
      <c r="B92" s="232"/>
      <c r="C92" s="232"/>
      <c r="D92" s="232"/>
      <c r="E92" s="232"/>
      <c r="F92" s="232"/>
      <c r="G92" s="232"/>
      <c r="H92" s="232"/>
    </row>
    <row r="93" spans="1:8" s="55" customFormat="1" x14ac:dyDescent="0.2">
      <c r="A93" s="232"/>
      <c r="B93" s="232"/>
      <c r="C93" s="232"/>
      <c r="D93" s="232"/>
      <c r="E93" s="232"/>
      <c r="F93" s="232"/>
      <c r="G93" s="232"/>
      <c r="H93" s="232"/>
    </row>
    <row r="94" spans="1:8" s="55" customFormat="1" x14ac:dyDescent="0.2">
      <c r="A94" s="232"/>
      <c r="B94" s="232"/>
      <c r="C94" s="232"/>
      <c r="D94" s="232"/>
      <c r="E94" s="232"/>
      <c r="F94" s="232"/>
      <c r="G94" s="232"/>
      <c r="H94" s="232"/>
    </row>
    <row r="95" spans="1:8" s="55" customFormat="1" x14ac:dyDescent="0.2">
      <c r="A95" s="232"/>
      <c r="B95" s="232"/>
      <c r="C95" s="232"/>
      <c r="D95" s="232"/>
      <c r="E95" s="232"/>
      <c r="F95" s="232"/>
      <c r="G95" s="232"/>
      <c r="H95" s="232"/>
    </row>
    <row r="96" spans="1:8" s="55" customFormat="1" x14ac:dyDescent="0.2">
      <c r="A96" s="232"/>
      <c r="B96" s="232"/>
      <c r="C96" s="232"/>
      <c r="D96" s="232"/>
      <c r="E96" s="232"/>
      <c r="F96" s="232"/>
      <c r="G96" s="232"/>
      <c r="H96" s="232"/>
    </row>
    <row r="97" spans="1:8" s="55" customFormat="1" x14ac:dyDescent="0.2">
      <c r="A97" s="232"/>
      <c r="B97" s="232"/>
      <c r="C97" s="232"/>
      <c r="D97" s="232"/>
      <c r="E97" s="232"/>
      <c r="F97" s="232"/>
      <c r="G97" s="232"/>
      <c r="H97" s="232"/>
    </row>
    <row r="98" spans="1:8" s="55" customFormat="1" x14ac:dyDescent="0.2">
      <c r="A98" s="232"/>
      <c r="B98" s="232"/>
      <c r="C98" s="232"/>
      <c r="D98" s="232"/>
      <c r="E98" s="232"/>
      <c r="F98" s="232"/>
      <c r="G98" s="232"/>
      <c r="H98" s="232"/>
    </row>
    <row r="99" spans="1:8" s="55" customFormat="1" x14ac:dyDescent="0.2">
      <c r="A99" s="232"/>
      <c r="B99" s="232"/>
      <c r="C99" s="232"/>
      <c r="D99" s="232"/>
      <c r="E99" s="232"/>
      <c r="F99" s="232"/>
      <c r="G99" s="232"/>
      <c r="H99" s="232"/>
    </row>
    <row r="100" spans="1:8" s="55" customFormat="1" x14ac:dyDescent="0.2">
      <c r="A100" s="232"/>
      <c r="B100" s="232"/>
      <c r="C100" s="232"/>
      <c r="D100" s="232"/>
      <c r="E100" s="232"/>
      <c r="F100" s="232"/>
      <c r="G100" s="232"/>
      <c r="H100" s="232"/>
    </row>
    <row r="101" spans="1:8" s="55" customFormat="1" x14ac:dyDescent="0.2">
      <c r="A101" s="232"/>
      <c r="B101" s="232"/>
      <c r="C101" s="232"/>
      <c r="D101" s="232"/>
      <c r="E101" s="232"/>
      <c r="F101" s="232"/>
      <c r="G101" s="232"/>
      <c r="H101" s="232"/>
    </row>
    <row r="102" spans="1:8" s="55" customFormat="1" x14ac:dyDescent="0.2">
      <c r="A102" s="232"/>
      <c r="B102" s="232"/>
      <c r="C102" s="232"/>
      <c r="D102" s="232"/>
      <c r="E102" s="232"/>
      <c r="F102" s="232"/>
      <c r="G102" s="232"/>
      <c r="H102" s="232"/>
    </row>
    <row r="103" spans="1:8" s="55" customFormat="1" x14ac:dyDescent="0.2">
      <c r="A103" s="232"/>
      <c r="B103" s="232"/>
      <c r="C103" s="232"/>
      <c r="D103" s="232"/>
      <c r="E103" s="232"/>
      <c r="F103" s="232"/>
      <c r="G103" s="232"/>
      <c r="H103" s="232"/>
    </row>
    <row r="104" spans="1:8" s="55" customFormat="1" x14ac:dyDescent="0.2">
      <c r="A104" s="232"/>
      <c r="B104" s="232"/>
      <c r="C104" s="232"/>
      <c r="D104" s="232"/>
      <c r="E104" s="232"/>
      <c r="F104" s="232"/>
      <c r="G104" s="232"/>
      <c r="H104" s="232"/>
    </row>
    <row r="105" spans="1:8" s="55" customFormat="1" x14ac:dyDescent="0.2">
      <c r="A105" s="232"/>
      <c r="B105" s="232"/>
      <c r="C105" s="232"/>
      <c r="D105" s="232"/>
      <c r="E105" s="232"/>
      <c r="F105" s="232"/>
      <c r="G105" s="232"/>
      <c r="H105" s="232"/>
    </row>
    <row r="106" spans="1:8" s="55" customFormat="1" x14ac:dyDescent="0.2">
      <c r="A106" s="232"/>
      <c r="B106" s="232"/>
      <c r="C106" s="232"/>
      <c r="D106" s="232"/>
      <c r="E106" s="232"/>
      <c r="F106" s="232"/>
      <c r="G106" s="232"/>
      <c r="H106" s="232"/>
    </row>
    <row r="107" spans="1:8" s="55" customFormat="1" x14ac:dyDescent="0.2">
      <c r="A107" s="232"/>
      <c r="B107" s="232"/>
      <c r="C107" s="232"/>
      <c r="D107" s="232"/>
      <c r="E107" s="232"/>
      <c r="F107" s="232"/>
      <c r="G107" s="232"/>
      <c r="H107" s="232"/>
    </row>
    <row r="154" spans="2:7" s="75" customFormat="1" x14ac:dyDescent="0.2">
      <c r="B154" s="233"/>
      <c r="C154" s="233"/>
      <c r="G154" s="66"/>
    </row>
    <row r="155" spans="2:7" s="75" customFormat="1" x14ac:dyDescent="0.2">
      <c r="B155" s="233"/>
      <c r="G155" s="66"/>
    </row>
    <row r="158" spans="2:7" s="75" customFormat="1" x14ac:dyDescent="0.2">
      <c r="B158" s="234"/>
      <c r="C158" s="234"/>
      <c r="D158" s="234"/>
      <c r="G158" s="66"/>
    </row>
    <row r="159" spans="2:7" s="75" customFormat="1" x14ac:dyDescent="0.2">
      <c r="B159" s="234"/>
      <c r="C159" s="234"/>
      <c r="D159" s="234"/>
      <c r="G159" s="66"/>
    </row>
    <row r="160" spans="2:7" s="75" customFormat="1" x14ac:dyDescent="0.2">
      <c r="B160" s="234"/>
      <c r="C160" s="234"/>
      <c r="D160" s="234"/>
      <c r="G160" s="66"/>
    </row>
    <row r="161" spans="2:7" s="75" customFormat="1" x14ac:dyDescent="0.2">
      <c r="B161" s="234"/>
      <c r="C161" s="234"/>
      <c r="D161" s="234"/>
      <c r="G161" s="66"/>
    </row>
    <row r="162" spans="2:7" s="75" customFormat="1" x14ac:dyDescent="0.2">
      <c r="B162" s="234"/>
      <c r="C162" s="234"/>
      <c r="D162" s="234"/>
      <c r="G162" s="66"/>
    </row>
  </sheetData>
  <sheetProtection selectLockedCells="1"/>
  <mergeCells count="11">
    <mergeCell ref="B2:F2"/>
    <mergeCell ref="B19:B20"/>
    <mergeCell ref="C19:C20"/>
    <mergeCell ref="D19:E19"/>
    <mergeCell ref="G19:G20"/>
    <mergeCell ref="B3:E3"/>
    <mergeCell ref="B59:B60"/>
    <mergeCell ref="C59:C60"/>
    <mergeCell ref="D59:E59"/>
    <mergeCell ref="G59:G60"/>
    <mergeCell ref="H59:H60"/>
  </mergeCells>
  <dataValidations count="2">
    <dataValidation allowBlank="1" showInputMessage="1" showErrorMessage="1" prompt="Consultar instructivo HIDROLOGÍA APLICADA A LAS PEQUEÑAS OBRAS HIDRÁULICAS" sqref="C9:C10" xr:uid="{00000000-0002-0000-0C00-000000000000}"/>
    <dataValidation allowBlank="1" showInputMessage="1" showErrorMessage="1" prompt="Introducir en porciento de Q a considerar, es recomendable tomar el 40% del gasto total." sqref="B11" xr:uid="{00000000-0002-0000-0C00-000001000000}"/>
  </dataValidation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2533" r:id="rId4" name="Drop Down 5">
              <controlPr locked="0" defaultSize="0" autoLine="0" autoPict="0">
                <anchor moveWithCells="1">
                  <from>
                    <xdr:col>1</xdr:col>
                    <xdr:colOff>0</xdr:colOff>
                    <xdr:row>6</xdr:row>
                    <xdr:rowOff>9525</xdr:rowOff>
                  </from>
                  <to>
                    <xdr:col>2</xdr:col>
                    <xdr:colOff>0</xdr:colOff>
                    <xdr:row>7</xdr:row>
                    <xdr:rowOff>9525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tabColor rgb="FF00B050"/>
  </sheetPr>
  <dimension ref="A1:D9"/>
  <sheetViews>
    <sheetView workbookViewId="0">
      <selection activeCell="C7" sqref="C7"/>
    </sheetView>
  </sheetViews>
  <sheetFormatPr defaultColWidth="0" defaultRowHeight="15.75" zeroHeight="1" x14ac:dyDescent="0.2"/>
  <cols>
    <col min="1" max="1" width="6.3203125" style="241" customWidth="1"/>
    <col min="2" max="2" width="38.875" style="241" bestFit="1" customWidth="1"/>
    <col min="3" max="3" width="32.6875" style="241" bestFit="1" customWidth="1"/>
    <col min="4" max="4" width="6.72265625" style="241" customWidth="1"/>
    <col min="5" max="16384" width="11.43359375" style="241" hidden="1"/>
  </cols>
  <sheetData>
    <row r="1" spans="1:4" x14ac:dyDescent="0.2">
      <c r="A1" s="56"/>
      <c r="B1" s="56"/>
      <c r="C1" s="56"/>
      <c r="D1" s="56"/>
    </row>
    <row r="2" spans="1:4" x14ac:dyDescent="0.2">
      <c r="A2" s="56"/>
      <c r="B2" s="461" t="s">
        <v>349</v>
      </c>
      <c r="C2" s="461"/>
      <c r="D2" s="170"/>
    </row>
    <row r="3" spans="1:4" ht="21" x14ac:dyDescent="0.2">
      <c r="A3" s="56"/>
      <c r="B3" s="240" t="s">
        <v>348</v>
      </c>
      <c r="C3" s="240" t="s">
        <v>350</v>
      </c>
      <c r="D3" s="242"/>
    </row>
    <row r="4" spans="1:4" x14ac:dyDescent="0.2">
      <c r="A4" s="242"/>
      <c r="B4" s="175" t="s">
        <v>344</v>
      </c>
      <c r="C4" s="26">
        <f>'MÉTODO RACIONAL'!C12</f>
        <v>13.531637041666672</v>
      </c>
      <c r="D4" s="242"/>
    </row>
    <row r="5" spans="1:4" x14ac:dyDescent="0.2">
      <c r="A5" s="243"/>
      <c r="B5" s="245" t="s">
        <v>345</v>
      </c>
      <c r="C5" s="246">
        <f>'RACIONAL MODIFICADO'!D19</f>
        <v>23.070739465506684</v>
      </c>
      <c r="D5" s="243"/>
    </row>
    <row r="6" spans="1:4" x14ac:dyDescent="0.2">
      <c r="A6" s="242"/>
      <c r="B6" s="175" t="s">
        <v>359</v>
      </c>
      <c r="C6" s="26">
        <f>'RESULT SECCIÓN TRANSVERSAL'!G16</f>
        <v>367.74089668439495</v>
      </c>
      <c r="D6" s="242"/>
    </row>
    <row r="7" spans="1:4" x14ac:dyDescent="0.2">
      <c r="A7" s="242"/>
      <c r="B7" s="244" t="s">
        <v>346</v>
      </c>
      <c r="C7" s="246">
        <f>CREAGER!C10</f>
        <v>85.462907532598805</v>
      </c>
      <c r="D7" s="242"/>
    </row>
    <row r="8" spans="1:4" x14ac:dyDescent="0.2">
      <c r="A8" s="242"/>
      <c r="B8" s="175" t="s">
        <v>347</v>
      </c>
      <c r="C8" s="26">
        <f>'LOWRY)'!C10</f>
        <v>7.1033892889293657</v>
      </c>
      <c r="D8" s="242"/>
    </row>
    <row r="9" spans="1:4" x14ac:dyDescent="0.2">
      <c r="A9" s="242"/>
      <c r="B9" s="56"/>
      <c r="C9" s="56"/>
      <c r="D9" s="242"/>
    </row>
  </sheetData>
  <sheetProtection sheet="1" objects="1" scenarios="1" selectLockedCells="1"/>
  <mergeCells count="1">
    <mergeCell ref="B2:C2"/>
  </mergeCells>
  <pageMargins left="0.7" right="0.7" top="0.75" bottom="0.75" header="0.3" footer="0.3"/>
  <pageSetup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499984740745262"/>
  </sheetPr>
  <dimension ref="A1:AX66"/>
  <sheetViews>
    <sheetView zoomScale="85" zoomScaleNormal="85" workbookViewId="0">
      <selection activeCell="G22" sqref="G22"/>
    </sheetView>
  </sheetViews>
  <sheetFormatPr defaultColWidth="0" defaultRowHeight="15.75" zeroHeight="1" x14ac:dyDescent="0.2"/>
  <cols>
    <col min="1" max="1" width="9.14453125" style="295" customWidth="1"/>
    <col min="2" max="2" width="54.078125" style="295" customWidth="1"/>
    <col min="3" max="3" width="13.5859375" style="295" customWidth="1"/>
    <col min="4" max="8" width="13.98828125" style="295" customWidth="1"/>
    <col min="9" max="9" width="7.80078125" style="295" customWidth="1"/>
    <col min="10" max="10" width="13.98828125" style="295" customWidth="1"/>
    <col min="11" max="11" width="16.94921875" style="296" bestFit="1" customWidth="1"/>
    <col min="12" max="12" width="39.546875" style="295" bestFit="1" customWidth="1"/>
    <col min="13" max="13" width="7.26171875" style="295" customWidth="1"/>
    <col min="14" max="14" width="8.609375" style="295" bestFit="1" customWidth="1"/>
    <col min="15" max="15" width="9.28125" style="295" bestFit="1" customWidth="1"/>
    <col min="16" max="16" width="9.14453125" style="295" customWidth="1"/>
    <col min="17" max="17" width="18.5625" style="296" bestFit="1" customWidth="1"/>
    <col min="18" max="18" width="40.22265625" style="295" bestFit="1" customWidth="1"/>
    <col min="19" max="21" width="9.14453125" style="295" bestFit="1" customWidth="1"/>
    <col min="22" max="22" width="4.9765625" style="295" bestFit="1" customWidth="1"/>
    <col min="23" max="23" width="7.93359375" style="295" customWidth="1"/>
    <col min="24" max="24" width="5.24609375" style="295" customWidth="1"/>
    <col min="25" max="50" width="0" style="295" hidden="1" customWidth="1"/>
    <col min="51" max="16384" width="11.43359375" style="295" hidden="1"/>
  </cols>
  <sheetData>
    <row r="1" spans="1:50" x14ac:dyDescent="0.2">
      <c r="A1" s="85"/>
      <c r="B1" s="85"/>
      <c r="C1" s="480"/>
      <c r="D1" s="480"/>
      <c r="E1" s="480"/>
      <c r="F1" s="480"/>
      <c r="G1" s="480"/>
      <c r="H1" s="480"/>
      <c r="I1" s="294"/>
      <c r="J1" s="301"/>
      <c r="K1" s="328"/>
      <c r="L1" s="301"/>
      <c r="M1" s="301"/>
      <c r="N1" s="301"/>
      <c r="O1" s="301"/>
      <c r="P1" s="301"/>
      <c r="Q1" s="328"/>
      <c r="R1" s="301"/>
      <c r="S1" s="301"/>
      <c r="T1" s="301"/>
      <c r="U1" s="301"/>
      <c r="V1" s="301"/>
      <c r="W1" s="301"/>
      <c r="X1" s="301"/>
      <c r="Y1" s="301"/>
      <c r="Z1" s="301"/>
      <c r="AA1" s="301"/>
      <c r="AB1" s="301"/>
      <c r="AC1" s="301"/>
      <c r="AD1" s="301"/>
      <c r="AE1" s="301"/>
      <c r="AF1" s="301"/>
      <c r="AG1" s="301"/>
      <c r="AH1" s="301"/>
      <c r="AI1" s="301"/>
      <c r="AJ1" s="301"/>
      <c r="AK1" s="301"/>
      <c r="AL1" s="301"/>
      <c r="AM1" s="301"/>
      <c r="AN1" s="301"/>
      <c r="AO1" s="301"/>
      <c r="AP1" s="301"/>
      <c r="AQ1" s="301"/>
      <c r="AR1" s="301"/>
      <c r="AS1" s="301"/>
      <c r="AT1" s="301"/>
      <c r="AU1" s="301"/>
      <c r="AV1" s="301"/>
      <c r="AW1" s="301"/>
      <c r="AX1" s="301"/>
    </row>
    <row r="2" spans="1:50" x14ac:dyDescent="0.2">
      <c r="A2" s="85"/>
      <c r="B2" s="461" t="s">
        <v>514</v>
      </c>
      <c r="C2" s="461"/>
      <c r="D2" s="461"/>
      <c r="E2" s="461"/>
      <c r="F2" s="461"/>
      <c r="G2" s="461"/>
      <c r="H2" s="461"/>
      <c r="I2" s="294"/>
      <c r="J2" s="301"/>
      <c r="K2" s="328"/>
      <c r="L2" s="301"/>
      <c r="M2" s="301"/>
      <c r="N2" s="301"/>
      <c r="O2" s="301"/>
      <c r="P2" s="301"/>
      <c r="Q2" s="328"/>
      <c r="R2" s="301"/>
      <c r="S2" s="301"/>
      <c r="T2" s="301"/>
      <c r="U2" s="301"/>
      <c r="V2" s="301"/>
      <c r="W2" s="301"/>
      <c r="X2" s="301"/>
      <c r="Y2" s="301"/>
      <c r="Z2" s="301"/>
      <c r="AA2" s="301"/>
      <c r="AB2" s="301"/>
      <c r="AC2" s="301"/>
      <c r="AD2" s="301"/>
      <c r="AE2" s="301"/>
      <c r="AF2" s="301"/>
      <c r="AG2" s="301"/>
      <c r="AH2" s="301"/>
      <c r="AI2" s="301"/>
      <c r="AJ2" s="301"/>
      <c r="AK2" s="301"/>
      <c r="AL2" s="301"/>
      <c r="AM2" s="301"/>
      <c r="AN2" s="301"/>
      <c r="AO2" s="301"/>
      <c r="AP2" s="301"/>
      <c r="AQ2" s="301"/>
      <c r="AR2" s="301"/>
      <c r="AS2" s="301"/>
      <c r="AT2" s="301"/>
      <c r="AU2" s="301"/>
      <c r="AV2" s="301"/>
      <c r="AW2" s="301"/>
      <c r="AX2" s="301"/>
    </row>
    <row r="3" spans="1:50" ht="15.75" customHeight="1" x14ac:dyDescent="0.2">
      <c r="A3" s="85"/>
      <c r="B3" s="460" t="s">
        <v>471</v>
      </c>
      <c r="C3" s="460"/>
      <c r="D3" s="460"/>
      <c r="E3" s="460"/>
      <c r="F3" s="460"/>
      <c r="G3" s="460"/>
      <c r="H3" s="460"/>
      <c r="I3" s="294"/>
      <c r="J3" s="301"/>
      <c r="K3" s="328"/>
      <c r="L3" s="301"/>
      <c r="M3" s="301"/>
      <c r="N3" s="301"/>
      <c r="O3" s="301"/>
      <c r="P3" s="301"/>
      <c r="Q3" s="328"/>
      <c r="R3" s="301"/>
      <c r="S3" s="301"/>
      <c r="T3" s="301"/>
      <c r="U3" s="301"/>
      <c r="V3" s="301"/>
      <c r="W3" s="301"/>
      <c r="X3" s="301"/>
      <c r="Y3" s="301"/>
      <c r="Z3" s="301"/>
      <c r="AA3" s="301"/>
      <c r="AB3" s="301"/>
      <c r="AC3" s="301"/>
      <c r="AD3" s="301"/>
      <c r="AE3" s="301"/>
      <c r="AF3" s="301"/>
      <c r="AG3" s="301"/>
      <c r="AH3" s="301"/>
      <c r="AI3" s="301"/>
      <c r="AJ3" s="301"/>
      <c r="AK3" s="301"/>
      <c r="AL3" s="301"/>
      <c r="AM3" s="301"/>
      <c r="AN3" s="301"/>
      <c r="AO3" s="301"/>
      <c r="AP3" s="301"/>
      <c r="AQ3" s="301"/>
      <c r="AR3" s="301"/>
      <c r="AS3" s="301"/>
      <c r="AT3" s="301"/>
      <c r="AU3" s="301"/>
      <c r="AV3" s="301"/>
      <c r="AW3" s="301"/>
      <c r="AX3" s="301"/>
    </row>
    <row r="4" spans="1:50" ht="12.75" customHeight="1" x14ac:dyDescent="0.2">
      <c r="A4" s="85"/>
      <c r="B4" s="481" t="s">
        <v>469</v>
      </c>
      <c r="C4" s="481"/>
      <c r="D4" s="481"/>
      <c r="E4" s="481"/>
      <c r="F4" s="481"/>
      <c r="G4" s="481"/>
      <c r="H4" s="481"/>
      <c r="I4" s="294"/>
      <c r="J4" s="301"/>
      <c r="K4" s="328"/>
      <c r="L4" s="301"/>
      <c r="M4" s="301"/>
      <c r="N4" s="301"/>
      <c r="O4" s="301"/>
      <c r="P4" s="301"/>
      <c r="Q4" s="462" t="s">
        <v>460</v>
      </c>
      <c r="R4" s="462" t="s">
        <v>465</v>
      </c>
      <c r="S4" s="470" t="s">
        <v>464</v>
      </c>
      <c r="T4" s="471"/>
      <c r="U4" s="472"/>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row>
    <row r="5" spans="1:50" ht="12.75" customHeight="1" x14ac:dyDescent="0.2">
      <c r="A5" s="85"/>
      <c r="B5" s="481"/>
      <c r="C5" s="481"/>
      <c r="D5" s="481"/>
      <c r="E5" s="481"/>
      <c r="F5" s="481"/>
      <c r="G5" s="481"/>
      <c r="H5" s="481"/>
      <c r="I5" s="294"/>
      <c r="J5" s="301"/>
      <c r="K5" s="328"/>
      <c r="L5" s="301"/>
      <c r="M5" s="301"/>
      <c r="N5" s="301"/>
      <c r="O5" s="301"/>
      <c r="P5" s="301"/>
      <c r="Q5" s="464"/>
      <c r="R5" s="463"/>
      <c r="S5" s="340" t="s">
        <v>463</v>
      </c>
      <c r="T5" s="340" t="s">
        <v>462</v>
      </c>
      <c r="U5" s="340" t="s">
        <v>461</v>
      </c>
      <c r="V5" s="301"/>
      <c r="W5" s="301"/>
      <c r="X5" s="301"/>
      <c r="Y5" s="301"/>
      <c r="Z5" s="301"/>
      <c r="AA5" s="301"/>
      <c r="AB5" s="301"/>
      <c r="AC5" s="301"/>
      <c r="AD5" s="301"/>
      <c r="AE5" s="301"/>
      <c r="AF5" s="301"/>
      <c r="AG5" s="301"/>
      <c r="AH5" s="301"/>
      <c r="AI5" s="301"/>
      <c r="AJ5" s="301"/>
      <c r="AK5" s="301"/>
      <c r="AL5" s="301"/>
      <c r="AM5" s="301"/>
      <c r="AN5" s="301"/>
      <c r="AO5" s="301"/>
      <c r="AP5" s="301"/>
      <c r="AQ5" s="301"/>
      <c r="AR5" s="301"/>
      <c r="AS5" s="301"/>
      <c r="AT5" s="301"/>
      <c r="AU5" s="301"/>
      <c r="AV5" s="301"/>
      <c r="AW5" s="301"/>
      <c r="AX5" s="301"/>
    </row>
    <row r="6" spans="1:50" ht="12.75" customHeight="1" x14ac:dyDescent="0.2">
      <c r="A6" s="85"/>
      <c r="B6" s="481" t="s">
        <v>468</v>
      </c>
      <c r="C6" s="481"/>
      <c r="D6" s="481"/>
      <c r="E6" s="481"/>
      <c r="F6" s="481"/>
      <c r="G6" s="481"/>
      <c r="H6" s="481"/>
      <c r="I6" s="294"/>
      <c r="J6" s="301"/>
      <c r="K6" s="328"/>
      <c r="L6" s="301"/>
      <c r="M6" s="301"/>
      <c r="N6" s="301"/>
      <c r="O6" s="301"/>
      <c r="P6" s="301"/>
      <c r="Q6" s="463"/>
      <c r="R6" s="302" t="s">
        <v>459</v>
      </c>
      <c r="S6" s="330">
        <v>1</v>
      </c>
      <c r="T6" s="330">
        <v>2</v>
      </c>
      <c r="U6" s="330">
        <v>3</v>
      </c>
      <c r="V6" s="301"/>
      <c r="W6" s="301"/>
      <c r="X6" s="301"/>
      <c r="Y6" s="301"/>
      <c r="Z6" s="301"/>
      <c r="AA6" s="301"/>
      <c r="AB6" s="301"/>
      <c r="AC6" s="301"/>
      <c r="AD6" s="301"/>
      <c r="AE6" s="301"/>
      <c r="AF6" s="301"/>
      <c r="AG6" s="301"/>
      <c r="AH6" s="301"/>
      <c r="AI6" s="301"/>
      <c r="AJ6" s="301"/>
      <c r="AK6" s="301"/>
      <c r="AL6" s="301"/>
      <c r="AM6" s="301"/>
      <c r="AN6" s="301"/>
      <c r="AO6" s="301"/>
      <c r="AP6" s="301"/>
      <c r="AQ6" s="301"/>
      <c r="AR6" s="301"/>
      <c r="AS6" s="301"/>
      <c r="AT6" s="301"/>
      <c r="AU6" s="301"/>
      <c r="AV6" s="301"/>
      <c r="AW6" s="301"/>
      <c r="AX6" s="301"/>
    </row>
    <row r="7" spans="1:50" ht="12.75" customHeight="1" x14ac:dyDescent="0.2">
      <c r="A7" s="85"/>
      <c r="B7" s="481"/>
      <c r="C7" s="481"/>
      <c r="D7" s="481"/>
      <c r="E7" s="481"/>
      <c r="F7" s="481"/>
      <c r="G7" s="481"/>
      <c r="H7" s="481"/>
      <c r="I7" s="294"/>
      <c r="J7" s="301"/>
      <c r="K7" s="328"/>
      <c r="L7" s="301"/>
      <c r="M7" s="301"/>
      <c r="N7" s="301"/>
      <c r="O7" s="301"/>
      <c r="P7" s="301"/>
      <c r="Q7" s="330">
        <v>1</v>
      </c>
      <c r="R7" s="302" t="s">
        <v>457</v>
      </c>
      <c r="S7" s="341">
        <v>5.0000000000000001E-3</v>
      </c>
      <c r="T7" s="341">
        <v>3.0000000000000001E-3</v>
      </c>
      <c r="U7" s="341">
        <v>2E-3</v>
      </c>
      <c r="V7" s="301"/>
      <c r="W7" s="301"/>
      <c r="X7" s="301"/>
      <c r="Y7" s="301"/>
      <c r="Z7" s="301"/>
      <c r="AA7" s="301"/>
      <c r="AB7" s="301"/>
      <c r="AC7" s="301"/>
      <c r="AD7" s="301"/>
      <c r="AE7" s="301"/>
      <c r="AF7" s="301"/>
      <c r="AG7" s="301"/>
      <c r="AH7" s="301"/>
      <c r="AI7" s="301"/>
      <c r="AJ7" s="301"/>
      <c r="AK7" s="301"/>
      <c r="AL7" s="301"/>
      <c r="AM7" s="301"/>
      <c r="AN7" s="301"/>
      <c r="AO7" s="301"/>
      <c r="AP7" s="301"/>
      <c r="AQ7" s="301"/>
      <c r="AR7" s="301"/>
      <c r="AS7" s="301"/>
      <c r="AT7" s="301"/>
      <c r="AU7" s="301"/>
      <c r="AV7" s="301"/>
      <c r="AW7" s="301"/>
      <c r="AX7" s="301"/>
    </row>
    <row r="8" spans="1:50" ht="12.75" customHeight="1" x14ac:dyDescent="0.2">
      <c r="A8" s="85"/>
      <c r="B8" s="481" t="s">
        <v>472</v>
      </c>
      <c r="C8" s="481"/>
      <c r="D8" s="481"/>
      <c r="E8" s="481"/>
      <c r="F8" s="481"/>
      <c r="G8" s="481"/>
      <c r="H8" s="481"/>
      <c r="I8" s="294"/>
      <c r="J8" s="316"/>
      <c r="K8" s="328"/>
      <c r="L8" s="301"/>
      <c r="M8" s="301"/>
      <c r="N8" s="301"/>
      <c r="O8" s="301"/>
      <c r="P8" s="301"/>
      <c r="Q8" s="330">
        <v>2</v>
      </c>
      <c r="R8" s="302" t="s">
        <v>456</v>
      </c>
      <c r="S8" s="341">
        <v>1.6E-2</v>
      </c>
      <c r="T8" s="341">
        <v>1.4E-2</v>
      </c>
      <c r="U8" s="341">
        <v>0.01</v>
      </c>
      <c r="V8" s="301"/>
      <c r="W8" s="301"/>
      <c r="X8" s="301"/>
      <c r="Y8" s="301"/>
      <c r="Z8" s="301"/>
      <c r="AA8" s="301"/>
      <c r="AB8" s="301"/>
      <c r="AC8" s="301"/>
      <c r="AD8" s="301"/>
      <c r="AE8" s="301"/>
      <c r="AF8" s="301"/>
      <c r="AG8" s="301"/>
      <c r="AH8" s="301"/>
      <c r="AI8" s="301"/>
      <c r="AJ8" s="301"/>
      <c r="AK8" s="301"/>
      <c r="AL8" s="301"/>
      <c r="AM8" s="301"/>
      <c r="AN8" s="301"/>
      <c r="AO8" s="301"/>
      <c r="AP8" s="301"/>
      <c r="AQ8" s="301"/>
      <c r="AR8" s="301"/>
      <c r="AS8" s="301"/>
      <c r="AT8" s="301"/>
      <c r="AU8" s="301"/>
      <c r="AV8" s="301"/>
      <c r="AW8" s="301"/>
      <c r="AX8" s="301"/>
    </row>
    <row r="9" spans="1:50" ht="12.75" customHeight="1" x14ac:dyDescent="0.2">
      <c r="A9" s="85"/>
      <c r="B9" s="481"/>
      <c r="C9" s="481"/>
      <c r="D9" s="481"/>
      <c r="E9" s="481"/>
      <c r="F9" s="481"/>
      <c r="G9" s="481"/>
      <c r="H9" s="481"/>
      <c r="I9" s="294"/>
      <c r="J9" s="301"/>
      <c r="K9" s="328"/>
      <c r="L9" s="301"/>
      <c r="M9" s="301"/>
      <c r="N9" s="301"/>
      <c r="O9" s="301"/>
      <c r="P9" s="301"/>
      <c r="Q9" s="330">
        <v>3</v>
      </c>
      <c r="R9" s="302" t="s">
        <v>455</v>
      </c>
      <c r="S9" s="341">
        <v>4.2000000000000003E-2</v>
      </c>
      <c r="T9" s="341">
        <v>3.5999999999999997E-2</v>
      </c>
      <c r="U9" s="341">
        <v>2.8000000000000001E-2</v>
      </c>
      <c r="V9" s="301"/>
      <c r="W9" s="301"/>
      <c r="X9" s="301"/>
      <c r="Y9" s="301"/>
      <c r="Z9" s="301"/>
      <c r="AA9" s="301"/>
      <c r="AB9" s="301"/>
      <c r="AC9" s="301"/>
      <c r="AD9" s="301"/>
      <c r="AE9" s="301"/>
      <c r="AF9" s="301"/>
      <c r="AG9" s="301"/>
      <c r="AH9" s="301"/>
      <c r="AI9" s="301"/>
      <c r="AJ9" s="301"/>
      <c r="AK9" s="301"/>
      <c r="AL9" s="301"/>
      <c r="AM9" s="301"/>
      <c r="AN9" s="301"/>
      <c r="AO9" s="301"/>
      <c r="AP9" s="301"/>
      <c r="AQ9" s="301"/>
      <c r="AR9" s="301"/>
      <c r="AS9" s="301"/>
      <c r="AT9" s="301"/>
      <c r="AU9" s="301"/>
      <c r="AV9" s="301"/>
      <c r="AW9" s="301"/>
      <c r="AX9" s="301"/>
    </row>
    <row r="10" spans="1:50" ht="15.75" customHeight="1" x14ac:dyDescent="0.2">
      <c r="A10" s="85"/>
      <c r="B10" s="474" t="s">
        <v>481</v>
      </c>
      <c r="C10" s="474"/>
      <c r="D10" s="474"/>
      <c r="E10" s="474"/>
      <c r="F10" s="474"/>
      <c r="G10" s="474"/>
      <c r="H10" s="474"/>
      <c r="I10" s="294"/>
      <c r="J10" s="301"/>
      <c r="K10" s="328"/>
      <c r="L10" s="301"/>
      <c r="M10" s="301"/>
      <c r="N10" s="301"/>
      <c r="O10" s="301"/>
      <c r="P10" s="301"/>
      <c r="Q10" s="330">
        <v>4</v>
      </c>
      <c r="R10" s="302" t="s">
        <v>453</v>
      </c>
      <c r="S10" s="341">
        <v>1.2E-2</v>
      </c>
      <c r="T10" s="341">
        <v>0.01</v>
      </c>
      <c r="U10" s="341">
        <v>8.0000000000000002E-3</v>
      </c>
      <c r="V10" s="301"/>
      <c r="W10" s="301"/>
      <c r="X10" s="301"/>
      <c r="Y10" s="301"/>
      <c r="Z10" s="301"/>
      <c r="AA10" s="301"/>
      <c r="AB10" s="301"/>
      <c r="AC10" s="301"/>
      <c r="AD10" s="301"/>
      <c r="AE10" s="301"/>
      <c r="AF10" s="301"/>
      <c r="AG10" s="301"/>
      <c r="AH10" s="301"/>
      <c r="AI10" s="301"/>
      <c r="AJ10" s="301"/>
      <c r="AK10" s="301"/>
      <c r="AL10" s="301"/>
      <c r="AM10" s="301"/>
      <c r="AN10" s="301"/>
      <c r="AO10" s="301"/>
      <c r="AP10" s="301"/>
      <c r="AQ10" s="301"/>
      <c r="AR10" s="301"/>
      <c r="AS10" s="301"/>
      <c r="AT10" s="301"/>
      <c r="AU10" s="301"/>
      <c r="AV10" s="301"/>
      <c r="AW10" s="301"/>
      <c r="AX10" s="301"/>
    </row>
    <row r="11" spans="1:50" ht="21" customHeight="1" x14ac:dyDescent="0.2">
      <c r="A11" s="85"/>
      <c r="B11" s="474"/>
      <c r="C11" s="474"/>
      <c r="D11" s="474"/>
      <c r="E11" s="474"/>
      <c r="F11" s="474"/>
      <c r="G11" s="474"/>
      <c r="H11" s="474"/>
      <c r="I11" s="294"/>
      <c r="J11" s="301"/>
      <c r="K11" s="328"/>
      <c r="L11" s="301"/>
      <c r="M11" s="301"/>
      <c r="N11" s="301"/>
      <c r="O11" s="301"/>
      <c r="P11" s="301"/>
      <c r="Q11" s="330">
        <v>5</v>
      </c>
      <c r="R11" s="302" t="s">
        <v>449</v>
      </c>
      <c r="S11" s="341">
        <v>2.4E-2</v>
      </c>
      <c r="T11" s="341">
        <v>0.02</v>
      </c>
      <c r="U11" s="341">
        <v>1.6E-2</v>
      </c>
      <c r="V11" s="301"/>
      <c r="W11" s="301"/>
      <c r="X11" s="301"/>
      <c r="Y11" s="301"/>
      <c r="Z11" s="301"/>
      <c r="AA11" s="301"/>
      <c r="AB11" s="301"/>
      <c r="AC11" s="301"/>
      <c r="AD11" s="301"/>
      <c r="AE11" s="301"/>
      <c r="AF11" s="301"/>
      <c r="AG11" s="301"/>
      <c r="AH11" s="301"/>
      <c r="AI11" s="301"/>
      <c r="AJ11" s="301"/>
      <c r="AK11" s="301"/>
      <c r="AL11" s="301"/>
      <c r="AM11" s="301"/>
      <c r="AN11" s="301"/>
      <c r="AO11" s="301"/>
      <c r="AP11" s="301"/>
      <c r="AQ11" s="301"/>
      <c r="AR11" s="301"/>
      <c r="AS11" s="301"/>
      <c r="AT11" s="301"/>
      <c r="AU11" s="301"/>
      <c r="AV11" s="301"/>
      <c r="AW11" s="301"/>
      <c r="AX11" s="301"/>
    </row>
    <row r="12" spans="1:50" ht="21" customHeight="1" x14ac:dyDescent="0.2">
      <c r="A12" s="85"/>
      <c r="B12" s="301"/>
      <c r="C12" s="301"/>
      <c r="D12" s="301"/>
      <c r="E12" s="301"/>
      <c r="F12" s="301"/>
      <c r="G12" s="301"/>
      <c r="H12" s="301"/>
      <c r="I12" s="294"/>
      <c r="J12" s="301"/>
      <c r="K12" s="328"/>
      <c r="L12" s="301"/>
      <c r="M12" s="301"/>
      <c r="N12" s="301"/>
      <c r="O12" s="301"/>
      <c r="P12" s="301"/>
      <c r="Q12" s="330">
        <v>6</v>
      </c>
      <c r="R12" s="302" t="s">
        <v>447</v>
      </c>
      <c r="S12" s="341">
        <v>4.3999999999999997E-2</v>
      </c>
      <c r="T12" s="341">
        <v>3.7999999999999999E-2</v>
      </c>
      <c r="U12" s="341">
        <v>0.03</v>
      </c>
      <c r="V12" s="301"/>
      <c r="W12" s="301"/>
      <c r="X12" s="301"/>
      <c r="Y12" s="301"/>
      <c r="Z12" s="301"/>
      <c r="AA12" s="301"/>
      <c r="AB12" s="301"/>
      <c r="AC12" s="301"/>
      <c r="AD12" s="301"/>
      <c r="AE12" s="301"/>
      <c r="AF12" s="301"/>
      <c r="AG12" s="301"/>
      <c r="AH12" s="301"/>
      <c r="AI12" s="301"/>
      <c r="AJ12" s="301"/>
      <c r="AK12" s="301"/>
      <c r="AL12" s="301"/>
      <c r="AM12" s="301"/>
      <c r="AN12" s="301"/>
      <c r="AO12" s="301"/>
      <c r="AP12" s="301"/>
      <c r="AQ12" s="301"/>
      <c r="AR12" s="301"/>
      <c r="AS12" s="301"/>
      <c r="AT12" s="301"/>
      <c r="AU12" s="301"/>
      <c r="AV12" s="301"/>
      <c r="AW12" s="301"/>
      <c r="AX12" s="301"/>
    </row>
    <row r="13" spans="1:50" x14ac:dyDescent="0.2">
      <c r="A13" s="85"/>
      <c r="B13" s="475" t="s">
        <v>467</v>
      </c>
      <c r="C13" s="476"/>
      <c r="D13" s="301"/>
      <c r="E13" s="301"/>
      <c r="F13" s="301"/>
      <c r="G13" s="301"/>
      <c r="H13" s="301"/>
      <c r="I13" s="294"/>
      <c r="J13" s="301"/>
      <c r="K13" s="328"/>
      <c r="L13" s="301"/>
      <c r="M13" s="301"/>
      <c r="N13" s="301"/>
      <c r="O13" s="301"/>
      <c r="P13" s="301"/>
      <c r="Q13" s="330">
        <v>7</v>
      </c>
      <c r="R13" s="302" t="s">
        <v>445</v>
      </c>
      <c r="S13" s="341">
        <v>2.7E-2</v>
      </c>
      <c r="T13" s="341">
        <v>2.4E-2</v>
      </c>
      <c r="U13" s="341">
        <v>1.9E-2</v>
      </c>
      <c r="V13" s="301"/>
      <c r="W13" s="301"/>
      <c r="X13" s="301"/>
      <c r="Y13" s="301"/>
      <c r="Z13" s="301"/>
      <c r="AA13" s="301"/>
      <c r="AB13" s="301"/>
      <c r="AC13" s="301"/>
      <c r="AD13" s="301"/>
      <c r="AE13" s="301"/>
      <c r="AF13" s="301"/>
      <c r="AG13" s="301"/>
      <c r="AH13" s="301"/>
      <c r="AI13" s="301"/>
      <c r="AJ13" s="301"/>
      <c r="AK13" s="301"/>
      <c r="AL13" s="301"/>
      <c r="AM13" s="301"/>
      <c r="AN13" s="301"/>
      <c r="AO13" s="301"/>
      <c r="AP13" s="301"/>
      <c r="AQ13" s="301"/>
      <c r="AR13" s="301"/>
      <c r="AS13" s="301"/>
      <c r="AT13" s="301"/>
      <c r="AU13" s="301"/>
      <c r="AV13" s="301"/>
      <c r="AW13" s="301"/>
      <c r="AX13" s="301"/>
    </row>
    <row r="14" spans="1:50" ht="30.75" customHeight="1" x14ac:dyDescent="0.2">
      <c r="A14" s="85"/>
      <c r="B14" s="298" t="s">
        <v>486</v>
      </c>
      <c r="C14" s="335">
        <v>8</v>
      </c>
      <c r="D14" s="303"/>
      <c r="E14" s="304"/>
      <c r="F14" s="304"/>
      <c r="G14" s="304"/>
      <c r="H14" s="304"/>
      <c r="I14" s="294"/>
      <c r="J14" s="301"/>
      <c r="K14" s="328"/>
      <c r="L14" s="301"/>
      <c r="M14" s="301"/>
      <c r="N14" s="301"/>
      <c r="O14" s="301"/>
      <c r="P14" s="301"/>
      <c r="Q14" s="330">
        <v>8</v>
      </c>
      <c r="R14" s="302" t="s">
        <v>444</v>
      </c>
      <c r="S14" s="341">
        <v>3.5000000000000003E-2</v>
      </c>
      <c r="T14" s="341">
        <v>0.03</v>
      </c>
      <c r="U14" s="341">
        <v>2.4E-2</v>
      </c>
      <c r="V14" s="301"/>
      <c r="W14" s="301"/>
      <c r="X14" s="301"/>
      <c r="Y14" s="301"/>
      <c r="Z14" s="301"/>
      <c r="AA14" s="301"/>
      <c r="AB14" s="301"/>
      <c r="AC14" s="301"/>
      <c r="AD14" s="301"/>
      <c r="AE14" s="301"/>
      <c r="AF14" s="301"/>
      <c r="AG14" s="301"/>
      <c r="AH14" s="301"/>
      <c r="AI14" s="301"/>
      <c r="AJ14" s="301"/>
      <c r="AK14" s="301"/>
      <c r="AL14" s="301"/>
      <c r="AM14" s="301"/>
      <c r="AN14" s="301"/>
      <c r="AO14" s="301"/>
      <c r="AP14" s="301"/>
      <c r="AQ14" s="301"/>
      <c r="AR14" s="301"/>
      <c r="AS14" s="301"/>
      <c r="AT14" s="301"/>
      <c r="AU14" s="301"/>
      <c r="AV14" s="301"/>
      <c r="AW14" s="301"/>
      <c r="AX14" s="301"/>
    </row>
    <row r="15" spans="1:50" hidden="1" x14ac:dyDescent="0.2">
      <c r="A15" s="85"/>
      <c r="B15" s="299" t="s">
        <v>466</v>
      </c>
      <c r="C15" s="336">
        <f>+IF(C14="","",LOOKUP(C14,Q46:Q59,T46:T59))</f>
        <v>1.9966999999999999</v>
      </c>
      <c r="D15" s="303"/>
      <c r="E15" s="304"/>
      <c r="F15" s="304"/>
      <c r="G15" s="304"/>
      <c r="H15" s="304"/>
      <c r="I15" s="294"/>
      <c r="J15" s="301"/>
      <c r="K15" s="328"/>
      <c r="L15" s="301"/>
      <c r="M15" s="301"/>
      <c r="N15" s="301"/>
      <c r="O15" s="301"/>
      <c r="P15" s="301"/>
      <c r="Q15" s="330">
        <v>9</v>
      </c>
      <c r="R15" s="302" t="s">
        <v>443</v>
      </c>
      <c r="S15" s="341">
        <v>4.7E-2</v>
      </c>
      <c r="T15" s="341">
        <v>4.1000000000000002E-2</v>
      </c>
      <c r="U15" s="341">
        <v>3.3000000000000002E-2</v>
      </c>
      <c r="V15" s="301"/>
      <c r="W15" s="301"/>
      <c r="X15" s="301"/>
      <c r="Y15" s="301"/>
      <c r="Z15" s="301"/>
      <c r="AA15" s="301"/>
      <c r="AB15" s="301"/>
      <c r="AC15" s="301"/>
      <c r="AD15" s="301"/>
      <c r="AE15" s="301"/>
      <c r="AF15" s="301"/>
      <c r="AG15" s="301"/>
      <c r="AH15" s="301"/>
      <c r="AI15" s="301"/>
      <c r="AJ15" s="301"/>
      <c r="AK15" s="301"/>
      <c r="AL15" s="301"/>
      <c r="AM15" s="301"/>
      <c r="AN15" s="301"/>
      <c r="AO15" s="301"/>
      <c r="AP15" s="301"/>
      <c r="AQ15" s="301"/>
      <c r="AR15" s="301"/>
      <c r="AS15" s="301"/>
      <c r="AT15" s="301"/>
      <c r="AU15" s="301"/>
      <c r="AV15" s="301"/>
      <c r="AW15" s="301"/>
      <c r="AX15" s="301"/>
    </row>
    <row r="16" spans="1:50" hidden="1" x14ac:dyDescent="0.2">
      <c r="A16" s="85"/>
      <c r="B16" s="299" t="s">
        <v>299</v>
      </c>
      <c r="C16" s="336">
        <f>+IF(C14="","",LOOKUP(C14,Q46:Q59,U46:U59))</f>
        <v>3.2699999999999999E-3</v>
      </c>
      <c r="D16" s="301"/>
      <c r="E16" s="301"/>
      <c r="F16" s="301"/>
      <c r="G16" s="301"/>
      <c r="H16" s="301"/>
      <c r="I16" s="294"/>
      <c r="J16" s="301"/>
      <c r="K16" s="328"/>
      <c r="L16" s="301"/>
      <c r="M16" s="301"/>
      <c r="N16" s="301"/>
      <c r="O16" s="301"/>
      <c r="P16" s="301"/>
      <c r="Q16" s="330">
        <v>10</v>
      </c>
      <c r="R16" s="302" t="s">
        <v>441</v>
      </c>
      <c r="S16" s="341">
        <v>3.7999999999999999E-2</v>
      </c>
      <c r="T16" s="341">
        <v>3.4000000000000002E-2</v>
      </c>
      <c r="U16" s="341">
        <v>2.9000000000000001E-2</v>
      </c>
      <c r="V16" s="301"/>
      <c r="W16" s="301"/>
      <c r="X16" s="301"/>
      <c r="Y16" s="301"/>
      <c r="Z16" s="301"/>
      <c r="AA16" s="301"/>
      <c r="AB16" s="301"/>
      <c r="AC16" s="301"/>
      <c r="AD16" s="301"/>
      <c r="AE16" s="301"/>
      <c r="AF16" s="301"/>
      <c r="AG16" s="301"/>
      <c r="AH16" s="301"/>
      <c r="AI16" s="301"/>
      <c r="AJ16" s="301"/>
      <c r="AK16" s="301"/>
      <c r="AL16" s="301"/>
      <c r="AM16" s="301"/>
      <c r="AN16" s="301"/>
      <c r="AO16" s="301"/>
      <c r="AP16" s="301"/>
      <c r="AQ16" s="301"/>
      <c r="AR16" s="301"/>
      <c r="AS16" s="301"/>
      <c r="AT16" s="301"/>
      <c r="AU16" s="301"/>
      <c r="AV16" s="301"/>
      <c r="AW16" s="301"/>
      <c r="AX16" s="301"/>
    </row>
    <row r="17" spans="1:50" x14ac:dyDescent="0.2">
      <c r="A17" s="85"/>
      <c r="B17" s="300" t="s">
        <v>129</v>
      </c>
      <c r="C17" s="335">
        <v>300</v>
      </c>
      <c r="D17" s="301"/>
      <c r="E17" s="301"/>
      <c r="F17" s="301"/>
      <c r="G17" s="301"/>
      <c r="H17" s="301"/>
      <c r="I17" s="294"/>
      <c r="J17" s="301"/>
      <c r="K17" s="328"/>
      <c r="L17" s="301"/>
      <c r="M17" s="301"/>
      <c r="N17" s="301"/>
      <c r="O17" s="301"/>
      <c r="P17" s="301"/>
      <c r="Q17" s="330">
        <v>11</v>
      </c>
      <c r="R17" s="302" t="s">
        <v>440</v>
      </c>
      <c r="S17" s="341">
        <v>4.8000000000000001E-2</v>
      </c>
      <c r="T17" s="341">
        <v>4.2000000000000003E-2</v>
      </c>
      <c r="U17" s="341">
        <v>3.3000000000000002E-2</v>
      </c>
      <c r="V17" s="301"/>
      <c r="W17" s="301"/>
      <c r="X17" s="301"/>
      <c r="Y17" s="301"/>
      <c r="Z17" s="301"/>
      <c r="AA17" s="301"/>
      <c r="AB17" s="301"/>
      <c r="AC17" s="301"/>
      <c r="AD17" s="301"/>
      <c r="AE17" s="301"/>
      <c r="AF17" s="301"/>
      <c r="AG17" s="301"/>
      <c r="AH17" s="301"/>
      <c r="AI17" s="301"/>
      <c r="AJ17" s="301"/>
      <c r="AK17" s="301"/>
      <c r="AL17" s="301"/>
      <c r="AM17" s="301"/>
      <c r="AN17" s="301"/>
      <c r="AO17" s="301"/>
      <c r="AP17" s="301"/>
      <c r="AQ17" s="301"/>
      <c r="AR17" s="301"/>
      <c r="AS17" s="301"/>
      <c r="AT17" s="301"/>
      <c r="AU17" s="301"/>
      <c r="AV17" s="301"/>
      <c r="AW17" s="301"/>
      <c r="AX17" s="301"/>
    </row>
    <row r="18" spans="1:50" x14ac:dyDescent="0.2">
      <c r="A18" s="85"/>
      <c r="B18" s="312" t="s">
        <v>458</v>
      </c>
      <c r="C18" s="313">
        <f>+C15*C17+(C16*POWER(C17,2))</f>
        <v>893.31</v>
      </c>
      <c r="D18" s="301"/>
      <c r="E18" s="301"/>
      <c r="F18" s="301"/>
      <c r="G18" s="301"/>
      <c r="H18" s="301"/>
      <c r="I18" s="294"/>
      <c r="J18" s="301"/>
      <c r="K18" s="328"/>
      <c r="L18" s="301"/>
      <c r="M18" s="301"/>
      <c r="N18" s="301"/>
      <c r="O18" s="301"/>
      <c r="P18" s="301"/>
      <c r="Q18" s="330">
        <v>12</v>
      </c>
      <c r="R18" s="302" t="s">
        <v>439</v>
      </c>
      <c r="S18" s="341">
        <v>0.06</v>
      </c>
      <c r="T18" s="341">
        <v>5.1999999999999998E-2</v>
      </c>
      <c r="U18" s="341">
        <v>4.2000000000000003E-2</v>
      </c>
      <c r="V18" s="301"/>
      <c r="W18" s="301"/>
      <c r="X18" s="301"/>
      <c r="Y18" s="301"/>
      <c r="Z18" s="301"/>
      <c r="AA18" s="301"/>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row>
    <row r="19" spans="1:50" x14ac:dyDescent="0.2">
      <c r="A19" s="85"/>
      <c r="B19" s="301"/>
      <c r="C19" s="301"/>
      <c r="D19" s="301"/>
      <c r="E19" s="301"/>
      <c r="F19" s="301"/>
      <c r="G19" s="301"/>
      <c r="H19" s="301"/>
      <c r="I19" s="294"/>
      <c r="J19" s="301"/>
      <c r="K19" s="328"/>
      <c r="L19" s="301"/>
      <c r="M19" s="301"/>
      <c r="N19" s="301"/>
      <c r="O19" s="301"/>
      <c r="P19" s="301"/>
      <c r="Q19" s="330">
        <v>13</v>
      </c>
      <c r="R19" s="302" t="s">
        <v>438</v>
      </c>
      <c r="S19" s="341">
        <v>2.7E-2</v>
      </c>
      <c r="T19" s="341">
        <v>2.5000000000000001E-2</v>
      </c>
      <c r="U19" s="341">
        <v>2.1000000000000001E-2</v>
      </c>
      <c r="V19" s="301"/>
      <c r="W19" s="301"/>
      <c r="X19" s="301"/>
      <c r="Y19" s="301"/>
      <c r="Z19" s="301"/>
      <c r="AA19" s="301"/>
      <c r="AB19" s="301"/>
      <c r="AC19" s="301"/>
      <c r="AD19" s="301"/>
      <c r="AE19" s="301"/>
      <c r="AF19" s="301"/>
      <c r="AG19" s="301"/>
      <c r="AH19" s="301"/>
      <c r="AI19" s="301"/>
      <c r="AJ19" s="301"/>
      <c r="AK19" s="301"/>
      <c r="AL19" s="301"/>
      <c r="AM19" s="301"/>
      <c r="AN19" s="301"/>
      <c r="AO19" s="301"/>
      <c r="AP19" s="301"/>
      <c r="AQ19" s="301"/>
      <c r="AR19" s="301"/>
      <c r="AS19" s="301"/>
      <c r="AT19" s="301"/>
      <c r="AU19" s="301"/>
      <c r="AV19" s="301"/>
      <c r="AW19" s="301"/>
      <c r="AX19" s="301"/>
    </row>
    <row r="20" spans="1:50" x14ac:dyDescent="0.2">
      <c r="A20" s="85"/>
      <c r="B20" s="475" t="s">
        <v>446</v>
      </c>
      <c r="C20" s="487"/>
      <c r="D20" s="487"/>
      <c r="E20" s="487"/>
      <c r="F20" s="487"/>
      <c r="G20" s="476"/>
      <c r="H20" s="301"/>
      <c r="I20" s="294"/>
      <c r="J20" s="301"/>
      <c r="K20" s="328"/>
      <c r="L20" s="301"/>
      <c r="M20" s="301"/>
      <c r="N20" s="301"/>
      <c r="O20" s="301"/>
      <c r="P20" s="301"/>
      <c r="Q20" s="330">
        <v>14</v>
      </c>
      <c r="R20" s="302" t="s">
        <v>437</v>
      </c>
      <c r="S20" s="341">
        <v>2.8000000000000001E-2</v>
      </c>
      <c r="T20" s="341">
        <v>2.5000000000000001E-2</v>
      </c>
      <c r="U20" s="341">
        <v>2.1000000000000001E-2</v>
      </c>
      <c r="V20" s="301"/>
      <c r="W20" s="301"/>
      <c r="X20" s="301"/>
      <c r="Y20" s="301"/>
      <c r="Z20" s="301"/>
      <c r="AA20" s="301"/>
      <c r="AB20" s="301"/>
      <c r="AC20" s="301"/>
      <c r="AD20" s="301"/>
      <c r="AE20" s="301"/>
      <c r="AF20" s="301"/>
      <c r="AG20" s="301"/>
      <c r="AH20" s="301"/>
      <c r="AI20" s="301"/>
      <c r="AJ20" s="301"/>
      <c r="AK20" s="301"/>
      <c r="AL20" s="301"/>
      <c r="AM20" s="301"/>
      <c r="AN20" s="301"/>
      <c r="AO20" s="301"/>
      <c r="AP20" s="301"/>
      <c r="AQ20" s="301"/>
      <c r="AR20" s="301"/>
      <c r="AS20" s="301"/>
      <c r="AT20" s="301"/>
      <c r="AU20" s="301"/>
      <c r="AV20" s="301"/>
      <c r="AW20" s="301"/>
      <c r="AX20" s="301"/>
    </row>
    <row r="21" spans="1:50" ht="16.5" thickBot="1" x14ac:dyDescent="0.25">
      <c r="A21" s="85"/>
      <c r="B21" s="488" t="s">
        <v>454</v>
      </c>
      <c r="C21" s="331" t="s">
        <v>382</v>
      </c>
      <c r="D21" s="331" t="s">
        <v>381</v>
      </c>
      <c r="E21" s="331" t="s">
        <v>380</v>
      </c>
      <c r="F21" s="331" t="s">
        <v>379</v>
      </c>
      <c r="G21" s="331" t="s">
        <v>378</v>
      </c>
      <c r="H21" s="301"/>
      <c r="I21" s="294"/>
      <c r="J21" s="301"/>
      <c r="K21" s="328"/>
      <c r="L21" s="301"/>
      <c r="M21" s="301"/>
      <c r="N21" s="301"/>
      <c r="O21" s="301"/>
      <c r="P21" s="301"/>
      <c r="Q21" s="330">
        <v>15</v>
      </c>
      <c r="R21" s="302" t="s">
        <v>435</v>
      </c>
      <c r="S21" s="341">
        <v>3.6999999999999998E-2</v>
      </c>
      <c r="T21" s="341">
        <v>3.2000000000000001E-2</v>
      </c>
      <c r="U21" s="341">
        <v>2.5999999999999999E-2</v>
      </c>
      <c r="V21" s="301"/>
      <c r="W21" s="301"/>
      <c r="X21" s="301"/>
      <c r="Y21" s="301"/>
      <c r="Z21" s="301"/>
      <c r="AA21" s="301"/>
      <c r="AB21" s="301"/>
      <c r="AC21" s="301"/>
      <c r="AD21" s="301"/>
      <c r="AE21" s="301"/>
      <c r="AF21" s="301"/>
      <c r="AG21" s="301"/>
      <c r="AH21" s="301"/>
      <c r="AI21" s="301"/>
      <c r="AJ21" s="301"/>
      <c r="AK21" s="301"/>
      <c r="AL21" s="301"/>
      <c r="AM21" s="301"/>
      <c r="AN21" s="301"/>
      <c r="AO21" s="301"/>
      <c r="AP21" s="301"/>
      <c r="AQ21" s="301"/>
      <c r="AR21" s="301"/>
      <c r="AS21" s="301"/>
      <c r="AT21" s="301"/>
      <c r="AU21" s="301"/>
      <c r="AV21" s="301"/>
      <c r="AW21" s="301"/>
      <c r="AX21" s="301"/>
    </row>
    <row r="22" spans="1:50" ht="16.5" thickBot="1" x14ac:dyDescent="0.25">
      <c r="A22" s="85"/>
      <c r="B22" s="489"/>
      <c r="C22" s="337" t="s">
        <v>452</v>
      </c>
      <c r="D22" s="346" t="s">
        <v>451</v>
      </c>
      <c r="E22" s="346" t="s">
        <v>450</v>
      </c>
      <c r="F22" s="347"/>
      <c r="G22" s="347"/>
      <c r="H22" s="306"/>
      <c r="I22" s="294"/>
      <c r="J22" s="301"/>
      <c r="K22" s="361" t="s">
        <v>507</v>
      </c>
      <c r="L22" s="362" t="s">
        <v>23</v>
      </c>
      <c r="M22" s="301"/>
      <c r="N22" s="301"/>
      <c r="O22" s="301"/>
      <c r="P22" s="301"/>
      <c r="Q22" s="330">
        <v>16</v>
      </c>
      <c r="R22" s="302" t="s">
        <v>434</v>
      </c>
      <c r="S22" s="341">
        <v>1.4E-2</v>
      </c>
      <c r="T22" s="341">
        <v>1.2999999999999999E-2</v>
      </c>
      <c r="U22" s="341">
        <v>1.2E-2</v>
      </c>
      <c r="V22" s="301"/>
      <c r="W22" s="301"/>
      <c r="X22" s="301"/>
      <c r="Y22" s="301"/>
      <c r="Z22" s="301"/>
      <c r="AA22" s="301"/>
      <c r="AB22" s="301"/>
      <c r="AC22" s="301"/>
      <c r="AD22" s="301"/>
      <c r="AE22" s="301"/>
      <c r="AF22" s="301"/>
      <c r="AG22" s="301"/>
      <c r="AH22" s="301"/>
      <c r="AI22" s="301"/>
      <c r="AJ22" s="301"/>
      <c r="AK22" s="301"/>
      <c r="AL22" s="301"/>
      <c r="AM22" s="301"/>
      <c r="AN22" s="301"/>
      <c r="AO22" s="301"/>
      <c r="AP22" s="301"/>
      <c r="AQ22" s="301"/>
      <c r="AR22" s="301"/>
      <c r="AS22" s="301"/>
      <c r="AT22" s="301"/>
      <c r="AU22" s="301"/>
      <c r="AV22" s="301"/>
      <c r="AW22" s="301"/>
      <c r="AX22" s="301"/>
    </row>
    <row r="23" spans="1:50" x14ac:dyDescent="0.2">
      <c r="A23" s="85"/>
      <c r="B23" s="300" t="s">
        <v>448</v>
      </c>
      <c r="C23" s="338">
        <v>3000</v>
      </c>
      <c r="D23" s="338">
        <v>4000</v>
      </c>
      <c r="E23" s="338">
        <v>3000</v>
      </c>
      <c r="F23" s="335"/>
      <c r="G23" s="335"/>
      <c r="H23" s="333">
        <f>+SUM(C23:G23)</f>
        <v>10000</v>
      </c>
      <c r="I23" s="294"/>
      <c r="J23" s="301"/>
      <c r="K23" s="363" t="s">
        <v>508</v>
      </c>
      <c r="L23" s="364">
        <v>0.2</v>
      </c>
      <c r="M23" s="301"/>
      <c r="N23" s="301"/>
      <c r="O23" s="301"/>
      <c r="P23" s="301"/>
      <c r="Q23" s="330">
        <v>17</v>
      </c>
      <c r="R23" s="302" t="s">
        <v>432</v>
      </c>
      <c r="S23" s="341">
        <v>2.5000000000000001E-2</v>
      </c>
      <c r="T23" s="341">
        <v>2.3E-2</v>
      </c>
      <c r="U23" s="341">
        <v>1.9E-2</v>
      </c>
      <c r="V23" s="301"/>
      <c r="W23" s="301"/>
      <c r="X23" s="301"/>
      <c r="Y23" s="301"/>
      <c r="Z23" s="301"/>
      <c r="AA23" s="301"/>
      <c r="AB23" s="301"/>
      <c r="AC23" s="301"/>
      <c r="AD23" s="301"/>
      <c r="AE23" s="301"/>
      <c r="AF23" s="301"/>
      <c r="AG23" s="301"/>
      <c r="AH23" s="301"/>
      <c r="AI23" s="301"/>
      <c r="AJ23" s="301"/>
      <c r="AK23" s="301"/>
      <c r="AL23" s="301"/>
      <c r="AM23" s="301"/>
      <c r="AN23" s="301"/>
      <c r="AO23" s="301"/>
      <c r="AP23" s="301"/>
      <c r="AQ23" s="301"/>
      <c r="AR23" s="301"/>
      <c r="AS23" s="301"/>
      <c r="AT23" s="301"/>
      <c r="AU23" s="301"/>
      <c r="AV23" s="301"/>
      <c r="AW23" s="301"/>
      <c r="AX23" s="301"/>
    </row>
    <row r="24" spans="1:50" x14ac:dyDescent="0.2">
      <c r="A24" s="85"/>
      <c r="B24" s="332" t="s">
        <v>446</v>
      </c>
      <c r="C24" s="315">
        <f ca="1">+IF(C26=1,LOOKUP(C25,Q7:Q24,S7:S24),IF(C26=2,LOOKUP(C25,Q7:Q24,T7:T23),IF(C26=3,LOOKUP(C25,Q7:Q24,U7:U23))))</f>
        <v>2E-3</v>
      </c>
      <c r="D24" s="315">
        <f>+IF(D26=1,LOOKUP(D25,Q7:Q24,S7:S24),IF(D26=2,LOOKUP(D25,Q7:Q24,T7:T24),IF(D26=3,LOOKUP(D25,Q7:Q24,U7:U24),"")))</f>
        <v>2.4E-2</v>
      </c>
      <c r="E24" s="315">
        <f>+IF(E26=1,LOOKUP(E25,Q7:Q24,S7:S24),IF(E26=2,LOOKUP(E25,Q7:Q24,T7:T24),IF(E26=3,LOOKUP(E25,Q7:Q24,U7:U24),"")))</f>
        <v>0.06</v>
      </c>
      <c r="F24" s="315">
        <f>+IF(F26=1,LOOKUP(F25,Q7:Q24,S7:S24),IF(F26=2,LOOKUP(F25,Q7:Q24,T7:T24),IF(F26=3,LOOKUP(F25,Q7:Q24,U7:U24),0)))</f>
        <v>0</v>
      </c>
      <c r="G24" s="315">
        <f>+IF(G26=1,LOOKUP(G25,Q7:Q24,S7:S24),IF(G26=2,LOOKUP(G25,Q7:Q24,T7:T24),IF(G26=3,LOOKUP(G25,Q7:Q24,U7:U24),0)))</f>
        <v>0</v>
      </c>
      <c r="H24" s="301"/>
      <c r="I24" s="294"/>
      <c r="J24" s="301"/>
      <c r="K24" s="365" t="s">
        <v>509</v>
      </c>
      <c r="L24" s="348">
        <v>0.3</v>
      </c>
      <c r="M24" s="301"/>
      <c r="N24" s="301"/>
      <c r="O24" s="301"/>
      <c r="P24" s="301"/>
      <c r="Q24" s="330">
        <v>18</v>
      </c>
      <c r="R24" s="302" t="s">
        <v>430</v>
      </c>
      <c r="S24" s="341">
        <v>1.2999999999999999E-2</v>
      </c>
      <c r="T24" s="341">
        <v>3.5000000000000003E-2</v>
      </c>
      <c r="U24" s="341">
        <v>2.9000000000000001E-2</v>
      </c>
      <c r="V24" s="301"/>
      <c r="W24" s="301"/>
      <c r="X24" s="301"/>
      <c r="Y24" s="301"/>
      <c r="Z24" s="301"/>
      <c r="AA24" s="301"/>
      <c r="AB24" s="301"/>
      <c r="AC24" s="301"/>
      <c r="AD24" s="301"/>
      <c r="AE24" s="301"/>
      <c r="AF24" s="301"/>
      <c r="AG24" s="301"/>
      <c r="AH24" s="301"/>
      <c r="AI24" s="301"/>
      <c r="AJ24" s="301"/>
      <c r="AK24" s="301"/>
      <c r="AL24" s="301"/>
      <c r="AM24" s="301"/>
      <c r="AN24" s="301"/>
      <c r="AO24" s="301"/>
      <c r="AP24" s="301"/>
      <c r="AQ24" s="301"/>
      <c r="AR24" s="301"/>
      <c r="AS24" s="301"/>
      <c r="AT24" s="301"/>
      <c r="AU24" s="301"/>
      <c r="AV24" s="301"/>
      <c r="AW24" s="301"/>
      <c r="AX24" s="301"/>
    </row>
    <row r="25" spans="1:50" ht="32.25" x14ac:dyDescent="0.2">
      <c r="A25" s="85"/>
      <c r="B25" s="298" t="s">
        <v>473</v>
      </c>
      <c r="C25" s="335">
        <v>1</v>
      </c>
      <c r="D25" s="335">
        <v>7</v>
      </c>
      <c r="E25" s="335">
        <v>12</v>
      </c>
      <c r="F25" s="335"/>
      <c r="G25" s="335"/>
      <c r="H25" s="301"/>
      <c r="I25" s="294"/>
      <c r="J25" s="301"/>
      <c r="K25" s="365" t="s">
        <v>510</v>
      </c>
      <c r="L25" s="348">
        <v>0.4</v>
      </c>
      <c r="M25" s="301"/>
      <c r="N25" s="301"/>
      <c r="O25" s="301"/>
      <c r="P25" s="301"/>
      <c r="Q25" s="301"/>
      <c r="R25" s="301"/>
      <c r="S25" s="301"/>
      <c r="T25" s="301"/>
      <c r="U25" s="301"/>
      <c r="V25" s="301"/>
      <c r="W25" s="301"/>
      <c r="X25" s="301"/>
      <c r="Y25" s="301"/>
      <c r="Z25" s="301"/>
      <c r="AA25" s="301"/>
      <c r="AB25" s="301"/>
      <c r="AC25" s="301"/>
      <c r="AD25" s="301"/>
      <c r="AE25" s="301"/>
      <c r="AF25" s="301"/>
      <c r="AG25" s="301"/>
      <c r="AH25" s="301"/>
      <c r="AI25" s="301"/>
      <c r="AJ25" s="301"/>
      <c r="AK25" s="301"/>
      <c r="AL25" s="301"/>
      <c r="AM25" s="301"/>
      <c r="AN25" s="301"/>
      <c r="AO25" s="301"/>
      <c r="AP25" s="301"/>
      <c r="AQ25" s="301"/>
      <c r="AR25" s="301"/>
      <c r="AS25" s="301"/>
      <c r="AT25" s="301"/>
      <c r="AU25" s="301"/>
      <c r="AV25" s="301"/>
      <c r="AW25" s="301"/>
      <c r="AX25" s="301"/>
    </row>
    <row r="26" spans="1:50" ht="32.25" x14ac:dyDescent="0.2">
      <c r="A26" s="85"/>
      <c r="B26" s="314" t="s">
        <v>474</v>
      </c>
      <c r="C26" s="339">
        <v>3</v>
      </c>
      <c r="D26" s="339">
        <v>2</v>
      </c>
      <c r="E26" s="339">
        <v>1</v>
      </c>
      <c r="F26" s="339"/>
      <c r="G26" s="339"/>
      <c r="H26" s="301"/>
      <c r="I26" s="294"/>
      <c r="J26" s="301"/>
      <c r="K26" s="365" t="s">
        <v>511</v>
      </c>
      <c r="L26" s="348">
        <v>0.5</v>
      </c>
      <c r="M26" s="301"/>
      <c r="N26" s="301"/>
      <c r="O26" s="301"/>
      <c r="P26" s="301"/>
      <c r="Q26" s="328"/>
      <c r="R26" s="317" t="s">
        <v>424</v>
      </c>
      <c r="S26" s="301"/>
      <c r="T26" s="301"/>
      <c r="U26" s="301"/>
      <c r="V26" s="301"/>
      <c r="W26" s="301"/>
      <c r="X26" s="301"/>
      <c r="Y26" s="301"/>
      <c r="Z26" s="301"/>
      <c r="AA26" s="301"/>
      <c r="AB26" s="301"/>
      <c r="AC26" s="301"/>
      <c r="AD26" s="301"/>
      <c r="AE26" s="301"/>
      <c r="AF26" s="301"/>
      <c r="AG26" s="301"/>
      <c r="AH26" s="301"/>
      <c r="AI26" s="301"/>
      <c r="AJ26" s="301"/>
      <c r="AK26" s="301"/>
      <c r="AL26" s="301"/>
      <c r="AM26" s="301"/>
      <c r="AN26" s="301"/>
      <c r="AO26" s="301"/>
      <c r="AP26" s="301"/>
      <c r="AQ26" s="301"/>
      <c r="AR26" s="301"/>
      <c r="AS26" s="301"/>
      <c r="AT26" s="301"/>
      <c r="AU26" s="301"/>
      <c r="AV26" s="301"/>
      <c r="AW26" s="301"/>
      <c r="AX26" s="301"/>
    </row>
    <row r="27" spans="1:50" ht="16.5" thickBot="1" x14ac:dyDescent="0.25">
      <c r="A27" s="85"/>
      <c r="B27" s="484" t="s">
        <v>442</v>
      </c>
      <c r="C27" s="485"/>
      <c r="D27" s="485"/>
      <c r="E27" s="485"/>
      <c r="F27" s="485"/>
      <c r="G27" s="486"/>
      <c r="H27" s="334">
        <f ca="1">+(C24*C23+D24*D23+E24*E23+F24*F23+G23*G24)/H23</f>
        <v>2.8199999999999999E-2</v>
      </c>
      <c r="I27" s="294"/>
      <c r="J27" s="301"/>
      <c r="K27" s="359" t="s">
        <v>512</v>
      </c>
      <c r="L27" s="360">
        <v>0.6</v>
      </c>
      <c r="M27" s="301"/>
      <c r="N27" s="301"/>
      <c r="O27" s="301"/>
      <c r="P27" s="301"/>
      <c r="Q27" s="477" t="s">
        <v>419</v>
      </c>
      <c r="R27" s="482" t="s">
        <v>418</v>
      </c>
      <c r="S27" s="482" t="s">
        <v>417</v>
      </c>
      <c r="T27" s="482"/>
      <c r="U27" s="482"/>
      <c r="V27" s="482"/>
      <c r="W27" s="482"/>
      <c r="X27" s="301"/>
      <c r="Y27" s="301"/>
      <c r="Z27" s="301"/>
      <c r="AA27" s="301"/>
      <c r="AB27" s="301"/>
      <c r="AC27" s="301"/>
      <c r="AD27" s="301"/>
      <c r="AE27" s="301"/>
      <c r="AF27" s="301"/>
      <c r="AG27" s="301"/>
      <c r="AH27" s="301"/>
      <c r="AI27" s="301"/>
      <c r="AJ27" s="301"/>
      <c r="AK27" s="301"/>
      <c r="AL27" s="301"/>
      <c r="AM27" s="301"/>
      <c r="AN27" s="301"/>
      <c r="AO27" s="301"/>
      <c r="AP27" s="301"/>
      <c r="AQ27" s="301"/>
      <c r="AR27" s="301"/>
      <c r="AS27" s="301"/>
      <c r="AT27" s="301"/>
      <c r="AU27" s="301"/>
      <c r="AV27" s="301"/>
      <c r="AW27" s="301"/>
      <c r="AX27" s="301"/>
    </row>
    <row r="28" spans="1:50" x14ac:dyDescent="0.2">
      <c r="A28" s="85"/>
      <c r="B28" s="293"/>
      <c r="C28" s="293"/>
      <c r="D28" s="293"/>
      <c r="E28" s="293"/>
      <c r="F28" s="293"/>
      <c r="G28" s="293"/>
      <c r="H28" s="301"/>
      <c r="I28" s="294"/>
      <c r="J28" s="301"/>
      <c r="K28" s="366" t="s">
        <v>513</v>
      </c>
      <c r="L28" s="367"/>
      <c r="M28" s="301"/>
      <c r="N28" s="301"/>
      <c r="O28" s="301"/>
      <c r="P28" s="301"/>
      <c r="Q28" s="478"/>
      <c r="R28" s="482"/>
      <c r="S28" s="340" t="s">
        <v>164</v>
      </c>
      <c r="T28" s="340"/>
      <c r="U28" s="340"/>
      <c r="V28" s="340"/>
      <c r="W28" s="340" t="s">
        <v>413</v>
      </c>
      <c r="X28" s="301"/>
      <c r="Y28" s="301"/>
      <c r="Z28" s="301"/>
      <c r="AA28" s="301"/>
      <c r="AB28" s="301"/>
      <c r="AC28" s="301"/>
      <c r="AD28" s="301"/>
      <c r="AE28" s="301"/>
      <c r="AF28" s="301"/>
      <c r="AG28" s="301"/>
      <c r="AH28" s="301"/>
      <c r="AI28" s="301"/>
      <c r="AJ28" s="301"/>
      <c r="AK28" s="301"/>
      <c r="AL28" s="301"/>
      <c r="AM28" s="301"/>
      <c r="AN28" s="301"/>
      <c r="AO28" s="301"/>
      <c r="AP28" s="301"/>
      <c r="AQ28" s="301"/>
      <c r="AR28" s="301"/>
      <c r="AS28" s="301"/>
      <c r="AT28" s="301"/>
      <c r="AU28" s="301"/>
      <c r="AV28" s="301"/>
      <c r="AW28" s="301"/>
      <c r="AX28" s="301"/>
    </row>
    <row r="29" spans="1:50" x14ac:dyDescent="0.2">
      <c r="A29" s="85"/>
      <c r="B29" s="293"/>
      <c r="C29" s="293"/>
      <c r="D29" s="293"/>
      <c r="E29" s="308"/>
      <c r="F29" s="293"/>
      <c r="G29" s="293"/>
      <c r="H29" s="301"/>
      <c r="I29" s="294"/>
      <c r="J29" s="301"/>
      <c r="K29" s="328"/>
      <c r="L29" s="301"/>
      <c r="M29" s="301"/>
      <c r="N29" s="301"/>
      <c r="O29" s="301"/>
      <c r="P29" s="301"/>
      <c r="Q29" s="479"/>
      <c r="R29" s="309" t="s">
        <v>411</v>
      </c>
      <c r="S29" s="340">
        <v>1</v>
      </c>
      <c r="T29" s="340">
        <v>2</v>
      </c>
      <c r="U29" s="340">
        <v>3</v>
      </c>
      <c r="V29" s="340">
        <v>4</v>
      </c>
      <c r="W29" s="340">
        <v>5</v>
      </c>
      <c r="X29" s="301"/>
      <c r="Y29" s="301"/>
      <c r="Z29" s="301"/>
      <c r="AA29" s="301"/>
      <c r="AB29" s="301"/>
      <c r="AC29" s="301"/>
      <c r="AD29" s="301"/>
      <c r="AE29" s="301"/>
      <c r="AF29" s="301"/>
      <c r="AG29" s="301"/>
      <c r="AH29" s="301"/>
      <c r="AI29" s="301"/>
      <c r="AJ29" s="301"/>
      <c r="AK29" s="301"/>
      <c r="AL29" s="301"/>
      <c r="AM29" s="301"/>
      <c r="AN29" s="301"/>
      <c r="AO29" s="301"/>
      <c r="AP29" s="301"/>
      <c r="AQ29" s="301"/>
      <c r="AR29" s="301"/>
      <c r="AS29" s="301"/>
      <c r="AT29" s="301"/>
      <c r="AU29" s="301"/>
      <c r="AV29" s="301"/>
      <c r="AW29" s="301"/>
      <c r="AX29" s="301"/>
    </row>
    <row r="30" spans="1:50" x14ac:dyDescent="0.2">
      <c r="A30" s="85"/>
      <c r="B30" s="301"/>
      <c r="C30" s="301"/>
      <c r="D30" s="301"/>
      <c r="E30" s="301"/>
      <c r="F30" s="301"/>
      <c r="G30" s="301"/>
      <c r="H30" s="301"/>
      <c r="I30" s="294"/>
      <c r="J30" s="301"/>
      <c r="K30" s="328"/>
      <c r="L30"/>
      <c r="M30" s="301"/>
      <c r="N30" s="301"/>
      <c r="O30" s="301"/>
      <c r="P30" s="301"/>
      <c r="Q30" s="349">
        <v>1</v>
      </c>
      <c r="R30" s="302" t="s">
        <v>408</v>
      </c>
      <c r="S30" s="302">
        <v>0.75</v>
      </c>
      <c r="T30" s="302">
        <v>0.8</v>
      </c>
      <c r="U30" s="302">
        <v>0.85</v>
      </c>
      <c r="V30" s="302">
        <v>0.9</v>
      </c>
      <c r="W30" s="302"/>
      <c r="X30" s="301"/>
      <c r="Y30" s="301"/>
      <c r="Z30" s="301"/>
      <c r="AA30" s="301"/>
      <c r="AB30" s="301"/>
      <c r="AC30" s="301"/>
      <c r="AD30" s="301"/>
      <c r="AE30" s="301"/>
      <c r="AF30" s="301"/>
      <c r="AG30" s="301"/>
      <c r="AH30" s="301"/>
      <c r="AI30" s="301"/>
      <c r="AJ30" s="301"/>
      <c r="AK30" s="301"/>
      <c r="AL30" s="301"/>
      <c r="AM30" s="301"/>
      <c r="AN30" s="301"/>
      <c r="AO30" s="301"/>
      <c r="AP30" s="301"/>
      <c r="AQ30" s="301"/>
      <c r="AR30" s="301"/>
      <c r="AS30" s="301"/>
      <c r="AT30" s="301"/>
      <c r="AU30" s="301"/>
      <c r="AV30" s="301"/>
      <c r="AW30" s="301"/>
      <c r="AX30" s="301"/>
    </row>
    <row r="31" spans="1:50" x14ac:dyDescent="0.2">
      <c r="A31" s="85"/>
      <c r="B31" s="301"/>
      <c r="C31" s="301"/>
      <c r="D31" s="301"/>
      <c r="E31" s="301"/>
      <c r="F31" s="301"/>
      <c r="G31" s="301"/>
      <c r="H31" s="301"/>
      <c r="I31" s="294"/>
      <c r="J31" s="301"/>
      <c r="K31" s="328"/>
      <c r="L31" s="301"/>
      <c r="M31" s="301"/>
      <c r="N31" s="301"/>
      <c r="O31" s="301"/>
      <c r="P31" s="301"/>
      <c r="Q31" s="349">
        <v>2</v>
      </c>
      <c r="R31" s="302" t="s">
        <v>406</v>
      </c>
      <c r="S31" s="302">
        <v>0.8</v>
      </c>
      <c r="T31" s="302">
        <v>0.85</v>
      </c>
      <c r="U31" s="302">
        <v>0.9</v>
      </c>
      <c r="V31" s="302">
        <v>0.95</v>
      </c>
      <c r="W31" s="302"/>
      <c r="X31" s="301"/>
      <c r="Y31" s="301"/>
      <c r="Z31" s="301"/>
      <c r="AA31" s="301"/>
      <c r="AB31" s="301"/>
      <c r="AC31" s="301"/>
      <c r="AD31" s="301"/>
      <c r="AE31" s="301"/>
      <c r="AF31" s="301"/>
      <c r="AG31" s="301"/>
      <c r="AH31" s="301"/>
      <c r="AI31" s="301"/>
      <c r="AJ31" s="301"/>
      <c r="AK31" s="301"/>
      <c r="AL31" s="301"/>
      <c r="AM31" s="301"/>
      <c r="AN31" s="301"/>
      <c r="AO31" s="301"/>
      <c r="AP31" s="301"/>
      <c r="AQ31" s="301"/>
      <c r="AR31" s="301"/>
      <c r="AS31" s="301"/>
      <c r="AT31" s="301"/>
      <c r="AU31" s="301"/>
      <c r="AV31" s="301"/>
      <c r="AW31" s="301"/>
      <c r="AX31" s="301"/>
    </row>
    <row r="32" spans="1:50" x14ac:dyDescent="0.2">
      <c r="A32" s="85"/>
      <c r="B32" s="483" t="s">
        <v>436</v>
      </c>
      <c r="C32" s="483"/>
      <c r="D32" s="483"/>
      <c r="E32" s="483"/>
      <c r="F32" s="483"/>
      <c r="G32" s="483"/>
      <c r="H32" s="301"/>
      <c r="I32" s="294"/>
      <c r="J32" s="301"/>
      <c r="K32" s="328"/>
      <c r="L32" s="301"/>
      <c r="M32" s="301"/>
      <c r="N32" s="301"/>
      <c r="O32" s="301"/>
      <c r="P32" s="301"/>
      <c r="Q32" s="349">
        <v>3</v>
      </c>
      <c r="R32" s="302" t="s">
        <v>404</v>
      </c>
      <c r="S32" s="302">
        <v>0.6</v>
      </c>
      <c r="T32" s="302">
        <v>0.65</v>
      </c>
      <c r="U32" s="302">
        <v>0.7</v>
      </c>
      <c r="V32" s="302">
        <v>0.75</v>
      </c>
      <c r="W32" s="302">
        <v>0.8</v>
      </c>
      <c r="X32" s="301"/>
      <c r="Y32" s="301"/>
      <c r="Z32" s="301"/>
      <c r="AA32" s="301"/>
      <c r="AB32" s="301"/>
      <c r="AC32" s="301"/>
      <c r="AD32" s="301"/>
      <c r="AE32" s="301"/>
      <c r="AF32" s="301"/>
      <c r="AG32" s="301"/>
      <c r="AH32" s="301"/>
      <c r="AI32" s="301"/>
      <c r="AJ32" s="301"/>
      <c r="AK32" s="301"/>
      <c r="AL32" s="301"/>
      <c r="AM32" s="301"/>
      <c r="AN32" s="301"/>
      <c r="AO32" s="301"/>
      <c r="AP32" s="301"/>
      <c r="AQ32" s="301"/>
      <c r="AR32" s="301"/>
      <c r="AS32" s="301"/>
      <c r="AT32" s="301"/>
      <c r="AU32" s="301"/>
      <c r="AV32" s="301"/>
      <c r="AW32" s="301"/>
      <c r="AX32" s="301"/>
    </row>
    <row r="33" spans="1:50" x14ac:dyDescent="0.2">
      <c r="A33" s="85"/>
      <c r="B33" s="300" t="s">
        <v>475</v>
      </c>
      <c r="C33" s="331" t="s">
        <v>476</v>
      </c>
      <c r="D33" s="331" t="s">
        <v>477</v>
      </c>
      <c r="E33" s="331" t="s">
        <v>478</v>
      </c>
      <c r="F33" s="331" t="s">
        <v>479</v>
      </c>
      <c r="G33" s="331" t="s">
        <v>480</v>
      </c>
      <c r="H33" s="301"/>
      <c r="I33" s="294"/>
      <c r="J33" s="301"/>
      <c r="K33" s="328"/>
      <c r="L33" s="301"/>
      <c r="M33" s="301"/>
      <c r="N33" s="301"/>
      <c r="O33" s="301"/>
      <c r="P33" s="301"/>
      <c r="Q33" s="349">
        <v>4</v>
      </c>
      <c r="R33" s="302" t="s">
        <v>402</v>
      </c>
      <c r="S33" s="302">
        <v>0.5</v>
      </c>
      <c r="T33" s="302"/>
      <c r="U33" s="302"/>
      <c r="V33" s="302"/>
      <c r="W33" s="302"/>
      <c r="X33" s="301"/>
      <c r="Y33" s="301"/>
      <c r="Z33" s="301"/>
      <c r="AA33" s="301"/>
      <c r="AB33" s="301"/>
      <c r="AC33" s="301"/>
      <c r="AD33" s="301"/>
      <c r="AE33" s="301"/>
      <c r="AF33" s="301"/>
      <c r="AG33" s="301"/>
      <c r="AH33" s="301"/>
      <c r="AI33" s="301"/>
      <c r="AJ33" s="301"/>
      <c r="AK33" s="301"/>
      <c r="AL33" s="301"/>
      <c r="AM33" s="301"/>
      <c r="AN33" s="301"/>
      <c r="AO33" s="301"/>
      <c r="AP33" s="301"/>
      <c r="AQ33" s="301"/>
      <c r="AR33" s="301"/>
      <c r="AS33" s="301"/>
      <c r="AT33" s="301"/>
      <c r="AU33" s="301"/>
      <c r="AV33" s="301"/>
      <c r="AW33" s="301"/>
      <c r="AX33" s="301"/>
    </row>
    <row r="34" spans="1:50" x14ac:dyDescent="0.2">
      <c r="A34" s="85"/>
      <c r="B34" s="300" t="s">
        <v>433</v>
      </c>
      <c r="C34" s="335">
        <v>7000</v>
      </c>
      <c r="D34" s="335">
        <v>5000</v>
      </c>
      <c r="E34" s="335">
        <v>6000</v>
      </c>
      <c r="F34" s="335"/>
      <c r="G34" s="335"/>
      <c r="H34" s="301"/>
      <c r="I34" s="294"/>
      <c r="J34" s="301"/>
      <c r="K34" s="328"/>
      <c r="L34" s="301"/>
      <c r="M34" s="301"/>
      <c r="N34" s="301"/>
      <c r="O34" s="301"/>
      <c r="P34" s="301"/>
      <c r="Q34" s="349">
        <v>5</v>
      </c>
      <c r="R34" s="302" t="s">
        <v>400</v>
      </c>
      <c r="S34" s="302">
        <v>0.6</v>
      </c>
      <c r="T34" s="302"/>
      <c r="U34" s="302"/>
      <c r="V34" s="302"/>
      <c r="W34" s="302"/>
      <c r="X34" s="301"/>
      <c r="Y34" s="301"/>
      <c r="Z34" s="301"/>
      <c r="AA34" s="301"/>
      <c r="AB34" s="301"/>
      <c r="AC34" s="301"/>
      <c r="AD34" s="301"/>
      <c r="AE34" s="301"/>
      <c r="AF34" s="301"/>
      <c r="AG34" s="301"/>
      <c r="AH34" s="301"/>
      <c r="AI34" s="301"/>
      <c r="AJ34" s="301"/>
      <c r="AK34" s="301"/>
      <c r="AL34" s="301"/>
      <c r="AM34" s="301"/>
      <c r="AN34" s="301"/>
      <c r="AO34" s="301"/>
      <c r="AP34" s="301"/>
      <c r="AQ34" s="301"/>
      <c r="AR34" s="301"/>
      <c r="AS34" s="301"/>
      <c r="AT34" s="301"/>
      <c r="AU34" s="301"/>
      <c r="AV34" s="301"/>
      <c r="AW34" s="301"/>
      <c r="AX34" s="301"/>
    </row>
    <row r="35" spans="1:50" x14ac:dyDescent="0.2">
      <c r="A35" s="85"/>
      <c r="B35" s="300" t="s">
        <v>431</v>
      </c>
      <c r="C35" s="335">
        <v>4500</v>
      </c>
      <c r="D35" s="335">
        <v>5500</v>
      </c>
      <c r="E35" s="335">
        <v>3000</v>
      </c>
      <c r="F35" s="335"/>
      <c r="G35" s="335"/>
      <c r="H35" s="301"/>
      <c r="I35" s="294"/>
      <c r="J35" s="301"/>
      <c r="K35" s="328"/>
      <c r="L35" s="301"/>
      <c r="M35" s="301"/>
      <c r="N35" s="301"/>
      <c r="O35" s="301"/>
      <c r="P35" s="301"/>
      <c r="Q35" s="349">
        <v>6</v>
      </c>
      <c r="R35" s="302" t="s">
        <v>398</v>
      </c>
      <c r="S35" s="302">
        <v>0.8</v>
      </c>
      <c r="T35" s="302"/>
      <c r="U35" s="302"/>
      <c r="V35" s="302"/>
      <c r="W35" s="302"/>
      <c r="X35" s="301"/>
      <c r="Y35" s="301"/>
      <c r="Z35" s="301"/>
      <c r="AA35" s="301"/>
      <c r="AB35" s="301"/>
      <c r="AC35" s="301"/>
      <c r="AD35" s="301"/>
      <c r="AE35" s="301"/>
      <c r="AF35" s="301"/>
      <c r="AG35" s="301"/>
      <c r="AH35" s="301"/>
      <c r="AI35" s="301"/>
      <c r="AJ35" s="301"/>
      <c r="AK35" s="301"/>
      <c r="AL35" s="301"/>
      <c r="AM35" s="301"/>
      <c r="AN35" s="301"/>
      <c r="AO35" s="301"/>
      <c r="AP35" s="301"/>
      <c r="AQ35" s="301"/>
      <c r="AR35" s="301"/>
      <c r="AS35" s="301"/>
      <c r="AT35" s="301"/>
      <c r="AU35" s="301"/>
      <c r="AV35" s="301"/>
      <c r="AW35" s="301"/>
      <c r="AX35" s="301"/>
    </row>
    <row r="36" spans="1:50" x14ac:dyDescent="0.2">
      <c r="A36" s="85"/>
      <c r="B36" s="300" t="s">
        <v>429</v>
      </c>
      <c r="C36" s="297">
        <f>+(C35*C34)/10000</f>
        <v>3150</v>
      </c>
      <c r="D36" s="297">
        <f>+(D35*D34)/10000</f>
        <v>2750</v>
      </c>
      <c r="E36" s="297">
        <f>+(E35*E34)/10000</f>
        <v>1800</v>
      </c>
      <c r="F36" s="297">
        <f>+(F35*F34)/10000</f>
        <v>0</v>
      </c>
      <c r="G36" s="297">
        <f>+(G35*G34)/10000</f>
        <v>0</v>
      </c>
      <c r="H36" s="301"/>
      <c r="I36" s="294"/>
      <c r="J36" s="301"/>
      <c r="K36" s="328"/>
      <c r="L36" s="301"/>
      <c r="M36" s="301"/>
      <c r="N36" s="301"/>
      <c r="O36" s="301"/>
      <c r="P36" s="301"/>
      <c r="Q36" s="349">
        <v>7</v>
      </c>
      <c r="R36" s="302" t="s">
        <v>396</v>
      </c>
      <c r="S36" s="302">
        <v>0.1</v>
      </c>
      <c r="T36" s="302"/>
      <c r="U36" s="302"/>
      <c r="V36" s="302"/>
      <c r="W36" s="302"/>
      <c r="X36" s="301"/>
      <c r="Y36" s="301"/>
      <c r="Z36" s="301"/>
      <c r="AA36" s="301"/>
      <c r="AB36" s="301"/>
      <c r="AC36" s="301"/>
      <c r="AD36" s="301"/>
      <c r="AE36" s="301"/>
      <c r="AF36" s="301"/>
      <c r="AG36" s="301"/>
      <c r="AH36" s="301"/>
      <c r="AI36" s="301"/>
      <c r="AJ36" s="301"/>
      <c r="AK36" s="301"/>
      <c r="AL36" s="301"/>
      <c r="AM36" s="301"/>
      <c r="AN36" s="301"/>
      <c r="AO36" s="301"/>
      <c r="AP36" s="301"/>
      <c r="AQ36" s="301"/>
      <c r="AR36" s="301"/>
      <c r="AS36" s="301"/>
      <c r="AT36" s="301"/>
      <c r="AU36" s="301"/>
      <c r="AV36" s="301"/>
      <c r="AW36" s="301"/>
      <c r="AX36" s="301"/>
    </row>
    <row r="37" spans="1:50" x14ac:dyDescent="0.2">
      <c r="A37" s="85"/>
      <c r="B37" s="300" t="s">
        <v>428</v>
      </c>
      <c r="C37" s="335">
        <v>2300</v>
      </c>
      <c r="D37" s="335">
        <v>2000</v>
      </c>
      <c r="E37" s="335">
        <v>1900</v>
      </c>
      <c r="F37" s="335"/>
      <c r="G37" s="335"/>
      <c r="H37" s="301"/>
      <c r="I37" s="294"/>
      <c r="J37" s="301"/>
      <c r="K37" s="328"/>
      <c r="L37" s="301"/>
      <c r="M37" s="301"/>
      <c r="N37" s="301"/>
      <c r="O37" s="301"/>
      <c r="P37" s="301"/>
      <c r="Q37" s="349">
        <v>8</v>
      </c>
      <c r="R37" s="302" t="s">
        <v>393</v>
      </c>
      <c r="S37" s="302">
        <v>0.05</v>
      </c>
      <c r="T37" s="302"/>
      <c r="U37" s="302"/>
      <c r="V37" s="302"/>
      <c r="W37" s="302"/>
      <c r="X37" s="301"/>
      <c r="Y37" s="301"/>
      <c r="Z37" s="301"/>
      <c r="AA37" s="301"/>
      <c r="AB37" s="301"/>
      <c r="AC37" s="301"/>
      <c r="AD37" s="301"/>
      <c r="AE37" s="301"/>
      <c r="AF37" s="301"/>
      <c r="AG37" s="301"/>
      <c r="AH37" s="301"/>
      <c r="AI37" s="301"/>
      <c r="AJ37" s="301"/>
      <c r="AK37" s="301"/>
      <c r="AL37" s="301"/>
      <c r="AM37" s="301"/>
      <c r="AN37" s="301"/>
      <c r="AO37" s="301"/>
      <c r="AP37" s="301"/>
      <c r="AQ37" s="301"/>
      <c r="AR37" s="301"/>
      <c r="AS37" s="301"/>
      <c r="AT37" s="301"/>
      <c r="AU37" s="301"/>
      <c r="AV37" s="301"/>
      <c r="AW37" s="301"/>
      <c r="AX37" s="301"/>
    </row>
    <row r="38" spans="1:50" x14ac:dyDescent="0.15">
      <c r="A38" s="85"/>
      <c r="B38" s="300" t="s">
        <v>427</v>
      </c>
      <c r="C38" s="335">
        <v>2500</v>
      </c>
      <c r="D38" s="335">
        <v>2300</v>
      </c>
      <c r="E38" s="335">
        <v>2000</v>
      </c>
      <c r="F38" s="335"/>
      <c r="G38" s="335"/>
      <c r="H38" s="301"/>
      <c r="I38" s="294"/>
      <c r="J38" s="368"/>
      <c r="K38" s="328"/>
      <c r="L38" s="301"/>
      <c r="M38" s="301"/>
      <c r="N38" s="301"/>
      <c r="O38" s="301"/>
      <c r="P38" s="301"/>
      <c r="Q38" s="349">
        <v>9</v>
      </c>
      <c r="R38" s="302" t="s">
        <v>391</v>
      </c>
      <c r="S38" s="302">
        <v>0.5</v>
      </c>
      <c r="T38" s="302"/>
      <c r="U38" s="302"/>
      <c r="V38" s="302"/>
      <c r="W38" s="302"/>
      <c r="X38" s="301"/>
      <c r="Y38" s="301"/>
      <c r="Z38" s="301"/>
      <c r="AA38" s="301"/>
      <c r="AB38" s="301"/>
      <c r="AC38" s="301"/>
      <c r="AD38" s="301"/>
      <c r="AE38" s="301"/>
      <c r="AF38" s="301"/>
      <c r="AG38" s="301"/>
      <c r="AH38" s="301"/>
      <c r="AI38" s="301"/>
      <c r="AJ38" s="301"/>
      <c r="AK38" s="301"/>
      <c r="AL38" s="301"/>
      <c r="AM38" s="301"/>
      <c r="AN38" s="301"/>
      <c r="AO38" s="301"/>
      <c r="AP38" s="301"/>
      <c r="AQ38" s="301"/>
      <c r="AR38" s="301"/>
      <c r="AS38" s="301"/>
      <c r="AT38" s="301"/>
      <c r="AU38" s="301"/>
      <c r="AV38" s="301"/>
      <c r="AW38" s="301"/>
      <c r="AX38" s="301"/>
    </row>
    <row r="39" spans="1:50" x14ac:dyDescent="0.2">
      <c r="A39" s="85"/>
      <c r="B39" s="332" t="s">
        <v>426</v>
      </c>
      <c r="C39" s="323">
        <f>IF(C34="","",ROUND((C38-C37)/C34*100,2))</f>
        <v>2.86</v>
      </c>
      <c r="D39" s="323">
        <f>IF(D34="","",ROUND((D38-D37)/D34*100,2))</f>
        <v>6</v>
      </c>
      <c r="E39" s="323">
        <f>IF(E34="","",ROUND((E38-E37)/E34*100,2))</f>
        <v>1.67</v>
      </c>
      <c r="F39" s="323" t="str">
        <f>IF(F34="","",ROUND((F38-F37)/F34*100,2))</f>
        <v/>
      </c>
      <c r="G39" s="323" t="str">
        <f>IF(G34="","",ROUND((G38-G37)/G34*100,2))</f>
        <v/>
      </c>
      <c r="H39" s="301"/>
      <c r="I39" s="294"/>
      <c r="J39" s="301"/>
      <c r="K39" s="328"/>
      <c r="L39" s="301"/>
      <c r="M39" s="301"/>
      <c r="N39" s="301"/>
      <c r="O39" s="301"/>
      <c r="P39" s="301"/>
      <c r="Q39" s="349">
        <v>10</v>
      </c>
      <c r="R39" s="302" t="s">
        <v>389</v>
      </c>
      <c r="S39" s="302">
        <v>0.6</v>
      </c>
      <c r="T39" s="302"/>
      <c r="U39" s="302"/>
      <c r="V39" s="302"/>
      <c r="W39" s="302"/>
      <c r="X39" s="301"/>
      <c r="Y39" s="301"/>
      <c r="Z39" s="301"/>
      <c r="AA39" s="301"/>
      <c r="AB39" s="301"/>
      <c r="AC39" s="301"/>
      <c r="AD39" s="301"/>
      <c r="AE39" s="301"/>
      <c r="AF39" s="301"/>
      <c r="AG39" s="301"/>
      <c r="AH39" s="301"/>
      <c r="AI39" s="301"/>
      <c r="AJ39" s="301"/>
      <c r="AK39" s="301"/>
      <c r="AL39" s="301"/>
      <c r="AM39" s="301"/>
      <c r="AN39" s="301"/>
      <c r="AO39" s="301"/>
      <c r="AP39" s="301"/>
      <c r="AQ39" s="301"/>
      <c r="AR39" s="301"/>
      <c r="AS39" s="301"/>
      <c r="AT39" s="301"/>
      <c r="AU39" s="301"/>
      <c r="AV39" s="301"/>
      <c r="AW39" s="301"/>
      <c r="AX39" s="301"/>
    </row>
    <row r="40" spans="1:50" x14ac:dyDescent="0.2">
      <c r="A40" s="85"/>
      <c r="B40" s="332" t="s">
        <v>425</v>
      </c>
      <c r="C40" s="324">
        <f>IF(C39="",0,IF(C39&lt;1,((C34/22.1)^0.2*((0.43+0.3*C39+0.043*C39^2)/6.613)),IF(AND(C39&gt;=1,C39&lt;=3.499),((C34/22.1)^0.3*((0.43+0.3*C39+0.043*C39^2)/6.613)),IF(AND(C39&gt;=3.5,C39&lt;=4.999),((C34/22.1)^0.4*((0.43+0.3*C39+0.043*C39^2)/6.613)),IF(AND(C39&gt;=5,C39&lt;=9.9999),((C34/22.1)^0.5*((0.43+0.3*C39+0.043*C39^2)/6.613)),IF(AND(C39&gt;=10,C39&lt;=19.9999),((C34/22.1)^0.6*((0.43+0.3*C39+0.043*C39^2)/6.613)),IF(C39&gt;20,(((C34/22.1)^0.6)*(C39/9)^1.4))))))))</f>
        <v>1.3950303067710266</v>
      </c>
      <c r="D40" s="324">
        <f>IF(D39="",0,IF(D39&lt;1,((D34/22.1)^0.2*((0.43+0.3*D39+0.043*D39^2)/6.613)),IF(AND(D39&gt;=1,D39&lt;=3.499),((D34/22.1)^0.3*((0.43+0.3*D39+0.043*D39^2)/6.613)),IF(AND(D39&gt;=3.5,D39&lt;=4.999),((D34/22.1)^0.4*((0.43+0.3*D39+0.043*D39^2)/6.613)),IF(AND(D39&gt;=5,D39&lt;=9.9999),((D34/22.1)^0.5*((0.43+0.3*D39+0.043*D39^2)/6.613)),IF(AND(D39&gt;=10,D39&lt;=19.9999),((D34/22.1)^0.6*((0.43+0.3*D39+0.043*D39^2)/6.613)),IF(D39&gt;20,(((D34/22.1)^0.6)*(D39/9)^1.4))))))))</f>
        <v>8.5931480887584808</v>
      </c>
      <c r="E40" s="324">
        <f>IF(E39="",0,IF(E39&lt;1,((E34/22.1)^0.2*((0.43+0.3*E39+0.043*E39^2)/6.613)),IF(AND(E39&gt;=1,E39&lt;=3.499),((E34/22.1)^0.3*((0.43+0.3*E39+0.043*E39^2)/6.613)),IF(AND(E39&gt;=3.5,E39&lt;=4.999),((E34/22.1)^0.4*((0.43+0.3*E39+0.043*E39^2)/6.613)),IF(AND(E39&gt;=5,E39&lt;=9.9999),((E34/22.1)^0.5*((0.43+0.3*E39+0.043*E39^2)/6.613)),IF(AND(E39&gt;=10,E39&lt;=19.9999),((E34/22.1)^0.6*((0.43+0.3*E39+0.043*E39^2)/6.613)),IF(E39&gt;20,(((E34/22.1)^0.6)*(E39/9)^1.4))))))))</f>
        <v>0.85368950669850674</v>
      </c>
      <c r="F40" s="324">
        <f>IF(F39="",0,IF(F39&lt;1,((F34/22.1)^0.2*((0.43+0.3*F39+0.043*F39^2)/6.613)),IF(AND(F39&gt;=1,F39&lt;=3.499),((F34/22.1)^0.3*((0.43+0.3*F39+0.043*F39^2)/6.613)),IF(AND(F39&gt;=3.5,F39&lt;=4.999),((F34/22.1)^0.4*((0.43+0.3*F39+0.043*F39^2)/6.613)),IF(AND(F39&gt;=5,F39&lt;=9.9999),((F34/22.1)^0.5*((0.43+0.3*F39+0.043*F39^2)/6.613)),IF(AND(F39&gt;=10,F39&lt;=19.9999),((F34/22.1)^0.6*((0.43+0.3*F39+0.043*F39^2)/6.613)),IF(F39&gt;20,(((F34/22.1)^0.6)*(F39/9)^1.4))))))))</f>
        <v>0</v>
      </c>
      <c r="G40" s="324">
        <f>IF(G39="",0,IF(G39&lt;1,((G34/22.1)^0.2*((0.43+0.3*G39+0.043*G39^2)/6.613)),IF(AND(G39&gt;=1,G39&lt;=3.499),((G34/22.1)^0.3*((0.43+0.3*G39+0.043*G39^2)/6.613)),IF(AND(G39&gt;=3.5,G39&lt;=4.999),((G34/22.1)^0.4*((0.43+0.3*G39+0.043*G39^2)/6.613)),IF(AND(G39&gt;=5,G39&lt;=9.9999),((G34/22.1)^0.5*((0.43+0.3*G39+0.043*G39^2)/6.613)),IF(AND(G39&gt;=10,G39&lt;=19.9999),((G34/22.1)^0.6*((0.43+0.3*G39+0.043*G39^2)/6.613)),IF(G39&gt;20,(((G34/22.1)^0.6)*(G39/9)^1.4))))))))</f>
        <v>0</v>
      </c>
      <c r="H40" s="301"/>
      <c r="I40" s="294"/>
      <c r="J40" s="301"/>
      <c r="K40" s="328"/>
      <c r="L40" s="301"/>
      <c r="M40" s="301"/>
      <c r="N40" s="301"/>
      <c r="O40" s="301"/>
      <c r="P40" s="301"/>
      <c r="Q40" s="349">
        <v>11</v>
      </c>
      <c r="R40" s="302" t="s">
        <v>386</v>
      </c>
      <c r="S40" s="302">
        <v>0.1</v>
      </c>
      <c r="T40" s="302"/>
      <c r="U40" s="302"/>
      <c r="V40" s="302"/>
      <c r="W40" s="302"/>
      <c r="X40" s="301"/>
      <c r="Y40" s="301"/>
      <c r="Z40" s="301"/>
      <c r="AA40" s="301"/>
      <c r="AB40" s="301"/>
      <c r="AC40" s="301"/>
      <c r="AD40" s="301"/>
      <c r="AE40" s="301"/>
      <c r="AF40" s="301"/>
      <c r="AG40" s="301"/>
      <c r="AH40" s="301"/>
      <c r="AI40" s="301"/>
      <c r="AJ40" s="301"/>
      <c r="AK40" s="301"/>
      <c r="AL40" s="301"/>
      <c r="AM40" s="301"/>
      <c r="AN40" s="301"/>
      <c r="AO40" s="301"/>
      <c r="AP40" s="301"/>
      <c r="AQ40" s="301"/>
      <c r="AR40" s="301"/>
      <c r="AS40" s="301"/>
      <c r="AT40" s="301"/>
      <c r="AU40" s="301"/>
      <c r="AV40" s="301"/>
      <c r="AW40" s="301"/>
      <c r="AX40" s="301"/>
    </row>
    <row r="41" spans="1:50" x14ac:dyDescent="0.2">
      <c r="A41" s="85"/>
      <c r="B41" s="490" t="s">
        <v>423</v>
      </c>
      <c r="C41" s="490"/>
      <c r="D41" s="490"/>
      <c r="E41" s="490"/>
      <c r="F41" s="490"/>
      <c r="G41" s="490"/>
      <c r="H41" s="369">
        <f>+(C40*C23+D40*D23+E40*E23+F40*F23+G23*G40)/H23</f>
        <v>4.1118751795442519</v>
      </c>
      <c r="I41" s="294"/>
      <c r="J41" s="301"/>
      <c r="K41" s="477" t="s">
        <v>422</v>
      </c>
      <c r="L41" s="482" t="s">
        <v>421</v>
      </c>
      <c r="M41" s="482" t="s">
        <v>420</v>
      </c>
      <c r="N41" s="482"/>
      <c r="O41" s="482"/>
      <c r="P41" s="293"/>
      <c r="Q41" s="301"/>
      <c r="R41" s="301"/>
      <c r="S41" s="301"/>
      <c r="T41" s="301"/>
      <c r="U41" s="301"/>
      <c r="V41" s="301"/>
      <c r="W41" s="301"/>
      <c r="X41" s="301"/>
      <c r="Y41" s="301"/>
      <c r="Z41" s="301"/>
      <c r="AA41" s="301"/>
      <c r="AB41" s="301"/>
      <c r="AC41" s="301"/>
      <c r="AD41" s="301"/>
      <c r="AE41" s="301"/>
      <c r="AF41" s="301"/>
      <c r="AG41" s="301"/>
      <c r="AH41" s="301"/>
      <c r="AI41" s="301"/>
      <c r="AJ41" s="301"/>
      <c r="AK41" s="301"/>
      <c r="AL41" s="301"/>
      <c r="AM41" s="301"/>
      <c r="AN41" s="301"/>
      <c r="AO41" s="301"/>
      <c r="AP41" s="301"/>
      <c r="AQ41" s="301"/>
      <c r="AR41" s="301"/>
      <c r="AS41" s="301"/>
      <c r="AT41" s="301"/>
      <c r="AU41" s="301"/>
      <c r="AV41" s="301"/>
      <c r="AW41" s="301"/>
      <c r="AX41" s="301"/>
    </row>
    <row r="42" spans="1:50" x14ac:dyDescent="0.2">
      <c r="A42" s="85"/>
      <c r="B42" s="301"/>
      <c r="C42" s="301"/>
      <c r="D42" s="301"/>
      <c r="E42" s="301"/>
      <c r="F42" s="301"/>
      <c r="G42" s="301"/>
      <c r="H42" s="301"/>
      <c r="I42" s="294"/>
      <c r="J42" s="301"/>
      <c r="K42" s="478"/>
      <c r="L42" s="482"/>
      <c r="M42" s="318" t="s">
        <v>416</v>
      </c>
      <c r="N42" s="305" t="s">
        <v>415</v>
      </c>
      <c r="O42" s="305" t="s">
        <v>414</v>
      </c>
      <c r="P42" s="293"/>
      <c r="Q42" s="328"/>
      <c r="R42" s="328"/>
      <c r="S42" s="328"/>
      <c r="T42" s="328"/>
      <c r="U42" s="328"/>
      <c r="V42" s="328"/>
      <c r="W42" s="328"/>
      <c r="X42" s="301"/>
      <c r="Y42" s="301"/>
      <c r="Z42" s="301"/>
      <c r="AA42" s="301"/>
      <c r="AB42" s="301"/>
      <c r="AC42" s="301"/>
      <c r="AD42" s="301"/>
      <c r="AE42" s="301"/>
      <c r="AF42" s="301"/>
      <c r="AG42" s="301"/>
      <c r="AH42" s="301"/>
      <c r="AI42" s="301"/>
      <c r="AJ42" s="301"/>
      <c r="AK42" s="301"/>
      <c r="AL42" s="301"/>
      <c r="AM42" s="301"/>
      <c r="AN42" s="301"/>
      <c r="AO42" s="301"/>
      <c r="AP42" s="301"/>
      <c r="AQ42" s="301"/>
      <c r="AR42" s="301"/>
      <c r="AS42" s="301"/>
      <c r="AT42" s="301"/>
      <c r="AU42" s="301"/>
      <c r="AV42" s="301"/>
      <c r="AW42" s="301"/>
      <c r="AX42" s="301"/>
    </row>
    <row r="43" spans="1:50" x14ac:dyDescent="0.2">
      <c r="A43" s="85"/>
      <c r="B43" s="342" t="s">
        <v>410</v>
      </c>
      <c r="C43" s="342">
        <f ca="1">+C18*C24*C40</f>
        <v>2.4923890466832512</v>
      </c>
      <c r="D43" s="342">
        <f>+C18*D24*D40</f>
        <v>184.23228286005209</v>
      </c>
      <c r="E43" s="342">
        <f>+C18*E24*E40</f>
        <v>45.756562393730583</v>
      </c>
      <c r="F43" s="342">
        <f>+C18*F24*F40</f>
        <v>0</v>
      </c>
      <c r="G43" s="342">
        <f>+C18*G24*G40</f>
        <v>0</v>
      </c>
      <c r="H43" s="343">
        <f ca="1">+(C43*C23+D43*D23+E43*E23+F43*F23+G23*G43)/H23</f>
        <v>88.167598576144997</v>
      </c>
      <c r="I43" s="294"/>
      <c r="J43" s="301"/>
      <c r="K43" s="479"/>
      <c r="L43" s="309" t="s">
        <v>412</v>
      </c>
      <c r="M43" s="350">
        <v>1</v>
      </c>
      <c r="N43" s="350">
        <v>2</v>
      </c>
      <c r="O43" s="350">
        <v>3</v>
      </c>
      <c r="P43" s="301"/>
      <c r="Q43" s="279"/>
      <c r="R43" s="279"/>
      <c r="S43" s="279"/>
      <c r="T43" s="279"/>
      <c r="U43" s="279"/>
      <c r="V43" s="279"/>
      <c r="W43" s="328"/>
      <c r="X43" s="301"/>
      <c r="Y43" s="301"/>
      <c r="Z43" s="301"/>
      <c r="AA43" s="301"/>
      <c r="AB43" s="301"/>
      <c r="AC43" s="301"/>
      <c r="AD43" s="301"/>
      <c r="AE43" s="301"/>
      <c r="AF43" s="301"/>
      <c r="AG43" s="301"/>
      <c r="AH43" s="301"/>
      <c r="AI43" s="301"/>
      <c r="AJ43" s="301"/>
      <c r="AK43" s="301"/>
      <c r="AL43" s="301"/>
      <c r="AM43" s="301"/>
      <c r="AN43" s="301"/>
      <c r="AO43" s="301"/>
      <c r="AP43" s="301"/>
      <c r="AQ43" s="301"/>
      <c r="AR43" s="301"/>
      <c r="AS43" s="301"/>
      <c r="AT43" s="301"/>
      <c r="AU43" s="301"/>
      <c r="AV43" s="301"/>
      <c r="AW43" s="301"/>
      <c r="AX43" s="301"/>
    </row>
    <row r="44" spans="1:50" x14ac:dyDescent="0.2">
      <c r="A44" s="85"/>
      <c r="B44" s="301"/>
      <c r="C44" s="301"/>
      <c r="D44" s="301"/>
      <c r="E44" s="301"/>
      <c r="F44" s="301"/>
      <c r="G44" s="301"/>
      <c r="H44" s="301"/>
      <c r="I44" s="294"/>
      <c r="J44" s="301"/>
      <c r="K44" s="329">
        <v>1</v>
      </c>
      <c r="L44" s="310" t="s">
        <v>409</v>
      </c>
      <c r="M44" s="307">
        <v>0.54</v>
      </c>
      <c r="N44" s="307">
        <v>0.62</v>
      </c>
      <c r="O44" s="307">
        <v>0.8</v>
      </c>
      <c r="P44" s="319"/>
      <c r="Q44" s="473" t="s">
        <v>487</v>
      </c>
      <c r="R44" s="473"/>
      <c r="S44" s="473"/>
      <c r="T44" s="473"/>
      <c r="U44" s="473"/>
      <c r="V44" s="279"/>
      <c r="W44" s="328"/>
      <c r="X44" s="301"/>
      <c r="Y44" s="301"/>
      <c r="Z44" s="301"/>
      <c r="AA44" s="301"/>
      <c r="AB44" s="301"/>
      <c r="AC44" s="301"/>
      <c r="AD44" s="301"/>
      <c r="AE44" s="301"/>
      <c r="AF44" s="301"/>
      <c r="AG44" s="301"/>
      <c r="AH44" s="301"/>
      <c r="AI44" s="301"/>
      <c r="AJ44" s="301"/>
      <c r="AK44" s="301"/>
      <c r="AL44" s="301"/>
      <c r="AM44" s="301"/>
      <c r="AN44" s="301"/>
      <c r="AO44" s="301"/>
      <c r="AP44" s="301"/>
      <c r="AQ44" s="301"/>
      <c r="AR44" s="301"/>
      <c r="AS44" s="301"/>
      <c r="AT44" s="301"/>
      <c r="AU44" s="301"/>
      <c r="AV44" s="301"/>
      <c r="AW44" s="301"/>
      <c r="AX44" s="301"/>
    </row>
    <row r="45" spans="1:50" x14ac:dyDescent="0.2">
      <c r="A45" s="85"/>
      <c r="B45" s="301"/>
      <c r="C45" s="301"/>
      <c r="D45" s="301"/>
      <c r="E45" s="301"/>
      <c r="F45" s="301"/>
      <c r="G45" s="301"/>
      <c r="H45" s="301"/>
      <c r="I45" s="294"/>
      <c r="J45" s="301"/>
      <c r="K45" s="329">
        <v>2</v>
      </c>
      <c r="L45" s="310" t="s">
        <v>407</v>
      </c>
      <c r="M45" s="307">
        <v>0.05</v>
      </c>
      <c r="N45" s="307">
        <v>0.1</v>
      </c>
      <c r="O45" s="307">
        <v>0.15</v>
      </c>
      <c r="P45" s="320"/>
      <c r="Q45" s="351" t="s">
        <v>284</v>
      </c>
      <c r="R45" s="351" t="s">
        <v>488</v>
      </c>
      <c r="S45" s="351" t="s">
        <v>489</v>
      </c>
      <c r="T45" s="352" t="s">
        <v>466</v>
      </c>
      <c r="U45" s="352" t="s">
        <v>299</v>
      </c>
      <c r="V45" s="279"/>
      <c r="W45" s="328"/>
      <c r="X45" s="301"/>
      <c r="Y45" s="301"/>
      <c r="Z45" s="301"/>
      <c r="AA45" s="301"/>
      <c r="AB45" s="301"/>
      <c r="AC45" s="301"/>
      <c r="AD45" s="301"/>
      <c r="AE45" s="301"/>
      <c r="AF45" s="301"/>
      <c r="AG45" s="301"/>
      <c r="AH45" s="301"/>
      <c r="AI45" s="301"/>
      <c r="AJ45" s="301"/>
      <c r="AK45" s="301"/>
      <c r="AL45" s="301"/>
      <c r="AM45" s="301"/>
      <c r="AN45" s="301"/>
      <c r="AO45" s="301"/>
      <c r="AP45" s="301"/>
      <c r="AQ45" s="301"/>
      <c r="AR45" s="301"/>
      <c r="AS45" s="301"/>
      <c r="AT45" s="301"/>
      <c r="AU45" s="301"/>
      <c r="AV45" s="301"/>
      <c r="AW45" s="301"/>
      <c r="AX45" s="301"/>
    </row>
    <row r="46" spans="1:50" ht="18" x14ac:dyDescent="0.2">
      <c r="A46" s="85"/>
      <c r="B46" s="491" t="s">
        <v>504</v>
      </c>
      <c r="C46" s="491"/>
      <c r="D46" s="491"/>
      <c r="E46" s="491"/>
      <c r="F46" s="491"/>
      <c r="G46" s="491"/>
      <c r="H46" s="491"/>
      <c r="I46" s="294"/>
      <c r="J46" s="301"/>
      <c r="K46" s="329">
        <v>3</v>
      </c>
      <c r="L46" s="310" t="s">
        <v>405</v>
      </c>
      <c r="M46" s="307">
        <v>0.1</v>
      </c>
      <c r="N46" s="307">
        <v>0.15</v>
      </c>
      <c r="O46" s="307">
        <v>0.2</v>
      </c>
      <c r="P46" s="320"/>
      <c r="Q46" s="353">
        <v>1</v>
      </c>
      <c r="R46" s="354" t="s">
        <v>490</v>
      </c>
      <c r="S46" s="354">
        <v>0.92</v>
      </c>
      <c r="T46" s="355">
        <v>1.2078</v>
      </c>
      <c r="U46" s="355">
        <v>2.2759999999999998E-3</v>
      </c>
      <c r="V46" s="279"/>
      <c r="W46" s="328"/>
      <c r="X46" s="301"/>
      <c r="Y46" s="301"/>
      <c r="Z46" s="301"/>
      <c r="AA46" s="301"/>
      <c r="AB46" s="301"/>
      <c r="AC46" s="301"/>
      <c r="AD46" s="301"/>
      <c r="AE46" s="301"/>
      <c r="AF46" s="301"/>
      <c r="AG46" s="301"/>
      <c r="AH46" s="301"/>
      <c r="AI46" s="301"/>
      <c r="AJ46" s="301"/>
      <c r="AK46" s="301"/>
      <c r="AL46" s="301"/>
      <c r="AM46" s="301"/>
      <c r="AN46" s="301"/>
      <c r="AO46" s="301"/>
      <c r="AP46" s="301"/>
      <c r="AQ46" s="301"/>
      <c r="AR46" s="301"/>
      <c r="AS46" s="301"/>
      <c r="AT46" s="301"/>
      <c r="AU46" s="301"/>
      <c r="AV46" s="301"/>
      <c r="AW46" s="301"/>
      <c r="AX46" s="301"/>
    </row>
    <row r="47" spans="1:50" x14ac:dyDescent="0.2">
      <c r="A47" s="85"/>
      <c r="B47" s="301"/>
      <c r="C47" s="301"/>
      <c r="D47" s="301"/>
      <c r="E47" s="301"/>
      <c r="F47" s="301"/>
      <c r="G47" s="301"/>
      <c r="H47" s="301"/>
      <c r="I47" s="294"/>
      <c r="J47" s="301"/>
      <c r="K47" s="329">
        <v>4</v>
      </c>
      <c r="L47" s="310" t="s">
        <v>403</v>
      </c>
      <c r="M47" s="307">
        <v>0.3</v>
      </c>
      <c r="N47" s="307">
        <v>0.42</v>
      </c>
      <c r="O47" s="307">
        <v>0.49</v>
      </c>
      <c r="P47" s="319"/>
      <c r="Q47" s="353">
        <v>2</v>
      </c>
      <c r="R47" s="354" t="s">
        <v>491</v>
      </c>
      <c r="S47" s="354">
        <v>0.93</v>
      </c>
      <c r="T47" s="355">
        <v>3.4554999999999998</v>
      </c>
      <c r="U47" s="355">
        <v>6.4700000000000001E-3</v>
      </c>
      <c r="V47" s="279"/>
      <c r="W47" s="328"/>
      <c r="X47" s="301"/>
      <c r="Y47" s="301"/>
      <c r="Z47" s="301"/>
      <c r="AA47" s="301"/>
      <c r="AB47" s="301"/>
      <c r="AC47" s="301"/>
      <c r="AD47" s="301"/>
      <c r="AE47" s="301"/>
      <c r="AF47" s="301"/>
      <c r="AG47" s="301"/>
      <c r="AH47" s="301"/>
      <c r="AI47" s="301"/>
      <c r="AJ47" s="301"/>
      <c r="AK47" s="301"/>
      <c r="AL47" s="301"/>
      <c r="AM47" s="301"/>
      <c r="AN47" s="301"/>
      <c r="AO47" s="301"/>
      <c r="AP47" s="301"/>
      <c r="AQ47" s="301"/>
      <c r="AR47" s="301"/>
      <c r="AS47" s="301"/>
      <c r="AT47" s="301"/>
      <c r="AU47" s="301"/>
      <c r="AV47" s="301"/>
      <c r="AW47" s="301"/>
      <c r="AX47" s="301"/>
    </row>
    <row r="48" spans="1:50" x14ac:dyDescent="0.2">
      <c r="A48" s="85"/>
      <c r="B48" s="301"/>
      <c r="C48" s="301"/>
      <c r="D48" s="301"/>
      <c r="E48" s="301"/>
      <c r="F48" s="301"/>
      <c r="G48" s="301"/>
      <c r="H48" s="301"/>
      <c r="I48" s="294"/>
      <c r="J48" s="301"/>
      <c r="K48" s="329">
        <v>5</v>
      </c>
      <c r="L48" s="310" t="s">
        <v>401</v>
      </c>
      <c r="M48" s="307">
        <v>4.0000000000000001E-3</v>
      </c>
      <c r="N48" s="307">
        <v>0.01</v>
      </c>
      <c r="O48" s="307">
        <v>0.1</v>
      </c>
      <c r="P48" s="319"/>
      <c r="Q48" s="353">
        <v>3</v>
      </c>
      <c r="R48" s="354" t="s">
        <v>492</v>
      </c>
      <c r="S48" s="354">
        <v>0.94</v>
      </c>
      <c r="T48" s="355">
        <v>3.6751999999999998</v>
      </c>
      <c r="U48" s="355">
        <v>-1.72E-3</v>
      </c>
      <c r="V48" s="279"/>
      <c r="W48" s="328"/>
      <c r="X48" s="301"/>
      <c r="Y48" s="301"/>
      <c r="Z48" s="301"/>
      <c r="AA48" s="301"/>
      <c r="AB48" s="301"/>
      <c r="AC48" s="301"/>
      <c r="AD48" s="301"/>
      <c r="AE48" s="301"/>
      <c r="AF48" s="301"/>
      <c r="AG48" s="301"/>
      <c r="AH48" s="301"/>
      <c r="AI48" s="301"/>
      <c r="AJ48" s="301"/>
      <c r="AK48" s="301"/>
      <c r="AL48" s="301"/>
      <c r="AM48" s="301"/>
      <c r="AN48" s="301"/>
      <c r="AO48" s="301"/>
      <c r="AP48" s="301"/>
      <c r="AQ48" s="301"/>
      <c r="AR48" s="301"/>
      <c r="AS48" s="301"/>
      <c r="AT48" s="301"/>
      <c r="AU48" s="301"/>
      <c r="AV48" s="301"/>
      <c r="AW48" s="301"/>
      <c r="AX48" s="301"/>
    </row>
    <row r="49" spans="1:50" x14ac:dyDescent="0.2">
      <c r="A49" s="85"/>
      <c r="B49" s="483" t="s">
        <v>395</v>
      </c>
      <c r="C49" s="483"/>
      <c r="D49" s="483"/>
      <c r="E49" s="483"/>
      <c r="F49" s="483"/>
      <c r="G49" s="483"/>
      <c r="H49" s="301"/>
      <c r="I49" s="294"/>
      <c r="J49" s="301"/>
      <c r="K49" s="329">
        <v>6</v>
      </c>
      <c r="L49" s="310" t="s">
        <v>399</v>
      </c>
      <c r="M49" s="307">
        <v>0.02</v>
      </c>
      <c r="N49" s="307">
        <v>0.05</v>
      </c>
      <c r="O49" s="307">
        <v>0.1</v>
      </c>
      <c r="P49" s="319"/>
      <c r="Q49" s="353">
        <v>4</v>
      </c>
      <c r="R49" s="354" t="s">
        <v>493</v>
      </c>
      <c r="S49" s="354">
        <v>0.92</v>
      </c>
      <c r="T49" s="355">
        <v>2.8559000000000001</v>
      </c>
      <c r="U49" s="355">
        <v>2.983E-3</v>
      </c>
      <c r="V49" s="279"/>
      <c r="W49" s="328"/>
      <c r="X49" s="301"/>
      <c r="Y49" s="301"/>
      <c r="Z49" s="301"/>
      <c r="AA49" s="301"/>
      <c r="AB49" s="301"/>
      <c r="AC49" s="301"/>
      <c r="AD49" s="301"/>
      <c r="AE49" s="301"/>
      <c r="AF49" s="301"/>
      <c r="AG49" s="301"/>
      <c r="AH49" s="301"/>
      <c r="AI49" s="301"/>
      <c r="AJ49" s="301"/>
      <c r="AK49" s="301"/>
      <c r="AL49" s="301"/>
      <c r="AM49" s="301"/>
      <c r="AN49" s="301"/>
      <c r="AO49" s="301"/>
      <c r="AP49" s="301"/>
      <c r="AQ49" s="301"/>
      <c r="AR49" s="301"/>
      <c r="AS49" s="301"/>
      <c r="AT49" s="301"/>
      <c r="AU49" s="301"/>
      <c r="AV49" s="301"/>
      <c r="AW49" s="301"/>
      <c r="AX49" s="301"/>
    </row>
    <row r="50" spans="1:50" x14ac:dyDescent="0.2">
      <c r="A50" s="85"/>
      <c r="B50" s="300" t="s">
        <v>475</v>
      </c>
      <c r="C50" s="331" t="s">
        <v>476</v>
      </c>
      <c r="D50" s="331" t="s">
        <v>477</v>
      </c>
      <c r="E50" s="331" t="s">
        <v>478</v>
      </c>
      <c r="F50" s="331" t="s">
        <v>479</v>
      </c>
      <c r="G50" s="331" t="s">
        <v>480</v>
      </c>
      <c r="H50" s="311"/>
      <c r="I50" s="294"/>
      <c r="J50" s="301"/>
      <c r="K50" s="329">
        <v>7</v>
      </c>
      <c r="L50" s="310" t="s">
        <v>397</v>
      </c>
      <c r="M50" s="307">
        <v>2.5000000000000001E-2</v>
      </c>
      <c r="N50" s="307">
        <v>0.05</v>
      </c>
      <c r="O50" s="307">
        <v>0.1</v>
      </c>
      <c r="P50" s="319"/>
      <c r="Q50" s="353">
        <v>5</v>
      </c>
      <c r="R50" s="354" t="s">
        <v>494</v>
      </c>
      <c r="S50" s="354">
        <v>0.94</v>
      </c>
      <c r="T50" s="355">
        <v>3.488</v>
      </c>
      <c r="U50" s="355">
        <v>-8.8000000000000003E-4</v>
      </c>
      <c r="V50" s="279"/>
      <c r="W50" s="328"/>
      <c r="X50" s="301"/>
      <c r="Y50" s="301"/>
      <c r="Z50" s="301"/>
      <c r="AA50" s="301"/>
      <c r="AB50" s="301"/>
      <c r="AC50" s="301"/>
      <c r="AD50" s="301"/>
      <c r="AE50" s="301"/>
      <c r="AF50" s="301"/>
      <c r="AG50" s="301"/>
      <c r="AH50" s="301"/>
      <c r="AI50" s="301"/>
      <c r="AJ50" s="301"/>
      <c r="AK50" s="301"/>
      <c r="AL50" s="301"/>
      <c r="AM50" s="301"/>
      <c r="AN50" s="301"/>
      <c r="AO50" s="301"/>
      <c r="AP50" s="301"/>
      <c r="AQ50" s="301"/>
      <c r="AR50" s="301"/>
      <c r="AS50" s="301"/>
      <c r="AT50" s="301"/>
      <c r="AU50" s="301"/>
      <c r="AV50" s="301"/>
      <c r="AW50" s="301"/>
      <c r="AX50" s="301"/>
    </row>
    <row r="51" spans="1:50" x14ac:dyDescent="0.2">
      <c r="A51" s="85"/>
      <c r="B51" s="332" t="s">
        <v>395</v>
      </c>
      <c r="C51" s="325">
        <f>+IF(C53=1,LOOKUP(C52,K44:K65,M44:M65),IF(C53=2,LOOKUP(C52,K44:K65,N44:N65),IF(C53=3,LOOKUP(C52,K44:K65,O44:O65),0)))</f>
        <v>0.1</v>
      </c>
      <c r="D51" s="325">
        <f>+IF(D53=1,LOOKUP(D52,K44:K65,M44:M65),IF(D53=2,LOOKUP(D52,K44:K65,N44:N65),IF(D53=3,LOOKUP(D52,K44:K65,O44:O65),0)))</f>
        <v>0.22</v>
      </c>
      <c r="E51" s="325">
        <f>+IF(E53=1,LOOKUP(E52,K44:K65,M44:M65),IF(E53=2,LOOKUP(E52,K44:K65,N44:N65),IF(E53=3,LOOKUP(E52,K44:K65,O44:O65),0)))</f>
        <v>0.8</v>
      </c>
      <c r="F51" s="325">
        <f>+IF(F53=1,LOOKUP(F52,K44:K65,M44:M65),IF(F53=2,LOOKUP(F52,K44:K65,N44:N65),IF(F53=3,LOOKUP(F52,K44:K65,O44:O65),0)))</f>
        <v>0.1</v>
      </c>
      <c r="G51" s="325">
        <f>+IF(G53=1,LOOKUP(G52,K41:K64,M44:M65),IF(G53=2,LOOKUP(G52,K44:K65,N44:N65),IF(G53=3,LOOKUP(G52,K44:K65,O44:O65),0)))</f>
        <v>0.15</v>
      </c>
      <c r="H51" s="311"/>
      <c r="I51" s="294"/>
      <c r="J51" s="301"/>
      <c r="K51" s="329">
        <v>8</v>
      </c>
      <c r="L51" s="310" t="s">
        <v>394</v>
      </c>
      <c r="M51" s="307">
        <v>0.43</v>
      </c>
      <c r="N51" s="307">
        <v>0.55000000000000004</v>
      </c>
      <c r="O51" s="307">
        <v>0.7</v>
      </c>
      <c r="P51" s="319"/>
      <c r="Q51" s="353">
        <v>6</v>
      </c>
      <c r="R51" s="354" t="s">
        <v>495</v>
      </c>
      <c r="S51" s="354">
        <v>0.9</v>
      </c>
      <c r="T51" s="355">
        <v>6.6847000000000003</v>
      </c>
      <c r="U51" s="355">
        <v>1.6800000000000001E-3</v>
      </c>
      <c r="V51" s="279"/>
      <c r="W51" s="328"/>
      <c r="X51" s="301"/>
      <c r="Y51" s="301"/>
      <c r="Z51" s="301"/>
      <c r="AA51" s="301"/>
      <c r="AB51" s="301"/>
      <c r="AC51" s="301"/>
      <c r="AD51" s="301"/>
      <c r="AE51" s="301"/>
      <c r="AF51" s="301"/>
      <c r="AG51" s="301"/>
      <c r="AH51" s="301"/>
      <c r="AI51" s="301"/>
      <c r="AJ51" s="301"/>
      <c r="AK51" s="301"/>
      <c r="AL51" s="301"/>
      <c r="AM51" s="301"/>
      <c r="AN51" s="301"/>
      <c r="AO51" s="301"/>
      <c r="AP51" s="301"/>
      <c r="AQ51" s="301"/>
      <c r="AR51" s="301"/>
      <c r="AS51" s="301"/>
      <c r="AT51" s="301"/>
      <c r="AU51" s="301"/>
      <c r="AV51" s="301"/>
      <c r="AW51" s="301"/>
      <c r="AX51" s="301"/>
    </row>
    <row r="52" spans="1:50" ht="18" x14ac:dyDescent="0.2">
      <c r="A52" s="85"/>
      <c r="B52" s="298" t="s">
        <v>482</v>
      </c>
      <c r="C52" s="335">
        <v>14</v>
      </c>
      <c r="D52" s="335">
        <v>16</v>
      </c>
      <c r="E52" s="335">
        <v>1</v>
      </c>
      <c r="F52" s="335">
        <v>6</v>
      </c>
      <c r="G52" s="335">
        <v>2</v>
      </c>
      <c r="H52" s="293"/>
      <c r="I52" s="294"/>
      <c r="J52" s="301"/>
      <c r="K52" s="329">
        <v>9</v>
      </c>
      <c r="L52" s="310" t="s">
        <v>392</v>
      </c>
      <c r="M52" s="307">
        <v>0.11</v>
      </c>
      <c r="N52" s="307">
        <v>0.18</v>
      </c>
      <c r="O52" s="307">
        <v>0.25</v>
      </c>
      <c r="P52" s="319"/>
      <c r="Q52" s="353">
        <v>7</v>
      </c>
      <c r="R52" s="354" t="s">
        <v>496</v>
      </c>
      <c r="S52" s="354">
        <v>0.98</v>
      </c>
      <c r="T52" s="355">
        <v>-3.3399999999999999E-2</v>
      </c>
      <c r="U52" s="355">
        <v>6.6600000000000001E-3</v>
      </c>
      <c r="V52" s="279"/>
      <c r="W52" s="328"/>
      <c r="X52" s="301"/>
      <c r="Y52" s="301"/>
      <c r="Z52" s="301"/>
      <c r="AA52" s="301"/>
      <c r="AB52" s="301"/>
      <c r="AC52" s="301"/>
      <c r="AD52" s="301"/>
      <c r="AE52" s="301"/>
      <c r="AF52" s="301"/>
      <c r="AG52" s="301"/>
      <c r="AH52" s="301"/>
      <c r="AI52" s="301"/>
      <c r="AJ52" s="301"/>
      <c r="AK52" s="301"/>
      <c r="AL52" s="301"/>
      <c r="AM52" s="301"/>
      <c r="AN52" s="301"/>
      <c r="AO52" s="301"/>
      <c r="AP52" s="301"/>
      <c r="AQ52" s="301"/>
      <c r="AR52" s="301"/>
      <c r="AS52" s="301"/>
      <c r="AT52" s="301"/>
      <c r="AU52" s="301"/>
      <c r="AV52" s="301"/>
      <c r="AW52" s="301"/>
      <c r="AX52" s="301"/>
    </row>
    <row r="53" spans="1:50" ht="29.25" x14ac:dyDescent="0.2">
      <c r="A53" s="85"/>
      <c r="B53" s="298" t="s">
        <v>483</v>
      </c>
      <c r="C53" s="335">
        <v>3</v>
      </c>
      <c r="D53" s="335">
        <v>2</v>
      </c>
      <c r="E53" s="335">
        <v>3</v>
      </c>
      <c r="F53" s="335">
        <v>3</v>
      </c>
      <c r="G53" s="335">
        <v>3</v>
      </c>
      <c r="H53" s="293"/>
      <c r="I53" s="294"/>
      <c r="J53" s="301"/>
      <c r="K53" s="329">
        <v>10</v>
      </c>
      <c r="L53" s="310" t="s">
        <v>390</v>
      </c>
      <c r="M53" s="307">
        <v>0.48</v>
      </c>
      <c r="N53" s="307"/>
      <c r="O53" s="307"/>
      <c r="P53" s="319"/>
      <c r="Q53" s="353">
        <v>8</v>
      </c>
      <c r="R53" s="354" t="s">
        <v>497</v>
      </c>
      <c r="S53" s="354">
        <v>0.98</v>
      </c>
      <c r="T53" s="355">
        <v>1.9966999999999999</v>
      </c>
      <c r="U53" s="355">
        <v>3.2699999999999999E-3</v>
      </c>
      <c r="V53" s="279"/>
      <c r="W53" s="328"/>
      <c r="X53" s="301"/>
      <c r="Y53" s="301"/>
      <c r="Z53" s="301"/>
      <c r="AA53" s="301"/>
      <c r="AB53" s="301"/>
      <c r="AC53" s="301"/>
      <c r="AD53" s="301"/>
      <c r="AE53" s="301"/>
      <c r="AF53" s="301"/>
      <c r="AG53" s="301"/>
      <c r="AH53" s="301"/>
      <c r="AI53" s="301"/>
      <c r="AJ53" s="301"/>
      <c r="AK53" s="301"/>
      <c r="AL53" s="301"/>
      <c r="AM53" s="301"/>
      <c r="AN53" s="301"/>
      <c r="AO53" s="301"/>
      <c r="AP53" s="301"/>
      <c r="AQ53" s="301"/>
      <c r="AR53" s="301"/>
      <c r="AS53" s="301"/>
      <c r="AT53" s="301"/>
      <c r="AU53" s="301"/>
      <c r="AV53" s="301"/>
      <c r="AW53" s="301"/>
      <c r="AX53" s="301"/>
    </row>
    <row r="54" spans="1:50" x14ac:dyDescent="0.2">
      <c r="A54" s="85"/>
      <c r="B54" s="484" t="s">
        <v>388</v>
      </c>
      <c r="C54" s="485"/>
      <c r="D54" s="485"/>
      <c r="E54" s="485"/>
      <c r="F54" s="485"/>
      <c r="G54" s="486"/>
      <c r="H54" s="326">
        <f>+(C51*C23+D51*D23+E51*E23+F51*F23+G23*G51)/H23</f>
        <v>0.35799999999999998</v>
      </c>
      <c r="I54" s="294"/>
      <c r="J54" s="301"/>
      <c r="K54" s="329">
        <v>11</v>
      </c>
      <c r="L54" s="310" t="s">
        <v>387</v>
      </c>
      <c r="M54" s="307">
        <v>0.18</v>
      </c>
      <c r="N54" s="307"/>
      <c r="O54" s="307"/>
      <c r="P54" s="321"/>
      <c r="Q54" s="353">
        <v>9</v>
      </c>
      <c r="R54" s="354" t="s">
        <v>498</v>
      </c>
      <c r="S54" s="354">
        <v>0.97</v>
      </c>
      <c r="T54" s="355">
        <v>7.0457999999999998</v>
      </c>
      <c r="U54" s="355">
        <v>-2.0960000000000002E-3</v>
      </c>
      <c r="V54" s="279"/>
      <c r="W54" s="328"/>
      <c r="X54" s="301"/>
      <c r="Y54" s="301"/>
      <c r="Z54" s="301"/>
      <c r="AA54" s="301"/>
      <c r="AB54" s="301"/>
      <c r="AC54" s="301"/>
      <c r="AD54" s="301"/>
      <c r="AE54" s="301"/>
      <c r="AF54" s="301"/>
      <c r="AG54" s="301"/>
      <c r="AH54" s="301"/>
      <c r="AI54" s="301"/>
      <c r="AJ54" s="301"/>
      <c r="AK54" s="301"/>
      <c r="AL54" s="301"/>
      <c r="AM54" s="301"/>
      <c r="AN54" s="301"/>
      <c r="AO54" s="301"/>
      <c r="AP54" s="301"/>
      <c r="AQ54" s="301"/>
      <c r="AR54" s="301"/>
      <c r="AS54" s="301"/>
      <c r="AT54" s="301"/>
      <c r="AU54" s="301"/>
      <c r="AV54" s="301"/>
      <c r="AW54" s="301"/>
      <c r="AX54" s="301"/>
    </row>
    <row r="55" spans="1:50" x14ac:dyDescent="0.2">
      <c r="A55" s="85"/>
      <c r="B55" s="301"/>
      <c r="C55" s="301"/>
      <c r="D55" s="301"/>
      <c r="E55" s="301"/>
      <c r="F55" s="301"/>
      <c r="G55" s="301"/>
      <c r="H55" s="301"/>
      <c r="I55" s="294"/>
      <c r="J55" s="301"/>
      <c r="K55" s="329">
        <v>12</v>
      </c>
      <c r="L55" s="310" t="s">
        <v>385</v>
      </c>
      <c r="M55" s="307">
        <v>0.15</v>
      </c>
      <c r="N55" s="307">
        <v>0.39</v>
      </c>
      <c r="O55" s="307">
        <v>0.53</v>
      </c>
      <c r="P55" s="319"/>
      <c r="Q55" s="353">
        <v>10</v>
      </c>
      <c r="R55" s="354" t="s">
        <v>499</v>
      </c>
      <c r="S55" s="354">
        <v>0.95</v>
      </c>
      <c r="T55" s="355">
        <v>6.8937999999999997</v>
      </c>
      <c r="U55" s="355">
        <v>4.4200000000000001E-4</v>
      </c>
      <c r="V55" s="279"/>
      <c r="W55" s="328"/>
      <c r="X55" s="301"/>
      <c r="Y55" s="301"/>
      <c r="Z55" s="301"/>
      <c r="AA55" s="301"/>
      <c r="AB55" s="301"/>
      <c r="AC55" s="301"/>
      <c r="AD55" s="301"/>
      <c r="AE55" s="301"/>
      <c r="AF55" s="301"/>
      <c r="AG55" s="301"/>
      <c r="AH55" s="301"/>
      <c r="AI55" s="301"/>
      <c r="AJ55" s="301"/>
      <c r="AK55" s="301"/>
      <c r="AL55" s="301"/>
      <c r="AM55" s="301"/>
      <c r="AN55" s="301"/>
      <c r="AO55" s="301"/>
      <c r="AP55" s="301"/>
      <c r="AQ55" s="301"/>
      <c r="AR55" s="301"/>
      <c r="AS55" s="301"/>
      <c r="AT55" s="301"/>
      <c r="AU55" s="301"/>
      <c r="AV55" s="301"/>
      <c r="AW55" s="301"/>
      <c r="AX55" s="301"/>
    </row>
    <row r="56" spans="1:50" x14ac:dyDescent="0.2">
      <c r="A56" s="85"/>
      <c r="B56" s="301"/>
      <c r="C56" s="301"/>
      <c r="D56" s="301"/>
      <c r="E56" s="301"/>
      <c r="F56" s="301"/>
      <c r="G56" s="301"/>
      <c r="H56" s="301"/>
      <c r="I56" s="294"/>
      <c r="J56" s="301"/>
      <c r="K56" s="329">
        <v>13</v>
      </c>
      <c r="L56" s="310" t="s">
        <v>384</v>
      </c>
      <c r="M56" s="307">
        <v>0.1</v>
      </c>
      <c r="N56" s="307">
        <v>0.18</v>
      </c>
      <c r="O56" s="307">
        <v>0.25</v>
      </c>
      <c r="P56" s="319"/>
      <c r="Q56" s="353">
        <v>11</v>
      </c>
      <c r="R56" s="354" t="s">
        <v>500</v>
      </c>
      <c r="S56" s="354">
        <v>0.98</v>
      </c>
      <c r="T56" s="355">
        <v>3.7745000000000002</v>
      </c>
      <c r="U56" s="355">
        <v>4.5399999999999998E-3</v>
      </c>
      <c r="V56" s="277"/>
      <c r="W56" s="301"/>
      <c r="X56" s="301"/>
      <c r="Y56" s="301"/>
      <c r="Z56" s="301"/>
      <c r="AA56" s="301"/>
      <c r="AB56" s="301"/>
      <c r="AC56" s="301"/>
      <c r="AD56" s="301"/>
      <c r="AE56" s="301"/>
      <c r="AF56" s="301"/>
      <c r="AG56" s="301"/>
      <c r="AH56" s="301"/>
      <c r="AI56" s="301"/>
      <c r="AJ56" s="301"/>
      <c r="AK56" s="301"/>
      <c r="AL56" s="301"/>
      <c r="AM56" s="301"/>
      <c r="AN56" s="301"/>
      <c r="AO56" s="301"/>
      <c r="AP56" s="301"/>
      <c r="AQ56" s="301"/>
      <c r="AR56" s="301"/>
      <c r="AS56" s="301"/>
      <c r="AT56" s="301"/>
      <c r="AU56" s="301"/>
      <c r="AV56" s="301"/>
      <c r="AW56" s="301"/>
      <c r="AX56" s="301"/>
    </row>
    <row r="57" spans="1:50" x14ac:dyDescent="0.2">
      <c r="A57" s="85"/>
      <c r="B57" s="465" t="s">
        <v>376</v>
      </c>
      <c r="C57" s="466"/>
      <c r="D57" s="466"/>
      <c r="E57" s="466"/>
      <c r="F57" s="466"/>
      <c r="G57" s="466"/>
      <c r="H57" s="466"/>
      <c r="I57" s="294"/>
      <c r="J57" s="301"/>
      <c r="K57" s="329">
        <v>14</v>
      </c>
      <c r="L57" s="310" t="s">
        <v>383</v>
      </c>
      <c r="M57" s="307">
        <v>1E-3</v>
      </c>
      <c r="N57" s="307">
        <v>0.01</v>
      </c>
      <c r="O57" s="307">
        <v>0.1</v>
      </c>
      <c r="P57" s="319"/>
      <c r="Q57" s="353">
        <v>12</v>
      </c>
      <c r="R57" s="354" t="s">
        <v>501</v>
      </c>
      <c r="S57" s="354">
        <v>0.96</v>
      </c>
      <c r="T57" s="355">
        <v>2.4619</v>
      </c>
      <c r="U57" s="355">
        <v>6.0670000000000003E-3</v>
      </c>
      <c r="V57" s="277"/>
      <c r="W57" s="301"/>
      <c r="X57" s="301"/>
      <c r="Y57" s="301"/>
      <c r="Z57" s="301"/>
      <c r="AA57" s="301"/>
      <c r="AB57" s="301"/>
      <c r="AC57" s="301"/>
      <c r="AD57" s="301"/>
      <c r="AE57" s="301"/>
      <c r="AF57" s="301"/>
      <c r="AG57" s="301"/>
      <c r="AH57" s="301"/>
      <c r="AI57" s="301"/>
      <c r="AJ57" s="301"/>
      <c r="AK57" s="301"/>
      <c r="AL57" s="301"/>
      <c r="AM57" s="301"/>
      <c r="AN57" s="301"/>
      <c r="AO57" s="301"/>
      <c r="AP57" s="301"/>
      <c r="AQ57" s="301"/>
      <c r="AR57" s="301"/>
      <c r="AS57" s="301"/>
      <c r="AT57" s="301"/>
      <c r="AU57" s="301"/>
      <c r="AV57" s="301"/>
      <c r="AW57" s="301"/>
      <c r="AX57" s="301"/>
    </row>
    <row r="58" spans="1:50" x14ac:dyDescent="0.2">
      <c r="A58" s="85"/>
      <c r="B58" s="300" t="s">
        <v>475</v>
      </c>
      <c r="C58" s="331" t="s">
        <v>476</v>
      </c>
      <c r="D58" s="331" t="s">
        <v>477</v>
      </c>
      <c r="E58" s="331" t="s">
        <v>478</v>
      </c>
      <c r="F58" s="331" t="s">
        <v>479</v>
      </c>
      <c r="G58" s="331" t="s">
        <v>480</v>
      </c>
      <c r="H58" s="301"/>
      <c r="I58" s="294"/>
      <c r="J58" s="301"/>
      <c r="K58" s="329">
        <v>15</v>
      </c>
      <c r="L58" s="310" t="s">
        <v>377</v>
      </c>
      <c r="M58" s="307">
        <v>0.01</v>
      </c>
      <c r="N58" s="307">
        <v>0.54</v>
      </c>
      <c r="O58" s="302"/>
      <c r="P58" s="293"/>
      <c r="Q58" s="353">
        <v>13</v>
      </c>
      <c r="R58" s="354" t="s">
        <v>502</v>
      </c>
      <c r="S58" s="354">
        <v>0.97</v>
      </c>
      <c r="T58" s="355">
        <v>10.742699999999999</v>
      </c>
      <c r="U58" s="355">
        <v>-1.08E-3</v>
      </c>
      <c r="V58" s="277"/>
      <c r="W58" s="301"/>
      <c r="X58" s="301"/>
      <c r="Y58" s="301"/>
      <c r="Z58" s="301"/>
      <c r="AA58" s="301"/>
      <c r="AB58" s="301"/>
      <c r="AC58" s="301"/>
      <c r="AD58" s="301"/>
      <c r="AE58" s="301"/>
      <c r="AF58" s="301"/>
      <c r="AG58" s="301"/>
      <c r="AH58" s="301"/>
      <c r="AI58" s="301"/>
      <c r="AJ58" s="301"/>
      <c r="AK58" s="301"/>
      <c r="AL58" s="301"/>
      <c r="AM58" s="301"/>
      <c r="AN58" s="301"/>
      <c r="AO58" s="301"/>
      <c r="AP58" s="301"/>
      <c r="AQ58" s="301"/>
      <c r="AR58" s="301"/>
      <c r="AS58" s="301"/>
      <c r="AT58" s="301"/>
      <c r="AU58" s="301"/>
      <c r="AV58" s="301"/>
      <c r="AW58" s="301"/>
      <c r="AX58" s="301"/>
    </row>
    <row r="59" spans="1:50" x14ac:dyDescent="0.2">
      <c r="A59" s="85"/>
      <c r="B59" s="332" t="s">
        <v>376</v>
      </c>
      <c r="C59" s="325">
        <f>+IF(C61=1,LOOKUP(C60,Q30:Q40,S30:S40),IF(C61=2,LOOKUP(C60,Q30:Q40,T30:T40),IF(C61=3,LOOKUP(C60,Q30:Q40,U30:U40),IF(C61=4,LOOKUP(C60,Q30:Q40,V30:V40),IF(C61=5,LOOKUP(C60,Q30:Q40,W30:W40),1)))))</f>
        <v>0.75</v>
      </c>
      <c r="D59" s="325">
        <f>+IF(D61=1,LOOKUP(D60,Q30:Q40,S30:S40),IF(D61=2,LOOKUP(D60,Q30:Q40,T30:T40),IF(D61=3,LOOKUP(D60,Q30:Q40,U30:U40),IF(D61=4,LOOKUP(D60,Q30:Q40,V30:V40),IF(D61=5,LOOKUP(D60,Q30:Q40,W30:W40),1)))))</f>
        <v>0.9</v>
      </c>
      <c r="E59" s="325">
        <f>+IF(E61=1,LOOKUP(E60,Q30:Q40,S30:S40),IF(E61=2,LOOKUP(E60,Q30:Q40,T30:T40),IF(E61=3,LOOKUP(E60,Q30:Q40,U30:U40),IF(E61=4,LOOKUP(E60,Q30:Q40,V30:V40),IF(E61=5,LOOKUP(E60,Q30:Q40,W30:W40),1)))))</f>
        <v>0.8</v>
      </c>
      <c r="F59" s="325">
        <f>+IF(F61=1,LOOKUP(F60,Q30:Q40,S30:S40),IF(F61=2,LOOKUP(F60,Q30:Q40,T30:T40),IF(F61=3,LOOKUP(F60,Q30:Q40,U30:U40),IF(F61=4,LOOKUP(F60,Q30:Q40,V30:V40),IF(F61=5,LOOKUP(F60,Q30:Q40,W30:W40),1)))))</f>
        <v>1</v>
      </c>
      <c r="G59" s="325">
        <f>+IF(G61=1,LOOKUP(G60,Q30:Q40,S30:S40),IF(G61=2,LOOKUP(G60,Q30:Q40,T30:T40),IF(G61=3,LOOKUP(G60,Q30:Q40,U30:U40),IF(G61=4,LOOKUP(G60,Q30:Q40,V30:V40),IF(G61=5,LOOKUP(G60,Q30:Q40,W30:W40),1)))))</f>
        <v>1</v>
      </c>
      <c r="H59" s="301"/>
      <c r="I59" s="294"/>
      <c r="J59" s="301"/>
      <c r="K59" s="329">
        <v>16</v>
      </c>
      <c r="L59" s="310" t="s">
        <v>375</v>
      </c>
      <c r="M59" s="307">
        <v>0.1</v>
      </c>
      <c r="N59" s="307">
        <v>0.22</v>
      </c>
      <c r="O59" s="302"/>
      <c r="P59" s="293"/>
      <c r="Q59" s="353">
        <v>14</v>
      </c>
      <c r="R59" s="354" t="s">
        <v>503</v>
      </c>
      <c r="S59" s="354">
        <v>0.95</v>
      </c>
      <c r="T59" s="355">
        <v>1.5004999999999999</v>
      </c>
      <c r="U59" s="355">
        <v>2.64E-3</v>
      </c>
      <c r="V59" s="277"/>
      <c r="W59" s="301"/>
      <c r="X59" s="301"/>
      <c r="Y59" s="301"/>
      <c r="Z59" s="301"/>
      <c r="AA59" s="301"/>
      <c r="AB59" s="301"/>
      <c r="AC59" s="301"/>
      <c r="AD59" s="301"/>
      <c r="AE59" s="301"/>
      <c r="AF59" s="301"/>
      <c r="AG59" s="301"/>
      <c r="AH59" s="301"/>
      <c r="AI59" s="301"/>
      <c r="AJ59" s="301"/>
      <c r="AK59" s="301"/>
      <c r="AL59" s="301"/>
      <c r="AM59" s="301"/>
      <c r="AN59" s="301"/>
      <c r="AO59" s="301"/>
      <c r="AP59" s="301"/>
      <c r="AQ59" s="301"/>
      <c r="AR59" s="301"/>
      <c r="AS59" s="301"/>
      <c r="AT59" s="301"/>
      <c r="AU59" s="301"/>
      <c r="AV59" s="301"/>
      <c r="AW59" s="301"/>
      <c r="AX59" s="301"/>
    </row>
    <row r="60" spans="1:50" ht="18" x14ac:dyDescent="0.2">
      <c r="A60" s="85"/>
      <c r="B60" s="298" t="s">
        <v>484</v>
      </c>
      <c r="C60" s="335">
        <v>1</v>
      </c>
      <c r="D60" s="335">
        <v>1</v>
      </c>
      <c r="E60" s="335">
        <v>1</v>
      </c>
      <c r="F60" s="335"/>
      <c r="G60" s="335"/>
      <c r="H60" s="301"/>
      <c r="I60" s="294"/>
      <c r="J60" s="301"/>
      <c r="K60" s="329">
        <v>17</v>
      </c>
      <c r="L60" s="310" t="s">
        <v>374</v>
      </c>
      <c r="M60" s="302">
        <v>0.4</v>
      </c>
      <c r="N60" s="302">
        <v>0.65</v>
      </c>
      <c r="O60" s="302">
        <v>0.9</v>
      </c>
      <c r="P60" s="293"/>
      <c r="Q60" s="279"/>
      <c r="R60" s="277"/>
      <c r="S60" s="277"/>
      <c r="T60" s="277"/>
      <c r="U60" s="277"/>
      <c r="V60" s="277"/>
      <c r="W60" s="301"/>
      <c r="X60" s="301"/>
      <c r="Y60" s="301"/>
      <c r="Z60" s="301"/>
      <c r="AA60" s="301"/>
      <c r="AB60" s="301"/>
      <c r="AC60" s="301"/>
      <c r="AD60" s="301"/>
      <c r="AE60" s="301"/>
      <c r="AF60" s="301"/>
      <c r="AG60" s="301"/>
      <c r="AH60" s="301"/>
      <c r="AI60" s="301"/>
      <c r="AJ60" s="301"/>
      <c r="AK60" s="301"/>
      <c r="AL60" s="301"/>
      <c r="AM60" s="301"/>
      <c r="AN60" s="301"/>
      <c r="AO60" s="301"/>
      <c r="AP60" s="301"/>
      <c r="AQ60" s="301"/>
      <c r="AR60" s="301"/>
      <c r="AS60" s="301"/>
      <c r="AT60" s="301"/>
      <c r="AU60" s="301"/>
      <c r="AV60" s="301"/>
      <c r="AW60" s="301"/>
      <c r="AX60" s="301"/>
    </row>
    <row r="61" spans="1:50" ht="29.25" x14ac:dyDescent="0.2">
      <c r="A61" s="85"/>
      <c r="B61" s="298" t="s">
        <v>485</v>
      </c>
      <c r="C61" s="335">
        <v>1</v>
      </c>
      <c r="D61" s="335">
        <v>4</v>
      </c>
      <c r="E61" s="335">
        <v>2</v>
      </c>
      <c r="F61" s="335"/>
      <c r="G61" s="335"/>
      <c r="H61" s="301"/>
      <c r="I61" s="294"/>
      <c r="J61" s="301"/>
      <c r="K61" s="329">
        <v>18</v>
      </c>
      <c r="L61" s="310" t="s">
        <v>373</v>
      </c>
      <c r="M61" s="302">
        <v>0.1</v>
      </c>
      <c r="N61" s="302">
        <v>0.15</v>
      </c>
      <c r="O61" s="302">
        <v>0.1</v>
      </c>
      <c r="P61" s="293"/>
      <c r="Q61" s="328"/>
      <c r="R61" s="301"/>
      <c r="S61" s="301"/>
      <c r="T61" s="301"/>
      <c r="U61" s="301"/>
      <c r="V61" s="301"/>
      <c r="W61" s="301"/>
      <c r="X61" s="301"/>
      <c r="Y61" s="301"/>
      <c r="Z61" s="301"/>
      <c r="AA61" s="301"/>
      <c r="AB61" s="301"/>
      <c r="AC61" s="301"/>
      <c r="AD61" s="301"/>
      <c r="AE61" s="301"/>
      <c r="AF61" s="301"/>
      <c r="AG61" s="301"/>
      <c r="AH61" s="301"/>
      <c r="AI61" s="301"/>
      <c r="AJ61" s="301"/>
      <c r="AK61" s="301"/>
      <c r="AL61" s="301"/>
      <c r="AM61" s="301"/>
      <c r="AN61" s="301"/>
      <c r="AO61" s="301"/>
      <c r="AP61" s="301"/>
      <c r="AQ61" s="301"/>
      <c r="AR61" s="301"/>
      <c r="AS61" s="301"/>
      <c r="AT61" s="301"/>
      <c r="AU61" s="301"/>
      <c r="AV61" s="301"/>
      <c r="AW61" s="301"/>
      <c r="AX61" s="301"/>
    </row>
    <row r="62" spans="1:50" x14ac:dyDescent="0.2">
      <c r="A62" s="85"/>
      <c r="B62" s="467" t="s">
        <v>372</v>
      </c>
      <c r="C62" s="468"/>
      <c r="D62" s="468"/>
      <c r="E62" s="468"/>
      <c r="F62" s="468"/>
      <c r="G62" s="469"/>
      <c r="H62" s="322">
        <f>+(C59*C23+D59*D23+E59*E23+F59*F23+G23*G59)/H23</f>
        <v>0.82499999999999996</v>
      </c>
      <c r="I62" s="294"/>
      <c r="J62" s="301"/>
      <c r="K62" s="329">
        <v>19</v>
      </c>
      <c r="L62" s="310" t="s">
        <v>371</v>
      </c>
      <c r="M62" s="302">
        <v>0.5</v>
      </c>
      <c r="N62" s="302">
        <v>0.6</v>
      </c>
      <c r="O62" s="302">
        <v>0.7</v>
      </c>
      <c r="P62" s="293"/>
      <c r="Q62" s="328"/>
      <c r="R62" s="301"/>
      <c r="S62" s="301"/>
      <c r="T62" s="301"/>
      <c r="U62" s="301"/>
      <c r="V62" s="301"/>
      <c r="W62" s="301"/>
      <c r="X62" s="301"/>
      <c r="Y62" s="301"/>
      <c r="Z62" s="301"/>
      <c r="AA62" s="301"/>
      <c r="AB62" s="301"/>
      <c r="AC62" s="301"/>
      <c r="AD62" s="301"/>
      <c r="AE62" s="301"/>
      <c r="AF62" s="301"/>
      <c r="AG62" s="301"/>
      <c r="AH62" s="301"/>
      <c r="AI62" s="301"/>
      <c r="AJ62" s="301"/>
      <c r="AK62" s="301"/>
      <c r="AL62" s="301"/>
      <c r="AM62" s="301"/>
      <c r="AN62" s="301"/>
      <c r="AO62" s="301"/>
      <c r="AP62" s="301"/>
      <c r="AQ62" s="301"/>
      <c r="AR62" s="301"/>
      <c r="AS62" s="301"/>
      <c r="AT62" s="301"/>
      <c r="AU62" s="301"/>
      <c r="AV62" s="301"/>
      <c r="AW62" s="301"/>
      <c r="AX62" s="301"/>
    </row>
    <row r="63" spans="1:50" x14ac:dyDescent="0.2">
      <c r="A63" s="85"/>
      <c r="B63" s="301"/>
      <c r="C63" s="301"/>
      <c r="D63" s="301"/>
      <c r="E63" s="301"/>
      <c r="F63" s="301"/>
      <c r="G63" s="301"/>
      <c r="H63" s="301"/>
      <c r="I63" s="294"/>
      <c r="J63" s="301"/>
      <c r="K63" s="329">
        <v>20</v>
      </c>
      <c r="L63" s="310" t="s">
        <v>370</v>
      </c>
      <c r="M63" s="302">
        <v>0.4</v>
      </c>
      <c r="N63" s="302">
        <v>0.6</v>
      </c>
      <c r="O63" s="302">
        <v>0.8</v>
      </c>
      <c r="P63" s="293"/>
      <c r="Q63" s="328"/>
      <c r="R63" s="301"/>
      <c r="S63" s="301"/>
      <c r="T63" s="301"/>
      <c r="U63" s="301"/>
      <c r="V63" s="301"/>
      <c r="W63" s="301"/>
      <c r="X63" s="301"/>
      <c r="Y63" s="301"/>
      <c r="Z63" s="301"/>
      <c r="AA63" s="301"/>
      <c r="AB63" s="301"/>
      <c r="AC63" s="301"/>
      <c r="AD63" s="301"/>
      <c r="AE63" s="301"/>
      <c r="AF63" s="301"/>
      <c r="AG63" s="301"/>
      <c r="AH63" s="301"/>
      <c r="AI63" s="301"/>
      <c r="AJ63" s="301"/>
      <c r="AK63" s="301"/>
      <c r="AL63" s="301"/>
      <c r="AM63" s="301"/>
      <c r="AN63" s="301"/>
      <c r="AO63" s="301"/>
      <c r="AP63" s="301"/>
      <c r="AQ63" s="301"/>
      <c r="AR63" s="301"/>
      <c r="AS63" s="301"/>
      <c r="AT63" s="301"/>
      <c r="AU63" s="301"/>
      <c r="AV63" s="301"/>
      <c r="AW63" s="301"/>
      <c r="AX63" s="301"/>
    </row>
    <row r="64" spans="1:50" x14ac:dyDescent="0.2">
      <c r="A64" s="85"/>
      <c r="B64" s="344" t="s">
        <v>369</v>
      </c>
      <c r="C64" s="344">
        <f ca="1">+C59*C51*$C$43</f>
        <v>0.18692917850124388</v>
      </c>
      <c r="D64" s="344">
        <f ca="1">+D59*D51*$C$43</f>
        <v>0.49349303124328375</v>
      </c>
      <c r="E64" s="344">
        <f ca="1">+E59*E51*$C$43</f>
        <v>1.5951289898772811</v>
      </c>
      <c r="F64" s="344">
        <f ca="1">+F59*F51*$C$43</f>
        <v>0.24923890466832513</v>
      </c>
      <c r="G64" s="344">
        <f ca="1">+G59*G51*$C$43</f>
        <v>0.37385835700248765</v>
      </c>
      <c r="H64" s="345">
        <f ca="1">+(C64*C23+D64*D23+E64*E23+F64*F23+G23*G64)/H23</f>
        <v>0.73201466301087104</v>
      </c>
      <c r="I64" s="294"/>
      <c r="J64" s="301"/>
      <c r="K64" s="329">
        <v>21</v>
      </c>
      <c r="L64" s="310" t="s">
        <v>368</v>
      </c>
      <c r="M64" s="302">
        <v>0.1</v>
      </c>
      <c r="N64" s="302">
        <v>0.2</v>
      </c>
      <c r="O64" s="302">
        <v>0.3</v>
      </c>
      <c r="P64" s="293"/>
      <c r="Q64" s="328"/>
      <c r="R64" s="301"/>
      <c r="S64" s="301"/>
      <c r="T64" s="301"/>
      <c r="U64" s="301"/>
      <c r="V64" s="301"/>
      <c r="W64" s="301"/>
      <c r="X64" s="301"/>
      <c r="Y64" s="301"/>
      <c r="Z64" s="301"/>
      <c r="AA64" s="301"/>
      <c r="AB64" s="301"/>
      <c r="AC64" s="301"/>
      <c r="AD64" s="301"/>
      <c r="AE64" s="301"/>
      <c r="AF64" s="301"/>
      <c r="AG64" s="301"/>
      <c r="AH64" s="301"/>
      <c r="AI64" s="301"/>
      <c r="AJ64" s="301"/>
      <c r="AK64" s="301"/>
      <c r="AL64" s="301"/>
      <c r="AM64" s="301"/>
      <c r="AN64" s="301"/>
      <c r="AO64" s="301"/>
      <c r="AP64" s="301"/>
      <c r="AQ64" s="301"/>
      <c r="AR64" s="301"/>
      <c r="AS64" s="301"/>
      <c r="AT64" s="301"/>
      <c r="AU64" s="301"/>
      <c r="AV64" s="301"/>
      <c r="AW64" s="301"/>
      <c r="AX64" s="301"/>
    </row>
    <row r="65" spans="1:50" x14ac:dyDescent="0.2">
      <c r="A65" s="85"/>
      <c r="B65" s="327"/>
      <c r="C65" s="327"/>
      <c r="D65" s="327"/>
      <c r="E65" s="327"/>
      <c r="F65" s="327"/>
      <c r="G65" s="327"/>
      <c r="H65" s="327"/>
      <c r="I65" s="294"/>
      <c r="J65" s="301"/>
      <c r="K65" s="329">
        <v>22</v>
      </c>
      <c r="L65" s="310" t="s">
        <v>367</v>
      </c>
      <c r="M65" s="302">
        <v>0.1</v>
      </c>
      <c r="N65" s="302">
        <v>0.2</v>
      </c>
      <c r="O65" s="302">
        <v>0.3</v>
      </c>
      <c r="P65" s="293"/>
      <c r="Q65" s="328"/>
      <c r="R65" s="301"/>
      <c r="S65" s="301"/>
      <c r="T65" s="301"/>
      <c r="U65" s="301"/>
      <c r="V65" s="301"/>
      <c r="W65" s="301"/>
      <c r="X65" s="301"/>
      <c r="Y65" s="301"/>
      <c r="Z65" s="301"/>
      <c r="AA65" s="301"/>
      <c r="AB65" s="301"/>
      <c r="AC65" s="301"/>
      <c r="AD65" s="301"/>
      <c r="AE65" s="301"/>
      <c r="AF65" s="301"/>
      <c r="AG65" s="301"/>
      <c r="AH65" s="301"/>
      <c r="AI65" s="301"/>
      <c r="AJ65" s="301"/>
      <c r="AK65" s="301"/>
      <c r="AL65" s="301"/>
      <c r="AM65" s="301"/>
      <c r="AN65" s="301"/>
      <c r="AO65" s="301"/>
      <c r="AP65" s="301"/>
      <c r="AQ65" s="301"/>
      <c r="AR65" s="301"/>
      <c r="AS65" s="301"/>
      <c r="AT65" s="301"/>
      <c r="AU65" s="301"/>
      <c r="AV65" s="301"/>
      <c r="AW65" s="301"/>
      <c r="AX65" s="301"/>
    </row>
    <row r="66" spans="1:50" x14ac:dyDescent="0.2">
      <c r="A66" s="294"/>
      <c r="B66" s="294"/>
      <c r="C66" s="294"/>
      <c r="D66" s="294"/>
      <c r="E66" s="294"/>
      <c r="F66" s="294"/>
      <c r="G66" s="294"/>
      <c r="H66" s="294"/>
      <c r="I66" s="294"/>
      <c r="J66" s="301"/>
      <c r="K66" s="328"/>
      <c r="L66" s="301"/>
      <c r="M66" s="301"/>
      <c r="N66" s="301"/>
      <c r="O66" s="301"/>
      <c r="P66" s="301"/>
      <c r="Q66" s="328"/>
      <c r="R66" s="301"/>
      <c r="S66" s="301"/>
      <c r="T66" s="301"/>
      <c r="U66" s="301"/>
      <c r="V66" s="301"/>
      <c r="W66" s="301"/>
      <c r="X66" s="301"/>
      <c r="Y66" s="301"/>
      <c r="Z66" s="301"/>
      <c r="AA66" s="301"/>
      <c r="AB66" s="301"/>
      <c r="AC66" s="301"/>
      <c r="AD66" s="301"/>
      <c r="AE66" s="301"/>
      <c r="AF66" s="301"/>
      <c r="AG66" s="301"/>
      <c r="AH66" s="301"/>
      <c r="AI66" s="301"/>
      <c r="AJ66" s="301"/>
      <c r="AK66" s="301"/>
      <c r="AL66" s="301"/>
      <c r="AM66" s="301"/>
      <c r="AN66" s="301"/>
      <c r="AO66" s="301"/>
      <c r="AP66" s="301"/>
      <c r="AQ66" s="301"/>
      <c r="AR66" s="301"/>
      <c r="AS66" s="301"/>
      <c r="AT66" s="301"/>
      <c r="AU66" s="301"/>
      <c r="AV66" s="301"/>
      <c r="AW66" s="301"/>
      <c r="AX66" s="301"/>
    </row>
  </sheetData>
  <sheetProtection sheet="1" selectLockedCells="1"/>
  <mergeCells count="28">
    <mergeCell ref="B54:G54"/>
    <mergeCell ref="B20:G20"/>
    <mergeCell ref="B32:G32"/>
    <mergeCell ref="B21:B22"/>
    <mergeCell ref="B41:G41"/>
    <mergeCell ref="B27:G27"/>
    <mergeCell ref="B46:H46"/>
    <mergeCell ref="C1:H1"/>
    <mergeCell ref="B2:H2"/>
    <mergeCell ref="B3:H3"/>
    <mergeCell ref="B4:H5"/>
    <mergeCell ref="B6:H7"/>
    <mergeCell ref="R4:R5"/>
    <mergeCell ref="Q4:Q6"/>
    <mergeCell ref="B57:H57"/>
    <mergeCell ref="B62:G62"/>
    <mergeCell ref="S4:U4"/>
    <mergeCell ref="Q44:U44"/>
    <mergeCell ref="B10:H11"/>
    <mergeCell ref="B13:C13"/>
    <mergeCell ref="K41:K43"/>
    <mergeCell ref="Q27:Q29"/>
    <mergeCell ref="B8:H9"/>
    <mergeCell ref="S27:W27"/>
    <mergeCell ref="L41:L42"/>
    <mergeCell ref="M41:O41"/>
    <mergeCell ref="R27:R28"/>
    <mergeCell ref="B49:G49"/>
  </mergeCells>
  <pageMargins left="0.75" right="0.75" top="1" bottom="1" header="0.5" footer="0.5"/>
  <pageSetup orientation="portrait" horizontalDpi="200" verticalDpi="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6">
    <tabColor theme="9" tint="-0.249977111117893"/>
  </sheetPr>
  <dimension ref="A1:J58"/>
  <sheetViews>
    <sheetView zoomScale="85" zoomScaleNormal="85" workbookViewId="0">
      <selection activeCell="I40" sqref="B2:I40"/>
    </sheetView>
  </sheetViews>
  <sheetFormatPr defaultColWidth="0" defaultRowHeight="0" customHeight="1" zeroHeight="1" x14ac:dyDescent="0.15"/>
  <cols>
    <col min="1" max="1" width="3.765625" style="11" customWidth="1"/>
    <col min="2" max="2" width="4.9765625" style="11" customWidth="1"/>
    <col min="3" max="9" width="11.8359375" style="11" customWidth="1"/>
    <col min="10" max="10" width="4.03515625" style="11" customWidth="1"/>
    <col min="11" max="16384" width="11.43359375" style="11" hidden="1"/>
  </cols>
  <sheetData>
    <row r="1" spans="1:10" ht="13.5" x14ac:dyDescent="0.15">
      <c r="A1" s="135"/>
      <c r="B1" s="135"/>
      <c r="C1" s="135"/>
      <c r="D1" s="135"/>
      <c r="E1" s="135"/>
      <c r="F1" s="135"/>
      <c r="G1" s="135"/>
      <c r="H1" s="135"/>
      <c r="I1" s="135"/>
      <c r="J1" s="135"/>
    </row>
    <row r="2" spans="1:10" ht="13.5" x14ac:dyDescent="0.15">
      <c r="A2" s="135"/>
      <c r="B2" s="32"/>
      <c r="C2" s="32"/>
      <c r="D2" s="32"/>
      <c r="E2" s="32"/>
      <c r="F2" s="32"/>
      <c r="G2" s="32"/>
      <c r="H2" s="32"/>
      <c r="I2" s="32"/>
      <c r="J2" s="135"/>
    </row>
    <row r="3" spans="1:10" ht="13.5" x14ac:dyDescent="0.15">
      <c r="A3" s="135"/>
      <c r="B3" s="32"/>
      <c r="C3" s="32"/>
      <c r="D3" s="32"/>
      <c r="E3" s="32"/>
      <c r="F3" s="32"/>
      <c r="G3" s="32"/>
      <c r="H3" s="32"/>
      <c r="I3" s="32"/>
      <c r="J3" s="135"/>
    </row>
    <row r="4" spans="1:10" ht="13.5" x14ac:dyDescent="0.15">
      <c r="A4" s="135"/>
      <c r="B4" s="32"/>
      <c r="C4" s="32"/>
      <c r="D4" s="32"/>
      <c r="E4" s="32"/>
      <c r="F4" s="32"/>
      <c r="G4" s="32"/>
      <c r="H4" s="32"/>
      <c r="I4" s="32"/>
      <c r="J4" s="135"/>
    </row>
    <row r="5" spans="1:10" ht="13.5" x14ac:dyDescent="0.15">
      <c r="A5" s="135"/>
      <c r="B5" s="32"/>
      <c r="C5" s="32"/>
      <c r="D5" s="32"/>
      <c r="E5" s="32"/>
      <c r="F5" s="32"/>
      <c r="G5" s="32"/>
      <c r="H5" s="32"/>
      <c r="I5" s="32"/>
      <c r="J5" s="135"/>
    </row>
    <row r="6" spans="1:10" ht="13.5" x14ac:dyDescent="0.15">
      <c r="A6" s="135"/>
      <c r="B6" s="32"/>
      <c r="C6" s="32"/>
      <c r="D6" s="32"/>
      <c r="E6" s="32"/>
      <c r="F6" s="32"/>
      <c r="G6" s="32"/>
      <c r="H6" s="32"/>
      <c r="I6" s="32"/>
      <c r="J6" s="135"/>
    </row>
    <row r="7" spans="1:10" ht="13.5" x14ac:dyDescent="0.15">
      <c r="A7" s="135"/>
      <c r="B7" s="32"/>
      <c r="C7" s="32"/>
      <c r="D7" s="32"/>
      <c r="E7" s="32"/>
      <c r="F7" s="32"/>
      <c r="G7" s="32"/>
      <c r="H7" s="32"/>
      <c r="I7" s="32"/>
      <c r="J7" s="135"/>
    </row>
    <row r="8" spans="1:10" ht="13.5" x14ac:dyDescent="0.15">
      <c r="A8" s="135"/>
      <c r="B8" s="32"/>
      <c r="C8" s="32"/>
      <c r="D8" s="32"/>
      <c r="E8" s="32"/>
      <c r="F8" s="32"/>
      <c r="G8" s="32"/>
      <c r="H8" s="32"/>
      <c r="I8" s="32"/>
      <c r="J8" s="135"/>
    </row>
    <row r="9" spans="1:10" ht="13.5" x14ac:dyDescent="0.15">
      <c r="A9" s="135"/>
      <c r="B9" s="32"/>
      <c r="C9" s="32"/>
      <c r="D9" s="32"/>
      <c r="E9" s="32"/>
      <c r="F9" s="32"/>
      <c r="G9" s="32"/>
      <c r="H9" s="32"/>
      <c r="I9" s="32"/>
      <c r="J9" s="135"/>
    </row>
    <row r="10" spans="1:10" ht="18.75" customHeight="1" x14ac:dyDescent="0.15">
      <c r="A10" s="135"/>
      <c r="B10" s="372" t="s">
        <v>352</v>
      </c>
      <c r="C10" s="372"/>
      <c r="D10" s="372"/>
      <c r="E10" s="372"/>
      <c r="F10" s="372"/>
      <c r="G10" s="372"/>
      <c r="H10" s="372"/>
      <c r="I10" s="372"/>
      <c r="J10" s="135"/>
    </row>
    <row r="11" spans="1:10" ht="13.5" x14ac:dyDescent="0.15">
      <c r="A11" s="135"/>
      <c r="B11" s="372"/>
      <c r="C11" s="372"/>
      <c r="D11" s="372"/>
      <c r="E11" s="372"/>
      <c r="F11" s="372"/>
      <c r="G11" s="372"/>
      <c r="H11" s="372"/>
      <c r="I11" s="372"/>
      <c r="J11" s="135"/>
    </row>
    <row r="12" spans="1:10" ht="15" customHeight="1" x14ac:dyDescent="0.15">
      <c r="A12" s="135"/>
      <c r="B12" s="372"/>
      <c r="C12" s="372"/>
      <c r="D12" s="372"/>
      <c r="E12" s="372"/>
      <c r="F12" s="372"/>
      <c r="G12" s="372"/>
      <c r="H12" s="372"/>
      <c r="I12" s="372"/>
      <c r="J12" s="135"/>
    </row>
    <row r="13" spans="1:10" ht="15" customHeight="1" x14ac:dyDescent="0.15">
      <c r="A13" s="135"/>
      <c r="B13" s="36"/>
      <c r="C13" s="36"/>
      <c r="D13" s="36"/>
      <c r="E13" s="36"/>
      <c r="F13" s="36"/>
      <c r="G13" s="36"/>
      <c r="H13" s="36"/>
      <c r="I13" s="36"/>
      <c r="J13" s="135"/>
    </row>
    <row r="14" spans="1:10" s="149" customFormat="1" ht="15.75" x14ac:dyDescent="0.2">
      <c r="A14" s="147"/>
      <c r="B14" s="375" t="s">
        <v>138</v>
      </c>
      <c r="C14" s="375"/>
      <c r="D14" s="375"/>
      <c r="E14" s="375"/>
      <c r="F14" s="375"/>
      <c r="G14" s="375"/>
      <c r="H14" s="375"/>
      <c r="I14" s="148"/>
      <c r="J14" s="147"/>
    </row>
    <row r="15" spans="1:10" ht="15.75" x14ac:dyDescent="0.15">
      <c r="A15" s="135"/>
      <c r="B15" s="35" t="s">
        <v>68</v>
      </c>
      <c r="C15" s="374" t="s">
        <v>353</v>
      </c>
      <c r="D15" s="374"/>
      <c r="E15" s="374"/>
      <c r="F15" s="374"/>
      <c r="G15" s="374"/>
      <c r="H15" s="374"/>
      <c r="I15" s="374"/>
      <c r="J15" s="135"/>
    </row>
    <row r="16" spans="1:10" ht="15.75" x14ac:dyDescent="0.15">
      <c r="A16" s="135"/>
      <c r="B16" s="35" t="s">
        <v>69</v>
      </c>
      <c r="C16" s="370" t="s">
        <v>354</v>
      </c>
      <c r="D16" s="370"/>
      <c r="E16" s="370"/>
      <c r="F16" s="370"/>
      <c r="G16" s="370"/>
      <c r="H16" s="370"/>
      <c r="I16" s="370"/>
      <c r="J16" s="135"/>
    </row>
    <row r="17" spans="1:10" ht="23.25" customHeight="1" x14ac:dyDescent="0.15">
      <c r="A17" s="135"/>
      <c r="B17" s="34"/>
      <c r="C17" s="370"/>
      <c r="D17" s="370"/>
      <c r="E17" s="370"/>
      <c r="F17" s="370"/>
      <c r="G17" s="370"/>
      <c r="H17" s="370"/>
      <c r="I17" s="370"/>
      <c r="J17" s="135"/>
    </row>
    <row r="18" spans="1:10" ht="15.75" x14ac:dyDescent="0.15">
      <c r="A18" s="135"/>
      <c r="B18" s="35" t="s">
        <v>70</v>
      </c>
      <c r="C18" s="370" t="s">
        <v>72</v>
      </c>
      <c r="D18" s="370"/>
      <c r="E18" s="370"/>
      <c r="F18" s="370"/>
      <c r="G18" s="370"/>
      <c r="H18" s="370"/>
      <c r="I18" s="370"/>
      <c r="J18" s="135"/>
    </row>
    <row r="19" spans="1:10" ht="15.75" x14ac:dyDescent="0.15">
      <c r="A19" s="135"/>
      <c r="B19" s="35" t="s">
        <v>71</v>
      </c>
      <c r="C19" s="145" t="s">
        <v>132</v>
      </c>
      <c r="D19" s="145"/>
      <c r="E19" s="145"/>
      <c r="F19" s="145"/>
      <c r="G19" s="145"/>
      <c r="H19" s="145"/>
      <c r="I19" s="145"/>
      <c r="J19" s="135"/>
    </row>
    <row r="20" spans="1:10" ht="15.75" x14ac:dyDescent="0.15">
      <c r="A20" s="135"/>
      <c r="B20" s="35" t="s">
        <v>134</v>
      </c>
      <c r="C20" s="145" t="s">
        <v>135</v>
      </c>
      <c r="D20" s="145"/>
      <c r="E20" s="145"/>
      <c r="F20" s="145"/>
      <c r="G20" s="145"/>
      <c r="H20" s="145"/>
      <c r="I20" s="145"/>
      <c r="J20" s="135"/>
    </row>
    <row r="21" spans="1:10" ht="15.75" x14ac:dyDescent="0.15">
      <c r="A21" s="135"/>
      <c r="B21" s="35"/>
      <c r="C21" s="145" t="s">
        <v>136</v>
      </c>
      <c r="D21" s="145"/>
      <c r="E21" s="145"/>
      <c r="F21" s="145"/>
      <c r="G21" s="145"/>
      <c r="H21" s="145"/>
      <c r="I21" s="145"/>
      <c r="J21" s="135"/>
    </row>
    <row r="22" spans="1:10" ht="15.75" x14ac:dyDescent="0.15">
      <c r="A22" s="135"/>
      <c r="B22" s="35" t="s">
        <v>287</v>
      </c>
      <c r="C22" s="146" t="s">
        <v>288</v>
      </c>
      <c r="D22" s="144"/>
      <c r="E22" s="144"/>
      <c r="F22" s="144"/>
      <c r="G22" s="144"/>
      <c r="H22" s="144"/>
      <c r="I22" s="144"/>
      <c r="J22" s="135"/>
    </row>
    <row r="23" spans="1:10" ht="15.75" x14ac:dyDescent="0.15">
      <c r="A23" s="135"/>
      <c r="B23" s="35"/>
      <c r="C23" s="146" t="s">
        <v>131</v>
      </c>
      <c r="D23" s="144"/>
      <c r="E23" s="144"/>
      <c r="F23" s="144"/>
      <c r="G23" s="144"/>
      <c r="H23" s="144"/>
      <c r="I23" s="144"/>
      <c r="J23" s="135"/>
    </row>
    <row r="24" spans="1:10" ht="15.75" x14ac:dyDescent="0.15">
      <c r="A24" s="135"/>
      <c r="B24" s="36"/>
      <c r="C24" s="36"/>
      <c r="D24" s="36"/>
      <c r="E24" s="36"/>
      <c r="F24" s="36"/>
      <c r="G24" s="36"/>
      <c r="H24" s="36"/>
      <c r="I24" s="36"/>
      <c r="J24" s="135"/>
    </row>
    <row r="25" spans="1:10" ht="15.75" x14ac:dyDescent="0.15">
      <c r="A25" s="135"/>
      <c r="B25" s="375" t="s">
        <v>139</v>
      </c>
      <c r="C25" s="375"/>
      <c r="D25" s="36"/>
      <c r="E25" s="36"/>
      <c r="F25" s="36"/>
      <c r="G25" s="36"/>
      <c r="H25" s="36"/>
      <c r="I25" s="33"/>
      <c r="J25" s="135"/>
    </row>
    <row r="26" spans="1:10" ht="15.75" x14ac:dyDescent="0.15">
      <c r="A26" s="135"/>
      <c r="B26" s="35" t="s">
        <v>68</v>
      </c>
      <c r="C26" s="374" t="s">
        <v>286</v>
      </c>
      <c r="D26" s="374"/>
      <c r="E26" s="374"/>
      <c r="F26" s="374"/>
      <c r="G26" s="374"/>
      <c r="H26" s="374"/>
      <c r="I26" s="374"/>
      <c r="J26" s="135"/>
    </row>
    <row r="27" spans="1:10" ht="15.75" customHeight="1" x14ac:dyDescent="0.15">
      <c r="A27" s="135"/>
      <c r="B27" s="371" t="s">
        <v>69</v>
      </c>
      <c r="C27" s="373" t="s">
        <v>355</v>
      </c>
      <c r="D27" s="373"/>
      <c r="E27" s="373"/>
      <c r="F27" s="373"/>
      <c r="G27" s="373"/>
      <c r="H27" s="373"/>
      <c r="I27" s="373"/>
      <c r="J27" s="135"/>
    </row>
    <row r="28" spans="1:10" ht="15.75" customHeight="1" x14ac:dyDescent="0.15">
      <c r="A28" s="135"/>
      <c r="B28" s="371"/>
      <c r="C28" s="373"/>
      <c r="D28" s="373"/>
      <c r="E28" s="373"/>
      <c r="F28" s="373"/>
      <c r="G28" s="373"/>
      <c r="H28" s="373"/>
      <c r="I28" s="373"/>
      <c r="J28" s="135"/>
    </row>
    <row r="29" spans="1:10" ht="125.25" customHeight="1" x14ac:dyDescent="0.15">
      <c r="A29" s="135"/>
      <c r="B29" s="35" t="s">
        <v>70</v>
      </c>
      <c r="C29" s="370" t="s">
        <v>363</v>
      </c>
      <c r="D29" s="370"/>
      <c r="E29" s="370"/>
      <c r="F29" s="370"/>
      <c r="G29" s="370"/>
      <c r="H29" s="370"/>
      <c r="I29" s="370"/>
      <c r="J29" s="135"/>
    </row>
    <row r="30" spans="1:10" ht="55.5" customHeight="1" x14ac:dyDescent="0.15">
      <c r="A30" s="135"/>
      <c r="B30" s="35" t="s">
        <v>71</v>
      </c>
      <c r="C30" s="370" t="s">
        <v>356</v>
      </c>
      <c r="D30" s="370"/>
      <c r="E30" s="370"/>
      <c r="F30" s="370"/>
      <c r="G30" s="370"/>
      <c r="H30" s="370"/>
      <c r="I30" s="370"/>
      <c r="J30" s="135"/>
    </row>
    <row r="31" spans="1:10" ht="15.75" x14ac:dyDescent="0.15">
      <c r="A31" s="135"/>
      <c r="B31" s="375" t="s">
        <v>470</v>
      </c>
      <c r="C31" s="375"/>
      <c r="D31" s="375"/>
      <c r="E31" s="375"/>
      <c r="F31" s="375"/>
      <c r="G31" s="375"/>
      <c r="H31" s="375"/>
      <c r="I31" s="33"/>
      <c r="J31" s="135"/>
    </row>
    <row r="32" spans="1:10" ht="15.75" x14ac:dyDescent="0.15">
      <c r="A32" s="135"/>
      <c r="B32" s="35" t="s">
        <v>68</v>
      </c>
      <c r="C32" s="373" t="s">
        <v>353</v>
      </c>
      <c r="D32" s="373"/>
      <c r="E32" s="373"/>
      <c r="F32" s="373"/>
      <c r="G32" s="373"/>
      <c r="H32" s="373"/>
      <c r="I32" s="373"/>
      <c r="J32" s="135"/>
    </row>
    <row r="33" spans="1:10" ht="15.75" customHeight="1" x14ac:dyDescent="0.15">
      <c r="A33" s="135"/>
      <c r="B33" s="371" t="s">
        <v>69</v>
      </c>
      <c r="C33" s="370" t="s">
        <v>505</v>
      </c>
      <c r="D33" s="370"/>
      <c r="E33" s="370"/>
      <c r="F33" s="370"/>
      <c r="G33" s="370"/>
      <c r="H33" s="370"/>
      <c r="I33" s="370"/>
      <c r="J33" s="135"/>
    </row>
    <row r="34" spans="1:10" ht="13.5" x14ac:dyDescent="0.15">
      <c r="A34" s="135"/>
      <c r="B34" s="371"/>
      <c r="C34" s="370"/>
      <c r="D34" s="370"/>
      <c r="E34" s="370"/>
      <c r="F34" s="370"/>
      <c r="G34" s="370"/>
      <c r="H34" s="370"/>
      <c r="I34" s="370"/>
      <c r="J34" s="135"/>
    </row>
    <row r="35" spans="1:10" ht="15.75" customHeight="1" x14ac:dyDescent="0.15">
      <c r="A35" s="135"/>
      <c r="B35" s="371"/>
      <c r="C35" s="370"/>
      <c r="D35" s="370"/>
      <c r="E35" s="370"/>
      <c r="F35" s="370"/>
      <c r="G35" s="370"/>
      <c r="H35" s="370"/>
      <c r="I35" s="370"/>
      <c r="J35" s="135"/>
    </row>
    <row r="36" spans="1:10" ht="15" customHeight="1" x14ac:dyDescent="0.15">
      <c r="A36" s="135"/>
      <c r="B36" s="371" t="s">
        <v>70</v>
      </c>
      <c r="C36" s="370" t="s">
        <v>506</v>
      </c>
      <c r="D36" s="370"/>
      <c r="E36" s="370"/>
      <c r="F36" s="370"/>
      <c r="G36" s="370"/>
      <c r="H36" s="370"/>
      <c r="I36" s="370"/>
      <c r="J36" s="135"/>
    </row>
    <row r="37" spans="1:10" ht="14.25" customHeight="1" x14ac:dyDescent="0.15">
      <c r="A37" s="135"/>
      <c r="B37" s="371"/>
      <c r="C37" s="370"/>
      <c r="D37" s="370"/>
      <c r="E37" s="370"/>
      <c r="F37" s="370"/>
      <c r="G37" s="370"/>
      <c r="H37" s="370"/>
      <c r="I37" s="370"/>
      <c r="J37" s="135"/>
    </row>
    <row r="38" spans="1:10" ht="15.75" customHeight="1" x14ac:dyDescent="0.15">
      <c r="A38" s="135"/>
      <c r="B38" s="371"/>
      <c r="C38" s="370"/>
      <c r="D38" s="370"/>
      <c r="E38" s="370"/>
      <c r="F38" s="370"/>
      <c r="G38" s="370"/>
      <c r="H38" s="370"/>
      <c r="I38" s="370"/>
      <c r="J38" s="135"/>
    </row>
    <row r="39" spans="1:10" ht="15.75" x14ac:dyDescent="0.15">
      <c r="A39" s="135"/>
      <c r="B39" s="33"/>
      <c r="C39" s="36"/>
      <c r="D39" s="36"/>
      <c r="E39" s="36"/>
      <c r="F39" s="36"/>
      <c r="G39" s="36"/>
      <c r="H39" s="36"/>
      <c r="I39" s="33"/>
      <c r="J39" s="135"/>
    </row>
    <row r="40" spans="1:10" ht="15" customHeight="1" x14ac:dyDescent="0.15">
      <c r="A40" s="135"/>
      <c r="B40" s="33"/>
      <c r="C40" s="33"/>
      <c r="D40" s="33"/>
      <c r="E40" s="33"/>
      <c r="F40" s="33"/>
      <c r="G40" s="33"/>
      <c r="H40" s="33"/>
      <c r="I40" s="33"/>
      <c r="J40" s="135"/>
    </row>
    <row r="41" spans="1:10" ht="13.5" x14ac:dyDescent="0.15">
      <c r="A41" s="135"/>
      <c r="B41" s="135"/>
      <c r="C41" s="135"/>
      <c r="D41" s="135"/>
      <c r="E41" s="135"/>
      <c r="F41" s="135"/>
      <c r="G41" s="135"/>
      <c r="H41" s="135"/>
      <c r="I41" s="135"/>
      <c r="J41" s="135"/>
    </row>
    <row r="42" spans="1:10" ht="15" hidden="1" customHeight="1" x14ac:dyDescent="0.15"/>
    <row r="43" spans="1:10" ht="15" hidden="1" customHeight="1" x14ac:dyDescent="0.15"/>
    <row r="44" spans="1:10" ht="15" hidden="1" customHeight="1" x14ac:dyDescent="0.15"/>
    <row r="45" spans="1:10" ht="15" hidden="1" customHeight="1" x14ac:dyDescent="0.15"/>
    <row r="46" spans="1:10" ht="15" hidden="1" customHeight="1" x14ac:dyDescent="0.15"/>
    <row r="47" spans="1:10" ht="15" hidden="1" customHeight="1" x14ac:dyDescent="0.15"/>
    <row r="48" spans="1:10" ht="15" hidden="1" customHeight="1" x14ac:dyDescent="0.15"/>
    <row r="49" ht="15" hidden="1" customHeight="1" x14ac:dyDescent="0.15"/>
    <row r="50" ht="15" hidden="1" customHeight="1" x14ac:dyDescent="0.15"/>
    <row r="51" ht="15" hidden="1" customHeight="1" x14ac:dyDescent="0.15"/>
    <row r="52" ht="15" hidden="1" customHeight="1" x14ac:dyDescent="0.15"/>
    <row r="53" ht="15" hidden="1" customHeight="1" x14ac:dyDescent="0.15"/>
    <row r="54" ht="15" hidden="1" customHeight="1" x14ac:dyDescent="0.15"/>
    <row r="55" ht="15" hidden="1" customHeight="1" x14ac:dyDescent="0.15"/>
    <row r="56" ht="15" hidden="1" customHeight="1" x14ac:dyDescent="0.15"/>
    <row r="57" ht="15" hidden="1" customHeight="1" x14ac:dyDescent="0.15"/>
    <row r="58" ht="15" hidden="1" customHeight="1" x14ac:dyDescent="0.15"/>
  </sheetData>
  <sheetProtection sheet="1" selectLockedCells="1"/>
  <mergeCells count="17">
    <mergeCell ref="C33:I35"/>
    <mergeCell ref="C36:I38"/>
    <mergeCell ref="B36:B38"/>
    <mergeCell ref="B10:I12"/>
    <mergeCell ref="C32:I32"/>
    <mergeCell ref="C15:I15"/>
    <mergeCell ref="C18:I18"/>
    <mergeCell ref="B14:H14"/>
    <mergeCell ref="B25:C25"/>
    <mergeCell ref="B31:H31"/>
    <mergeCell ref="C26:I26"/>
    <mergeCell ref="C27:I28"/>
    <mergeCell ref="C29:I29"/>
    <mergeCell ref="C16:I17"/>
    <mergeCell ref="B27:B28"/>
    <mergeCell ref="C30:I30"/>
    <mergeCell ref="B33:B35"/>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tabColor rgb="FF00B0F0"/>
  </sheetPr>
  <dimension ref="A1:F61"/>
  <sheetViews>
    <sheetView workbookViewId="0">
      <pane xSplit="1" ySplit="5" topLeftCell="B6" activePane="bottomRight" state="frozen"/>
      <selection activeCell="C3" sqref="C3:E3"/>
      <selection pane="bottomLeft" activeCell="C3" sqref="C3:E3"/>
      <selection pane="topRight" activeCell="C3" sqref="C3:E3"/>
      <selection pane="bottomRight" activeCell="E27" sqref="E27"/>
    </sheetView>
  </sheetViews>
  <sheetFormatPr defaultColWidth="0" defaultRowHeight="15.75" zeroHeight="1" x14ac:dyDescent="0.2"/>
  <cols>
    <col min="1" max="1" width="2.82421875" style="10" customWidth="1"/>
    <col min="2" max="2" width="15.73828125" style="2" bestFit="1" customWidth="1"/>
    <col min="3" max="3" width="15.87109375" style="2" customWidth="1"/>
    <col min="4" max="4" width="19.234375" style="2" bestFit="1" customWidth="1"/>
    <col min="5" max="5" width="25.15234375" style="3" bestFit="1" customWidth="1"/>
    <col min="6" max="6" width="11.296875" style="10" customWidth="1"/>
    <col min="7" max="16384" width="11.43359375" style="3" hidden="1"/>
  </cols>
  <sheetData>
    <row r="1" spans="1:6" ht="18.75" x14ac:dyDescent="0.2">
      <c r="A1" s="1"/>
      <c r="B1" s="56"/>
      <c r="C1" s="56"/>
      <c r="D1" s="56"/>
      <c r="E1" s="57"/>
      <c r="F1" s="1"/>
    </row>
    <row r="2" spans="1:6" ht="16.5" x14ac:dyDescent="0.2">
      <c r="A2" s="1"/>
      <c r="B2" s="376" t="s">
        <v>106</v>
      </c>
      <c r="C2" s="377"/>
      <c r="D2" s="377"/>
      <c r="E2" s="378"/>
      <c r="F2" s="1"/>
    </row>
    <row r="3" spans="1:6" x14ac:dyDescent="0.2">
      <c r="A3" s="1"/>
      <c r="B3" s="58" t="s">
        <v>54</v>
      </c>
      <c r="C3" s="379" t="s">
        <v>55</v>
      </c>
      <c r="D3" s="379"/>
      <c r="E3" s="379"/>
      <c r="F3" s="1"/>
    </row>
    <row r="4" spans="1:6" x14ac:dyDescent="0.2">
      <c r="A4" s="1"/>
      <c r="B4" s="59" t="s">
        <v>51</v>
      </c>
      <c r="C4" s="5">
        <v>1961</v>
      </c>
      <c r="D4" s="60" t="s">
        <v>52</v>
      </c>
      <c r="E4" s="5">
        <v>2010</v>
      </c>
      <c r="F4" s="1"/>
    </row>
    <row r="5" spans="1:6" x14ac:dyDescent="0.2">
      <c r="A5" s="1"/>
      <c r="B5" s="60" t="s">
        <v>50</v>
      </c>
      <c r="C5" s="60" t="s">
        <v>0</v>
      </c>
      <c r="D5" s="61" t="s">
        <v>43</v>
      </c>
      <c r="E5" s="61" t="s">
        <v>53</v>
      </c>
      <c r="F5" s="1"/>
    </row>
    <row r="6" spans="1:6" x14ac:dyDescent="0.2">
      <c r="A6" s="1"/>
      <c r="B6" s="6">
        <f>IF(D6&lt;&gt;"",MAX(B$5:B5)+1,"")</f>
        <v>1</v>
      </c>
      <c r="C6" s="7">
        <f>$C$4</f>
        <v>1961</v>
      </c>
      <c r="D6" s="8">
        <v>161</v>
      </c>
      <c r="E6" s="9">
        <v>630</v>
      </c>
      <c r="F6" s="1"/>
    </row>
    <row r="7" spans="1:6" x14ac:dyDescent="0.2">
      <c r="A7" s="1"/>
      <c r="B7" s="6">
        <f>IF(D7&lt;&gt;"",MAX(B$5:B6)+1,"")</f>
        <v>2</v>
      </c>
      <c r="C7" s="7">
        <f>IF(C6&lt;$E$4,(C6+1)," ")</f>
        <v>1962</v>
      </c>
      <c r="D7" s="8">
        <v>140</v>
      </c>
      <c r="E7" s="9"/>
      <c r="F7" s="1"/>
    </row>
    <row r="8" spans="1:6" x14ac:dyDescent="0.2">
      <c r="A8" s="1"/>
      <c r="B8" s="6">
        <f>IF(D8&lt;&gt;"",MAX(B$5:B7)+1,"")</f>
        <v>3</v>
      </c>
      <c r="C8" s="7">
        <f t="shared" ref="C8:C55" si="0">IF(C7&lt;$E$4,(C7+1)," ")</f>
        <v>1963</v>
      </c>
      <c r="D8" s="8">
        <v>185</v>
      </c>
      <c r="E8" s="9"/>
      <c r="F8" s="1"/>
    </row>
    <row r="9" spans="1:6" x14ac:dyDescent="0.2">
      <c r="A9" s="1"/>
      <c r="B9" s="6">
        <f>IF(D9&lt;&gt;"",MAX(B$5:B8)+1,"")</f>
        <v>4</v>
      </c>
      <c r="C9" s="7">
        <f t="shared" si="0"/>
        <v>1964</v>
      </c>
      <c r="D9" s="8">
        <v>126</v>
      </c>
      <c r="E9" s="9"/>
      <c r="F9" s="1"/>
    </row>
    <row r="10" spans="1:6" x14ac:dyDescent="0.2">
      <c r="A10" s="1"/>
      <c r="B10" s="6">
        <f>IF(D10&lt;&gt;"",MAX(B$5:B9)+1,"")</f>
        <v>5</v>
      </c>
      <c r="C10" s="7">
        <f t="shared" si="0"/>
        <v>1965</v>
      </c>
      <c r="D10" s="8">
        <v>182</v>
      </c>
      <c r="E10" s="9"/>
      <c r="F10" s="1"/>
    </row>
    <row r="11" spans="1:6" x14ac:dyDescent="0.2">
      <c r="A11" s="1"/>
      <c r="B11" s="6">
        <f>IF(D11&lt;&gt;"",MAX(B$5:B10)+1,"")</f>
        <v>6</v>
      </c>
      <c r="C11" s="7">
        <f t="shared" si="0"/>
        <v>1966</v>
      </c>
      <c r="D11" s="8">
        <v>100</v>
      </c>
      <c r="E11" s="9"/>
      <c r="F11" s="1"/>
    </row>
    <row r="12" spans="1:6" x14ac:dyDescent="0.2">
      <c r="A12" s="1"/>
      <c r="B12" s="6">
        <f>IF(D12&lt;&gt;"",MAX(B$5:B11)+1,"")</f>
        <v>7</v>
      </c>
      <c r="C12" s="7">
        <f t="shared" si="0"/>
        <v>1967</v>
      </c>
      <c r="D12" s="8">
        <v>101</v>
      </c>
      <c r="E12" s="9"/>
      <c r="F12" s="1"/>
    </row>
    <row r="13" spans="1:6" x14ac:dyDescent="0.2">
      <c r="A13" s="1"/>
      <c r="B13" s="6">
        <f>IF(D13&lt;&gt;"",MAX(B$5:B12)+1,"")</f>
        <v>8</v>
      </c>
      <c r="C13" s="7">
        <f t="shared" si="0"/>
        <v>1968</v>
      </c>
      <c r="D13" s="8">
        <v>165</v>
      </c>
      <c r="E13" s="9"/>
      <c r="F13" s="1"/>
    </row>
    <row r="14" spans="1:6" x14ac:dyDescent="0.2">
      <c r="A14" s="1"/>
      <c r="B14" s="6">
        <f>IF(D14&lt;&gt;"",MAX(B$5:B13)+1,"")</f>
        <v>9</v>
      </c>
      <c r="C14" s="7">
        <f t="shared" si="0"/>
        <v>1969</v>
      </c>
      <c r="D14" s="8">
        <v>187</v>
      </c>
      <c r="E14" s="9"/>
      <c r="F14" s="1"/>
    </row>
    <row r="15" spans="1:6" x14ac:dyDescent="0.2">
      <c r="A15" s="1"/>
      <c r="B15" s="6">
        <f>IF(D15&lt;&gt;"",MAX(B$5:B14)+1,"")</f>
        <v>10</v>
      </c>
      <c r="C15" s="7">
        <f t="shared" si="0"/>
        <v>1970</v>
      </c>
      <c r="D15" s="8">
        <v>125</v>
      </c>
      <c r="E15" s="9"/>
      <c r="F15" s="1"/>
    </row>
    <row r="16" spans="1:6" x14ac:dyDescent="0.2">
      <c r="A16" s="1"/>
      <c r="B16" s="6">
        <f>IF(D16&lt;&gt;"",MAX(B$5:B15)+1,"")</f>
        <v>11</v>
      </c>
      <c r="C16" s="7">
        <f t="shared" si="0"/>
        <v>1971</v>
      </c>
      <c r="D16" s="8">
        <v>113</v>
      </c>
      <c r="E16" s="9"/>
      <c r="F16" s="1"/>
    </row>
    <row r="17" spans="1:6" x14ac:dyDescent="0.2">
      <c r="A17" s="1"/>
      <c r="B17" s="6">
        <f>IF(D17&lt;&gt;"",MAX(B$5:B16)+1,"")</f>
        <v>12</v>
      </c>
      <c r="C17" s="7">
        <f t="shared" si="0"/>
        <v>1972</v>
      </c>
      <c r="D17" s="8">
        <v>156</v>
      </c>
      <c r="E17" s="9"/>
      <c r="F17" s="1"/>
    </row>
    <row r="18" spans="1:6" x14ac:dyDescent="0.2">
      <c r="A18" s="1"/>
      <c r="B18" s="6">
        <f>IF(D18&lt;&gt;"",MAX(B$5:B17)+1,"")</f>
        <v>13</v>
      </c>
      <c r="C18" s="7">
        <f t="shared" si="0"/>
        <v>1973</v>
      </c>
      <c r="D18" s="8">
        <v>143</v>
      </c>
      <c r="E18" s="9"/>
      <c r="F18" s="1"/>
    </row>
    <row r="19" spans="1:6" x14ac:dyDescent="0.2">
      <c r="A19" s="1"/>
      <c r="B19" s="6">
        <f>IF(D19&lt;&gt;"",MAX(B$5:B18)+1,"")</f>
        <v>14</v>
      </c>
      <c r="C19" s="7">
        <f t="shared" si="0"/>
        <v>1974</v>
      </c>
      <c r="D19" s="8">
        <v>198</v>
      </c>
      <c r="E19" s="9"/>
      <c r="F19" s="1"/>
    </row>
    <row r="20" spans="1:6" x14ac:dyDescent="0.2">
      <c r="A20" s="1"/>
      <c r="B20" s="6">
        <f>IF(D20&lt;&gt;"",MAX(B$5:B19)+1,"")</f>
        <v>15</v>
      </c>
      <c r="C20" s="7">
        <f t="shared" si="0"/>
        <v>1975</v>
      </c>
      <c r="D20" s="8">
        <v>115</v>
      </c>
      <c r="E20" s="9"/>
      <c r="F20" s="1"/>
    </row>
    <row r="21" spans="1:6" x14ac:dyDescent="0.2">
      <c r="A21" s="1"/>
      <c r="B21" s="6">
        <f>IF(D21&lt;&gt;"",MAX(B$5:B20)+1,"")</f>
        <v>16</v>
      </c>
      <c r="C21" s="7">
        <f t="shared" si="0"/>
        <v>1976</v>
      </c>
      <c r="D21" s="8">
        <v>141</v>
      </c>
      <c r="E21" s="9"/>
      <c r="F21" s="1"/>
    </row>
    <row r="22" spans="1:6" x14ac:dyDescent="0.2">
      <c r="A22" s="1"/>
      <c r="B22" s="6">
        <f>IF(D22&lt;&gt;"",MAX(B$5:B21)+1,"")</f>
        <v>17</v>
      </c>
      <c r="C22" s="7">
        <f t="shared" si="0"/>
        <v>1977</v>
      </c>
      <c r="D22" s="8">
        <v>95</v>
      </c>
      <c r="E22" s="9"/>
      <c r="F22" s="1"/>
    </row>
    <row r="23" spans="1:6" x14ac:dyDescent="0.2">
      <c r="A23" s="1"/>
      <c r="B23" s="6">
        <f>IF(D23&lt;&gt;"",MAX(B$5:B22)+1,"")</f>
        <v>18</v>
      </c>
      <c r="C23" s="7">
        <f t="shared" si="0"/>
        <v>1978</v>
      </c>
      <c r="D23" s="8">
        <v>118</v>
      </c>
      <c r="E23" s="9"/>
      <c r="F23" s="1"/>
    </row>
    <row r="24" spans="1:6" x14ac:dyDescent="0.2">
      <c r="A24" s="1"/>
      <c r="B24" s="6">
        <f>IF(D24&lt;&gt;"",MAX(B$5:B23)+1,"")</f>
        <v>19</v>
      </c>
      <c r="C24" s="7">
        <f t="shared" si="0"/>
        <v>1979</v>
      </c>
      <c r="D24" s="8">
        <v>116</v>
      </c>
      <c r="E24" s="9"/>
      <c r="F24" s="1"/>
    </row>
    <row r="25" spans="1:6" x14ac:dyDescent="0.2">
      <c r="A25" s="1"/>
      <c r="B25" s="6">
        <f>IF(D25&lt;&gt;"",MAX(B$5:B24)+1,"")</f>
        <v>20</v>
      </c>
      <c r="C25" s="7">
        <f t="shared" si="0"/>
        <v>1980</v>
      </c>
      <c r="D25" s="8">
        <v>115</v>
      </c>
      <c r="E25" s="9"/>
      <c r="F25" s="1"/>
    </row>
    <row r="26" spans="1:6" x14ac:dyDescent="0.2">
      <c r="A26" s="1"/>
      <c r="B26" s="6">
        <f>IF(D26&lt;&gt;"",MAX(B$5:B25)+1,"")</f>
        <v>21</v>
      </c>
      <c r="C26" s="7">
        <f t="shared" si="0"/>
        <v>1981</v>
      </c>
      <c r="D26" s="8">
        <v>89</v>
      </c>
      <c r="E26" s="9"/>
      <c r="F26" s="1"/>
    </row>
    <row r="27" spans="1:6" x14ac:dyDescent="0.2">
      <c r="A27" s="1"/>
      <c r="B27" s="6">
        <f>IF(D27&lt;&gt;"",MAX(B$5:B26)+1,"")</f>
        <v>22</v>
      </c>
      <c r="C27" s="7">
        <f t="shared" si="0"/>
        <v>1982</v>
      </c>
      <c r="D27" s="8">
        <v>147</v>
      </c>
      <c r="E27" s="9"/>
      <c r="F27" s="1"/>
    </row>
    <row r="28" spans="1:6" x14ac:dyDescent="0.2">
      <c r="A28" s="1"/>
      <c r="B28" s="6">
        <f>IF(D28&lt;&gt;"",MAX(B$5:B27)+1,"")</f>
        <v>23</v>
      </c>
      <c r="C28" s="7">
        <f t="shared" si="0"/>
        <v>1983</v>
      </c>
      <c r="D28" s="8">
        <v>119</v>
      </c>
      <c r="E28" s="9"/>
      <c r="F28" s="1"/>
    </row>
    <row r="29" spans="1:6" x14ac:dyDescent="0.2">
      <c r="A29" s="1"/>
      <c r="B29" s="6">
        <f>IF(D29&lt;&gt;"",MAX(B$5:B28)+1,"")</f>
        <v>24</v>
      </c>
      <c r="C29" s="7">
        <f t="shared" si="0"/>
        <v>1984</v>
      </c>
      <c r="D29" s="8">
        <v>111</v>
      </c>
      <c r="E29" s="9"/>
      <c r="F29" s="1"/>
    </row>
    <row r="30" spans="1:6" x14ac:dyDescent="0.2">
      <c r="A30" s="1"/>
      <c r="B30" s="6">
        <f>IF(D30&lt;&gt;"",MAX(B$5:B29)+1,"")</f>
        <v>25</v>
      </c>
      <c r="C30" s="7">
        <f t="shared" si="0"/>
        <v>1985</v>
      </c>
      <c r="D30" s="8">
        <v>136</v>
      </c>
      <c r="E30" s="9"/>
      <c r="F30" s="1"/>
    </row>
    <row r="31" spans="1:6" x14ac:dyDescent="0.2">
      <c r="A31" s="1"/>
      <c r="B31" s="6">
        <f>IF(D31&lt;&gt;"",MAX(B$5:B30)+1,"")</f>
        <v>26</v>
      </c>
      <c r="C31" s="7">
        <f t="shared" si="0"/>
        <v>1986</v>
      </c>
      <c r="D31" s="8">
        <v>129</v>
      </c>
      <c r="E31" s="9"/>
      <c r="F31" s="1"/>
    </row>
    <row r="32" spans="1:6" x14ac:dyDescent="0.2">
      <c r="A32" s="1"/>
      <c r="B32" s="6">
        <f>IF(D32&lt;&gt;"",MAX(B$5:B31)+1,"")</f>
        <v>27</v>
      </c>
      <c r="C32" s="7">
        <f t="shared" si="0"/>
        <v>1987</v>
      </c>
      <c r="D32" s="8">
        <v>131</v>
      </c>
      <c r="E32" s="9"/>
      <c r="F32" s="1"/>
    </row>
    <row r="33" spans="1:6" x14ac:dyDescent="0.2">
      <c r="A33" s="1"/>
      <c r="B33" s="6">
        <f>IF(D33&lt;&gt;"",MAX(B$5:B32)+1,"")</f>
        <v>28</v>
      </c>
      <c r="C33" s="7">
        <f t="shared" si="0"/>
        <v>1988</v>
      </c>
      <c r="D33" s="8">
        <v>165</v>
      </c>
      <c r="E33" s="9"/>
      <c r="F33" s="1"/>
    </row>
    <row r="34" spans="1:6" x14ac:dyDescent="0.2">
      <c r="A34" s="1"/>
      <c r="B34" s="6">
        <f>IF(D34&lt;&gt;"",MAX(B$5:B33)+1,"")</f>
        <v>29</v>
      </c>
      <c r="C34" s="7">
        <f t="shared" si="0"/>
        <v>1989</v>
      </c>
      <c r="D34" s="8">
        <v>114</v>
      </c>
      <c r="E34" s="9"/>
      <c r="F34" s="1"/>
    </row>
    <row r="35" spans="1:6" x14ac:dyDescent="0.2">
      <c r="A35" s="1"/>
      <c r="B35" s="6">
        <f>IF(D35&lt;&gt;"",MAX(B$5:B34)+1,"")</f>
        <v>30</v>
      </c>
      <c r="C35" s="7">
        <f t="shared" si="0"/>
        <v>1990</v>
      </c>
      <c r="D35" s="8">
        <v>119</v>
      </c>
      <c r="E35" s="9"/>
      <c r="F35" s="1"/>
    </row>
    <row r="36" spans="1:6" x14ac:dyDescent="0.2">
      <c r="A36" s="1"/>
      <c r="B36" s="6">
        <f>IF(D36&lt;&gt;"",MAX(B$5:B35)+1,"")</f>
        <v>31</v>
      </c>
      <c r="C36" s="7">
        <f t="shared" si="0"/>
        <v>1991</v>
      </c>
      <c r="D36" s="8">
        <v>95</v>
      </c>
      <c r="E36" s="9"/>
      <c r="F36" s="1"/>
    </row>
    <row r="37" spans="1:6" x14ac:dyDescent="0.2">
      <c r="A37" s="1"/>
      <c r="B37" s="6">
        <f>IF(D37&lt;&gt;"",MAX(B$5:B36)+1,"")</f>
        <v>32</v>
      </c>
      <c r="C37" s="7">
        <f t="shared" si="0"/>
        <v>1992</v>
      </c>
      <c r="D37" s="8">
        <v>125</v>
      </c>
      <c r="E37" s="9"/>
      <c r="F37" s="1"/>
    </row>
    <row r="38" spans="1:6" x14ac:dyDescent="0.2">
      <c r="A38" s="1"/>
      <c r="B38" s="6">
        <f>IF(D38&lt;&gt;"",MAX(B$5:B37)+1,"")</f>
        <v>33</v>
      </c>
      <c r="C38" s="7">
        <f t="shared" si="0"/>
        <v>1993</v>
      </c>
      <c r="D38" s="8">
        <v>123</v>
      </c>
      <c r="E38" s="9"/>
      <c r="F38" s="1"/>
    </row>
    <row r="39" spans="1:6" x14ac:dyDescent="0.2">
      <c r="A39" s="1"/>
      <c r="B39" s="6">
        <f>IF(D39&lt;&gt;"",MAX(B$5:B38)+1,"")</f>
        <v>34</v>
      </c>
      <c r="C39" s="7">
        <f t="shared" si="0"/>
        <v>1994</v>
      </c>
      <c r="D39" s="8">
        <v>117</v>
      </c>
      <c r="E39" s="9"/>
      <c r="F39" s="1"/>
    </row>
    <row r="40" spans="1:6" x14ac:dyDescent="0.2">
      <c r="A40" s="1"/>
      <c r="B40" s="6">
        <f>IF(D40&lt;&gt;"",MAX(B$5:B39)+1,"")</f>
        <v>35</v>
      </c>
      <c r="C40" s="7">
        <f t="shared" si="0"/>
        <v>1995</v>
      </c>
      <c r="D40" s="8">
        <v>188</v>
      </c>
      <c r="E40" s="9"/>
      <c r="F40" s="1"/>
    </row>
    <row r="41" spans="1:6" x14ac:dyDescent="0.2">
      <c r="A41" s="1"/>
      <c r="B41" s="6">
        <f>IF(D41&lt;&gt;"",MAX(B$5:B40)+1,"")</f>
        <v>36</v>
      </c>
      <c r="C41" s="7">
        <f t="shared" si="0"/>
        <v>1996</v>
      </c>
      <c r="D41" s="8">
        <v>183</v>
      </c>
      <c r="E41" s="9"/>
      <c r="F41" s="1"/>
    </row>
    <row r="42" spans="1:6" x14ac:dyDescent="0.2">
      <c r="A42" s="1"/>
      <c r="B42" s="6">
        <f>IF(D42&lt;&gt;"",MAX(B$5:B41)+1,"")</f>
        <v>37</v>
      </c>
      <c r="C42" s="7">
        <f t="shared" si="0"/>
        <v>1997</v>
      </c>
      <c r="D42" s="8">
        <v>124</v>
      </c>
      <c r="E42" s="9"/>
      <c r="F42" s="1"/>
    </row>
    <row r="43" spans="1:6" x14ac:dyDescent="0.2">
      <c r="A43" s="1"/>
      <c r="B43" s="6">
        <f>IF(D43&lt;&gt;"",MAX(B$5:B42)+1,"")</f>
        <v>38</v>
      </c>
      <c r="C43" s="7">
        <f t="shared" si="0"/>
        <v>1998</v>
      </c>
      <c r="D43" s="8">
        <v>177.5</v>
      </c>
      <c r="E43" s="9"/>
      <c r="F43" s="1"/>
    </row>
    <row r="44" spans="1:6" x14ac:dyDescent="0.2">
      <c r="A44" s="1"/>
      <c r="B44" s="6">
        <f>IF(D44&lt;&gt;"",MAX(B$5:B43)+1,"")</f>
        <v>39</v>
      </c>
      <c r="C44" s="7">
        <f t="shared" si="0"/>
        <v>1999</v>
      </c>
      <c r="D44" s="8">
        <v>135</v>
      </c>
      <c r="E44" s="9"/>
      <c r="F44" s="1"/>
    </row>
    <row r="45" spans="1:6" x14ac:dyDescent="0.2">
      <c r="A45" s="1"/>
      <c r="B45" s="6">
        <f>IF(D45&lt;&gt;"",MAX(B$5:B44)+1,"")</f>
        <v>40</v>
      </c>
      <c r="C45" s="7">
        <f t="shared" si="0"/>
        <v>2000</v>
      </c>
      <c r="D45" s="8">
        <v>161</v>
      </c>
      <c r="E45" s="9"/>
      <c r="F45" s="1"/>
    </row>
    <row r="46" spans="1:6" x14ac:dyDescent="0.2">
      <c r="A46" s="1"/>
      <c r="B46" s="6">
        <f>IF(D46&lt;&gt;"",MAX(B$5:B45)+1,"")</f>
        <v>41</v>
      </c>
      <c r="C46" s="7">
        <f t="shared" si="0"/>
        <v>2001</v>
      </c>
      <c r="D46" s="8">
        <v>124</v>
      </c>
      <c r="E46" s="9"/>
      <c r="F46" s="1"/>
    </row>
    <row r="47" spans="1:6" x14ac:dyDescent="0.2">
      <c r="A47" s="1"/>
      <c r="B47" s="6">
        <f>IF(D47&lt;&gt;"",MAX(B$5:B46)+1,"")</f>
        <v>42</v>
      </c>
      <c r="C47" s="7">
        <f t="shared" si="0"/>
        <v>2002</v>
      </c>
      <c r="D47" s="8">
        <v>115</v>
      </c>
      <c r="E47" s="9"/>
      <c r="F47" s="1"/>
    </row>
    <row r="48" spans="1:6" x14ac:dyDescent="0.2">
      <c r="A48" s="1"/>
      <c r="B48" s="6">
        <f>IF(D48&lt;&gt;"",MAX(B$5:B47)+1,"")</f>
        <v>43</v>
      </c>
      <c r="C48" s="7">
        <f t="shared" si="0"/>
        <v>2003</v>
      </c>
      <c r="D48" s="8">
        <v>169</v>
      </c>
      <c r="E48" s="9"/>
      <c r="F48" s="1"/>
    </row>
    <row r="49" spans="1:6" x14ac:dyDescent="0.2">
      <c r="A49" s="1"/>
      <c r="B49" s="6">
        <f>IF(D49&lt;&gt;"",MAX(B$5:B48)+1,"")</f>
        <v>44</v>
      </c>
      <c r="C49" s="7">
        <f t="shared" si="0"/>
        <v>2004</v>
      </c>
      <c r="D49" s="8">
        <v>121</v>
      </c>
      <c r="E49" s="9"/>
      <c r="F49" s="1"/>
    </row>
    <row r="50" spans="1:6" x14ac:dyDescent="0.2">
      <c r="A50" s="1"/>
      <c r="B50" s="6">
        <f>IF(D50&lt;&gt;"",MAX(B$5:B49)+1,"")</f>
        <v>45</v>
      </c>
      <c r="C50" s="7">
        <f t="shared" si="0"/>
        <v>2005</v>
      </c>
      <c r="D50" s="8">
        <v>373</v>
      </c>
      <c r="E50" s="9"/>
      <c r="F50" s="1"/>
    </row>
    <row r="51" spans="1:6" x14ac:dyDescent="0.2">
      <c r="A51" s="1"/>
      <c r="B51" s="6">
        <f>IF(D51&lt;&gt;"",MAX(B$5:B50)+1,"")</f>
        <v>46</v>
      </c>
      <c r="C51" s="7">
        <f>IF(C50&lt;$E$4,(C50+1)," ")</f>
        <v>2006</v>
      </c>
      <c r="D51" s="8">
        <v>135.19999999999999</v>
      </c>
      <c r="E51" s="9"/>
      <c r="F51" s="1"/>
    </row>
    <row r="52" spans="1:6" x14ac:dyDescent="0.2">
      <c r="A52" s="1"/>
      <c r="B52" s="6">
        <f>IF(D52&lt;&gt;"",MAX(B$5:B51)+1,"")</f>
        <v>47</v>
      </c>
      <c r="C52" s="7">
        <f t="shared" si="0"/>
        <v>2007</v>
      </c>
      <c r="D52" s="8">
        <v>257.60000000000002</v>
      </c>
      <c r="E52" s="9"/>
      <c r="F52" s="1"/>
    </row>
    <row r="53" spans="1:6" x14ac:dyDescent="0.2">
      <c r="A53" s="1"/>
      <c r="B53" s="6">
        <f>IF(D53&lt;&gt;"",MAX(B$5:B52)+1,"")</f>
        <v>48</v>
      </c>
      <c r="C53" s="7">
        <f t="shared" si="0"/>
        <v>2008</v>
      </c>
      <c r="D53" s="8">
        <v>114.5</v>
      </c>
      <c r="E53" s="9"/>
      <c r="F53" s="1"/>
    </row>
    <row r="54" spans="1:6" x14ac:dyDescent="0.2">
      <c r="A54" s="1"/>
      <c r="B54" s="6">
        <f>IF(D54&lt;&gt;"",MAX(B$5:B53)+1,"")</f>
        <v>49</v>
      </c>
      <c r="C54" s="7">
        <f t="shared" si="0"/>
        <v>2009</v>
      </c>
      <c r="D54" s="8">
        <v>105.5</v>
      </c>
      <c r="E54" s="9"/>
      <c r="F54" s="1"/>
    </row>
    <row r="55" spans="1:6" x14ac:dyDescent="0.2">
      <c r="A55" s="1"/>
      <c r="B55" s="6">
        <f>IF(D55&lt;&gt;"",MAX(B$5:B54)+1,"")</f>
        <v>50</v>
      </c>
      <c r="C55" s="7">
        <f t="shared" si="0"/>
        <v>2010</v>
      </c>
      <c r="D55" s="8">
        <v>228.6</v>
      </c>
      <c r="E55" s="9"/>
      <c r="F55" s="1"/>
    </row>
    <row r="56" spans="1:6" s="10" customFormat="1" x14ac:dyDescent="0.2">
      <c r="A56" s="1"/>
      <c r="B56" s="1"/>
      <c r="C56" s="1"/>
      <c r="D56" s="1"/>
      <c r="E56" s="1"/>
      <c r="F56" s="1"/>
    </row>
    <row r="57" spans="1:6" hidden="1" x14ac:dyDescent="0.2"/>
    <row r="58" spans="1:6" hidden="1" x14ac:dyDescent="0.2"/>
    <row r="59" spans="1:6" hidden="1" x14ac:dyDescent="0.2"/>
    <row r="60" spans="1:6" hidden="1" x14ac:dyDescent="0.2"/>
    <row r="61" spans="1:6" hidden="1" x14ac:dyDescent="0.2"/>
  </sheetData>
  <sheetProtection sheet="1" objects="1" scenarios="1" selectLockedCells="1"/>
  <mergeCells count="2">
    <mergeCell ref="B2:E2"/>
    <mergeCell ref="C3:E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7">
    <tabColor rgb="FF00B0F0"/>
  </sheetPr>
  <dimension ref="A1:Z62"/>
  <sheetViews>
    <sheetView tabSelected="1" workbookViewId="0">
      <pane xSplit="1" ySplit="3" topLeftCell="B4" activePane="bottomRight" state="frozen"/>
      <selection activeCell="C3" sqref="C3:E3"/>
      <selection pane="bottomLeft" activeCell="C3" sqref="C3:E3"/>
      <selection pane="topRight" activeCell="C3" sqref="C3:E3"/>
      <selection pane="bottomRight" activeCell="F7" sqref="F7"/>
    </sheetView>
  </sheetViews>
  <sheetFormatPr defaultColWidth="0" defaultRowHeight="15.75" zeroHeight="1" x14ac:dyDescent="0.2"/>
  <cols>
    <col min="1" max="1" width="4.03515625" style="3" customWidth="1"/>
    <col min="2" max="2" width="30.40234375" style="3" customWidth="1"/>
    <col min="3" max="3" width="40.48828125" style="3" customWidth="1"/>
    <col min="4" max="4" width="26.76953125" style="3" customWidth="1"/>
    <col min="5" max="5" width="21.7890625" style="3" customWidth="1"/>
    <col min="6" max="6" width="14.390625" style="3" bestFit="1" customWidth="1"/>
    <col min="7" max="7" width="14.125" style="3" bestFit="1" customWidth="1"/>
    <col min="8" max="8" width="19.7734375" style="3" customWidth="1"/>
    <col min="9" max="11" width="11.43359375" style="3" hidden="1" customWidth="1"/>
    <col min="12" max="12" width="29.32421875" style="3" hidden="1" customWidth="1"/>
    <col min="13" max="15" width="24.6171875" style="3" hidden="1" customWidth="1"/>
    <col min="16" max="19" width="11.43359375" style="3" hidden="1" customWidth="1"/>
    <col min="20" max="20" width="7.3984375" style="3" hidden="1" customWidth="1"/>
    <col min="21" max="21" width="11.43359375" style="3" hidden="1" customWidth="1"/>
    <col min="22" max="22" width="77.88671875" style="3" hidden="1" customWidth="1"/>
    <col min="23" max="23" width="16.54296875" style="3" hidden="1" customWidth="1"/>
    <col min="24" max="24" width="14.390625" style="3" hidden="1" customWidth="1"/>
    <col min="25" max="16384" width="11.43359375" style="3" hidden="1"/>
  </cols>
  <sheetData>
    <row r="1" spans="1:26" x14ac:dyDescent="0.2">
      <c r="A1" s="85"/>
      <c r="B1" s="85"/>
      <c r="C1" s="85"/>
      <c r="D1" s="85"/>
      <c r="E1" s="85"/>
      <c r="F1" s="85"/>
      <c r="G1" s="85"/>
      <c r="H1" s="85"/>
    </row>
    <row r="2" spans="1:26" ht="15.75" customHeight="1" x14ac:dyDescent="0.2">
      <c r="A2" s="85"/>
      <c r="B2" s="380" t="s">
        <v>116</v>
      </c>
      <c r="C2" s="381"/>
      <c r="D2" s="381"/>
      <c r="E2" s="381"/>
      <c r="F2" s="381"/>
      <c r="G2" s="381"/>
      <c r="H2" s="87"/>
      <c r="I2" s="37"/>
    </row>
    <row r="3" spans="1:26" ht="18.75" x14ac:dyDescent="0.2">
      <c r="A3" s="85"/>
      <c r="B3" s="391" t="s">
        <v>58</v>
      </c>
      <c r="C3" s="391"/>
      <c r="D3" s="84" t="s">
        <v>73</v>
      </c>
      <c r="E3" s="84" t="s">
        <v>110</v>
      </c>
      <c r="F3" s="84" t="s">
        <v>19</v>
      </c>
      <c r="G3" s="84" t="s">
        <v>112</v>
      </c>
      <c r="H3" s="85"/>
      <c r="I3" s="37"/>
      <c r="V3" s="38" t="s">
        <v>108</v>
      </c>
      <c r="W3" s="38" t="s">
        <v>59</v>
      </c>
      <c r="X3" s="38" t="s">
        <v>60</v>
      </c>
      <c r="Y3" s="37"/>
      <c r="Z3" s="37"/>
    </row>
    <row r="4" spans="1:26" x14ac:dyDescent="0.2">
      <c r="A4" s="85"/>
      <c r="B4" s="393" t="s">
        <v>82</v>
      </c>
      <c r="C4" s="393"/>
      <c r="D4" s="89">
        <v>1</v>
      </c>
      <c r="E4" s="90">
        <v>23</v>
      </c>
      <c r="F4" s="88">
        <f>IF(D4=1,D36,IF(D4=2,E36,IF(D4=3,F36,0)))</f>
        <v>0.26</v>
      </c>
      <c r="G4" s="88">
        <f>IF(E4&gt;0,(E4/$E$18)*F4,0)</f>
        <v>1.5025125628140705E-2</v>
      </c>
      <c r="H4" s="85"/>
      <c r="I4" s="43"/>
      <c r="V4" s="39">
        <v>0</v>
      </c>
      <c r="W4" s="40">
        <v>0</v>
      </c>
      <c r="X4" s="41">
        <f t="shared" ref="X4:X10" si="0">(V4/100)*W4</f>
        <v>0</v>
      </c>
      <c r="Y4" s="42"/>
      <c r="Z4" s="37"/>
    </row>
    <row r="5" spans="1:26" x14ac:dyDescent="0.2">
      <c r="A5" s="85"/>
      <c r="B5" s="397" t="s">
        <v>83</v>
      </c>
      <c r="C5" s="80" t="s">
        <v>84</v>
      </c>
      <c r="D5" s="91">
        <v>3</v>
      </c>
      <c r="E5" s="9"/>
      <c r="F5" s="88">
        <f t="shared" ref="F5:F17" si="1">IF(D5=1,D37,IF(D5=2,E37,IF(D5=3,F37,0)))</f>
        <v>0.3</v>
      </c>
      <c r="G5" s="88">
        <f t="shared" ref="G5:G17" si="2">IF(E5&gt;0,(E5/$E$18)*F5,0)</f>
        <v>0</v>
      </c>
      <c r="H5" s="85"/>
      <c r="I5" s="43"/>
      <c r="V5" s="40">
        <v>50</v>
      </c>
      <c r="W5" s="40">
        <v>0.3</v>
      </c>
      <c r="X5" s="41">
        <f t="shared" si="0"/>
        <v>0.15</v>
      </c>
      <c r="Y5" s="37"/>
      <c r="Z5" s="37"/>
    </row>
    <row r="6" spans="1:26" x14ac:dyDescent="0.2">
      <c r="A6" s="85"/>
      <c r="B6" s="397"/>
      <c r="C6" s="80" t="s">
        <v>85</v>
      </c>
      <c r="D6" s="91">
        <v>1</v>
      </c>
      <c r="E6" s="9">
        <v>40</v>
      </c>
      <c r="F6" s="88">
        <f t="shared" si="1"/>
        <v>0.24</v>
      </c>
      <c r="G6" s="88">
        <f t="shared" si="2"/>
        <v>2.4120603015075376E-2</v>
      </c>
      <c r="H6" s="85"/>
      <c r="I6" s="37"/>
      <c r="V6" s="40">
        <v>0</v>
      </c>
      <c r="W6" s="40">
        <v>0</v>
      </c>
      <c r="X6" s="41">
        <f t="shared" si="0"/>
        <v>0</v>
      </c>
      <c r="Y6" s="37"/>
      <c r="Z6" s="37"/>
    </row>
    <row r="7" spans="1:26" x14ac:dyDescent="0.2">
      <c r="A7" s="85"/>
      <c r="B7" s="397"/>
      <c r="C7" s="80" t="s">
        <v>86</v>
      </c>
      <c r="D7" s="91">
        <v>3</v>
      </c>
      <c r="E7" s="9">
        <v>7</v>
      </c>
      <c r="F7" s="88">
        <f t="shared" si="1"/>
        <v>0.3</v>
      </c>
      <c r="G7" s="88">
        <f t="shared" si="2"/>
        <v>5.2763819095477385E-3</v>
      </c>
      <c r="H7" s="85"/>
      <c r="I7" s="37"/>
      <c r="V7" s="40">
        <v>50</v>
      </c>
      <c r="W7" s="40">
        <f>S16</f>
        <v>0</v>
      </c>
      <c r="X7" s="41">
        <f t="shared" si="0"/>
        <v>0</v>
      </c>
      <c r="Y7" s="37"/>
      <c r="Z7" s="37"/>
    </row>
    <row r="8" spans="1:26" x14ac:dyDescent="0.2">
      <c r="A8" s="85"/>
      <c r="B8" s="395" t="s">
        <v>109</v>
      </c>
      <c r="C8" s="81" t="s">
        <v>87</v>
      </c>
      <c r="D8" s="91">
        <v>2</v>
      </c>
      <c r="E8" s="9">
        <v>78</v>
      </c>
      <c r="F8" s="88">
        <f t="shared" si="1"/>
        <v>0.2</v>
      </c>
      <c r="G8" s="88">
        <f t="shared" si="2"/>
        <v>3.9195979899497489E-2</v>
      </c>
      <c r="H8" s="85"/>
      <c r="I8" s="37"/>
      <c r="V8" s="39">
        <v>0</v>
      </c>
      <c r="W8" s="39">
        <v>0</v>
      </c>
      <c r="X8" s="41">
        <f t="shared" si="0"/>
        <v>0</v>
      </c>
      <c r="Y8" s="37"/>
      <c r="Z8" s="37"/>
    </row>
    <row r="9" spans="1:26" x14ac:dyDescent="0.2">
      <c r="A9" s="85"/>
      <c r="B9" s="395"/>
      <c r="C9" s="81" t="s">
        <v>88</v>
      </c>
      <c r="D9" s="91">
        <v>2</v>
      </c>
      <c r="E9" s="9">
        <v>7</v>
      </c>
      <c r="F9" s="88">
        <f t="shared" si="1"/>
        <v>0.24</v>
      </c>
      <c r="G9" s="88">
        <f t="shared" si="2"/>
        <v>4.2211055276381911E-3</v>
      </c>
      <c r="H9" s="85"/>
      <c r="I9" s="37"/>
      <c r="V9" s="40">
        <v>0</v>
      </c>
      <c r="W9" s="40">
        <v>0</v>
      </c>
      <c r="X9" s="41">
        <f t="shared" si="0"/>
        <v>0</v>
      </c>
      <c r="Y9" s="37"/>
      <c r="Z9" s="37"/>
    </row>
    <row r="10" spans="1:26" x14ac:dyDescent="0.2">
      <c r="A10" s="85"/>
      <c r="B10" s="395"/>
      <c r="C10" s="81" t="s">
        <v>89</v>
      </c>
      <c r="D10" s="91">
        <v>1</v>
      </c>
      <c r="E10" s="9">
        <v>8</v>
      </c>
      <c r="F10" s="88">
        <f t="shared" si="1"/>
        <v>0.24</v>
      </c>
      <c r="G10" s="88">
        <f t="shared" si="2"/>
        <v>4.8241206030150757E-3</v>
      </c>
      <c r="H10" s="85"/>
      <c r="I10" s="37"/>
      <c r="V10" s="63"/>
      <c r="W10" s="40"/>
      <c r="X10" s="41">
        <f t="shared" si="0"/>
        <v>0</v>
      </c>
      <c r="Y10" s="37"/>
      <c r="Z10" s="37"/>
    </row>
    <row r="11" spans="1:26" x14ac:dyDescent="0.2">
      <c r="A11" s="85"/>
      <c r="B11" s="394" t="s">
        <v>90</v>
      </c>
      <c r="C11" s="82" t="s">
        <v>91</v>
      </c>
      <c r="D11" s="91">
        <v>3</v>
      </c>
      <c r="E11" s="9">
        <v>2</v>
      </c>
      <c r="F11" s="88">
        <f t="shared" si="1"/>
        <v>0.24</v>
      </c>
      <c r="G11" s="88">
        <f t="shared" si="2"/>
        <v>1.2060301507537689E-3</v>
      </c>
      <c r="H11" s="85"/>
      <c r="I11" s="37"/>
      <c r="V11" s="44">
        <f>SUM(V4:V9)</f>
        <v>100</v>
      </c>
      <c r="W11" s="45" t="s">
        <v>62</v>
      </c>
      <c r="X11" s="45">
        <f>SUM(X4:X10)</f>
        <v>0.15</v>
      </c>
      <c r="Z11" s="37"/>
    </row>
    <row r="12" spans="1:26" ht="16.5" thickBot="1" x14ac:dyDescent="0.25">
      <c r="A12" s="85"/>
      <c r="B12" s="394"/>
      <c r="C12" s="82" t="s">
        <v>92</v>
      </c>
      <c r="D12" s="91">
        <v>1</v>
      </c>
      <c r="E12" s="9">
        <v>75</v>
      </c>
      <c r="F12" s="88">
        <f t="shared" si="1"/>
        <v>0.12</v>
      </c>
      <c r="G12" s="88">
        <f t="shared" si="2"/>
        <v>2.2613065326633167E-2</v>
      </c>
      <c r="H12" s="85"/>
      <c r="I12" s="37"/>
      <c r="V12" s="46"/>
      <c r="W12" s="47"/>
      <c r="X12" s="47"/>
      <c r="Z12" s="37"/>
    </row>
    <row r="13" spans="1:26" ht="16.5" thickBot="1" x14ac:dyDescent="0.25">
      <c r="A13" s="85"/>
      <c r="B13" s="394"/>
      <c r="C13" s="161" t="s">
        <v>351</v>
      </c>
      <c r="D13" s="91">
        <v>2</v>
      </c>
      <c r="E13" s="9">
        <v>34</v>
      </c>
      <c r="F13" s="88">
        <f t="shared" si="1"/>
        <v>0.26</v>
      </c>
      <c r="G13" s="88">
        <f t="shared" si="2"/>
        <v>2.2211055276381907E-2</v>
      </c>
      <c r="H13" s="85"/>
      <c r="I13" s="37"/>
      <c r="V13" s="46"/>
      <c r="W13" s="47" t="s">
        <v>63</v>
      </c>
      <c r="X13" s="48" t="s">
        <v>64</v>
      </c>
      <c r="Y13" s="37"/>
      <c r="Z13" s="37"/>
    </row>
    <row r="14" spans="1:26" ht="16.5" thickBot="1" x14ac:dyDescent="0.25">
      <c r="A14" s="85"/>
      <c r="B14" s="394"/>
      <c r="C14" s="82" t="s">
        <v>94</v>
      </c>
      <c r="D14" s="91">
        <v>3</v>
      </c>
      <c r="E14" s="9">
        <v>23</v>
      </c>
      <c r="F14" s="88">
        <f t="shared" si="1"/>
        <v>0.3</v>
      </c>
      <c r="G14" s="88">
        <f t="shared" si="2"/>
        <v>1.7336683417085427E-2</v>
      </c>
      <c r="H14" s="85"/>
      <c r="I14" s="37"/>
      <c r="V14" s="46"/>
      <c r="W14" s="47" t="s">
        <v>65</v>
      </c>
      <c r="X14" s="49">
        <f>(X11*(F19-250))/2000</f>
        <v>2.8500000000000001E-2</v>
      </c>
      <c r="Y14" s="37"/>
      <c r="Z14" s="37"/>
    </row>
    <row r="15" spans="1:26" ht="16.5" thickBot="1" x14ac:dyDescent="0.25">
      <c r="A15" s="85"/>
      <c r="B15" s="396" t="s">
        <v>95</v>
      </c>
      <c r="C15" s="396"/>
      <c r="D15" s="91">
        <v>2</v>
      </c>
      <c r="E15" s="9">
        <v>45</v>
      </c>
      <c r="F15" s="88">
        <f t="shared" si="1"/>
        <v>0.28999999999999998</v>
      </c>
      <c r="G15" s="88">
        <f t="shared" si="2"/>
        <v>3.2788944723618089E-2</v>
      </c>
      <c r="H15" s="85"/>
      <c r="I15" s="37"/>
      <c r="V15" s="46"/>
      <c r="W15" s="47" t="s">
        <v>66</v>
      </c>
      <c r="X15" s="48">
        <f>((X11*(F19-250))/2000)+((X11-0.15)/1.5)</f>
        <v>2.8500000000000001E-2</v>
      </c>
      <c r="Y15" s="50">
        <f>X15*100</f>
        <v>2.85</v>
      </c>
      <c r="Z15" s="51" t="s">
        <v>67</v>
      </c>
    </row>
    <row r="16" spans="1:26" ht="16.5" thickBot="1" x14ac:dyDescent="0.25">
      <c r="A16" s="85"/>
      <c r="B16" s="397" t="s">
        <v>61</v>
      </c>
      <c r="C16" s="397"/>
      <c r="D16" s="91">
        <v>3</v>
      </c>
      <c r="E16" s="9">
        <v>56</v>
      </c>
      <c r="F16" s="88">
        <f t="shared" si="1"/>
        <v>0.33</v>
      </c>
      <c r="G16" s="88">
        <f t="shared" si="2"/>
        <v>4.6432160804020101E-2</v>
      </c>
      <c r="H16" s="85"/>
      <c r="V16" s="2"/>
      <c r="W16" s="52" t="s">
        <v>64</v>
      </c>
      <c r="X16" s="53">
        <f>IF(X11&lt;0.15,X14,X15)</f>
        <v>2.8500000000000001E-2</v>
      </c>
      <c r="Z16" s="2"/>
    </row>
    <row r="17" spans="1:26" x14ac:dyDescent="0.2">
      <c r="A17" s="85"/>
      <c r="B17" s="395" t="s">
        <v>96</v>
      </c>
      <c r="C17" s="395"/>
      <c r="D17" s="91">
        <v>4</v>
      </c>
      <c r="E17" s="9"/>
      <c r="F17" s="88">
        <f t="shared" si="1"/>
        <v>0</v>
      </c>
      <c r="G17" s="88">
        <f t="shared" si="2"/>
        <v>0</v>
      </c>
      <c r="H17" s="85"/>
      <c r="V17" s="2"/>
      <c r="W17" s="64"/>
      <c r="X17" s="65"/>
      <c r="Z17" s="2"/>
    </row>
    <row r="18" spans="1:26" x14ac:dyDescent="0.2">
      <c r="A18" s="85"/>
      <c r="B18" s="390" t="s">
        <v>114</v>
      </c>
      <c r="C18" s="390"/>
      <c r="D18" s="390"/>
      <c r="E18" s="92">
        <f>SUM(E4:E17)</f>
        <v>398</v>
      </c>
      <c r="F18" s="93"/>
      <c r="G18" s="94">
        <f>SUM(G4:G17)</f>
        <v>0.23525125628140706</v>
      </c>
      <c r="H18" s="85"/>
      <c r="V18" s="2"/>
      <c r="W18" s="64"/>
      <c r="X18" s="65"/>
      <c r="Z18" s="2"/>
    </row>
    <row r="19" spans="1:26" hidden="1" x14ac:dyDescent="0.2">
      <c r="A19" s="85"/>
      <c r="B19" s="95"/>
      <c r="C19" s="96"/>
      <c r="D19" s="96"/>
      <c r="E19" s="97" t="s">
        <v>107</v>
      </c>
      <c r="F19" s="98">
        <f>AVERAGE('DATOS DE PRECIPITACIÓN'!E6:E55)</f>
        <v>630</v>
      </c>
      <c r="G19" s="99" t="s">
        <v>57</v>
      </c>
      <c r="H19" s="87"/>
      <c r="I19" s="37"/>
      <c r="V19" s="2"/>
      <c r="W19" s="64"/>
      <c r="X19" s="65"/>
      <c r="Z19" s="2"/>
    </row>
    <row r="20" spans="1:26" hidden="1" x14ac:dyDescent="0.2">
      <c r="A20" s="85"/>
      <c r="B20" s="73"/>
      <c r="C20" s="73"/>
      <c r="E20" s="74"/>
      <c r="F20" s="37" t="s">
        <v>65</v>
      </c>
      <c r="G20" s="79">
        <f>(G18*(F19-250))/2000</f>
        <v>4.469773869346734E-2</v>
      </c>
      <c r="H20" s="87"/>
      <c r="I20" s="37"/>
      <c r="V20" s="2"/>
      <c r="W20" s="64"/>
      <c r="X20" s="65"/>
      <c r="Z20" s="2"/>
    </row>
    <row r="21" spans="1:26" hidden="1" x14ac:dyDescent="0.2">
      <c r="A21" s="85"/>
      <c r="B21" s="73"/>
      <c r="C21" s="73"/>
      <c r="D21" s="73"/>
      <c r="E21" s="74"/>
      <c r="F21" s="37" t="s">
        <v>66</v>
      </c>
      <c r="G21" s="79">
        <f>((G18*(F19-250))/2000)+((G18-0.15)/1.5)</f>
        <v>0.10153190954773872</v>
      </c>
      <c r="H21" s="87"/>
      <c r="I21" s="37"/>
      <c r="V21" s="2"/>
      <c r="W21" s="64"/>
      <c r="X21" s="65"/>
      <c r="Z21" s="2"/>
    </row>
    <row r="22" spans="1:26" ht="18" x14ac:dyDescent="0.2">
      <c r="A22" s="85"/>
      <c r="B22" s="103"/>
      <c r="C22" s="103"/>
      <c r="D22" s="100"/>
      <c r="E22" s="101"/>
      <c r="F22" s="100" t="s">
        <v>115</v>
      </c>
      <c r="G22" s="102">
        <f>IF(G18&lt;0.15,G20,G21)</f>
        <v>0.10153190954773872</v>
      </c>
      <c r="H22" s="87"/>
      <c r="I22" s="37"/>
      <c r="V22" s="2"/>
      <c r="W22" s="64"/>
      <c r="X22" s="65"/>
      <c r="Z22" s="2"/>
    </row>
    <row r="23" spans="1:26" x14ac:dyDescent="0.2">
      <c r="A23" s="85"/>
      <c r="B23" s="104" t="s">
        <v>117</v>
      </c>
      <c r="C23" s="86"/>
      <c r="D23" s="85"/>
      <c r="E23" s="85"/>
      <c r="F23" s="87"/>
      <c r="G23" s="87"/>
      <c r="H23" s="87"/>
      <c r="I23" s="37"/>
      <c r="V23" s="2"/>
      <c r="W23" s="64"/>
      <c r="X23" s="65"/>
      <c r="Z23" s="2"/>
    </row>
    <row r="24" spans="1:26" hidden="1" x14ac:dyDescent="0.2">
      <c r="C24" s="66"/>
      <c r="F24" s="37"/>
      <c r="G24" s="37"/>
      <c r="H24" s="37"/>
      <c r="I24" s="37"/>
      <c r="V24" s="2"/>
      <c r="W24" s="64"/>
      <c r="X24" s="65"/>
      <c r="Z24" s="2"/>
    </row>
    <row r="25" spans="1:26" hidden="1" x14ac:dyDescent="0.2">
      <c r="C25" s="66"/>
      <c r="F25" s="37"/>
      <c r="G25" s="37"/>
      <c r="H25" s="37"/>
      <c r="I25" s="37"/>
      <c r="V25" s="2"/>
      <c r="W25" s="64"/>
      <c r="X25" s="65"/>
      <c r="Z25" s="2"/>
    </row>
    <row r="26" spans="1:26" hidden="1" x14ac:dyDescent="0.2">
      <c r="C26" s="66"/>
      <c r="F26" s="37"/>
      <c r="G26" s="37"/>
      <c r="H26" s="37"/>
      <c r="I26" s="37"/>
      <c r="V26" s="2"/>
      <c r="W26" s="64"/>
      <c r="X26" s="65"/>
      <c r="Z26" s="2"/>
    </row>
    <row r="27" spans="1:26" hidden="1" x14ac:dyDescent="0.2">
      <c r="C27" s="66"/>
      <c r="F27" s="37"/>
      <c r="G27" s="37"/>
      <c r="H27" s="37"/>
      <c r="I27" s="37"/>
      <c r="V27" s="2"/>
      <c r="W27" s="64"/>
      <c r="X27" s="65"/>
      <c r="Z27" s="2"/>
    </row>
    <row r="28" spans="1:26" hidden="1" x14ac:dyDescent="0.2">
      <c r="B28" s="392" t="s">
        <v>73</v>
      </c>
      <c r="C28" s="392" t="s">
        <v>74</v>
      </c>
      <c r="D28" s="392"/>
      <c r="E28" s="392"/>
      <c r="F28" s="392"/>
    </row>
    <row r="29" spans="1:26" hidden="1" x14ac:dyDescent="0.2">
      <c r="B29" s="392"/>
      <c r="C29" s="392"/>
      <c r="D29" s="392"/>
      <c r="E29" s="392"/>
      <c r="F29" s="392"/>
    </row>
    <row r="30" spans="1:26" ht="15.75" hidden="1" customHeight="1" x14ac:dyDescent="0.2">
      <c r="B30" s="70" t="s">
        <v>75</v>
      </c>
      <c r="C30" s="387" t="s">
        <v>76</v>
      </c>
      <c r="D30" s="388"/>
      <c r="E30" s="388"/>
      <c r="F30" s="389"/>
    </row>
    <row r="31" spans="1:26" ht="31.5" hidden="1" customHeight="1" x14ac:dyDescent="0.2">
      <c r="B31" s="70" t="s">
        <v>77</v>
      </c>
      <c r="C31" s="387" t="s">
        <v>78</v>
      </c>
      <c r="D31" s="388"/>
      <c r="E31" s="388"/>
      <c r="F31" s="389"/>
    </row>
    <row r="32" spans="1:26" ht="33.75" hidden="1" customHeight="1" x14ac:dyDescent="0.2">
      <c r="B32" s="70" t="s">
        <v>79</v>
      </c>
      <c r="C32" s="387" t="s">
        <v>80</v>
      </c>
      <c r="D32" s="388"/>
      <c r="E32" s="388"/>
      <c r="F32" s="389"/>
    </row>
    <row r="33" spans="2:6" hidden="1" x14ac:dyDescent="0.2">
      <c r="B33" s="70" t="s">
        <v>111</v>
      </c>
      <c r="C33" s="387" t="s">
        <v>113</v>
      </c>
      <c r="D33" s="388"/>
      <c r="E33" s="388"/>
      <c r="F33" s="389"/>
    </row>
    <row r="34" spans="2:6" hidden="1" x14ac:dyDescent="0.2">
      <c r="B34" s="392" t="s">
        <v>81</v>
      </c>
      <c r="C34" s="392"/>
      <c r="D34" s="400" t="s">
        <v>73</v>
      </c>
      <c r="E34" s="400"/>
      <c r="F34" s="400"/>
    </row>
    <row r="35" spans="2:6" hidden="1" x14ac:dyDescent="0.2">
      <c r="B35" s="392"/>
      <c r="C35" s="392"/>
      <c r="D35" s="67" t="s">
        <v>75</v>
      </c>
      <c r="E35" s="67" t="s">
        <v>77</v>
      </c>
      <c r="F35" s="67" t="s">
        <v>79</v>
      </c>
    </row>
    <row r="36" spans="2:6" hidden="1" x14ac:dyDescent="0.2">
      <c r="B36" s="382" t="s">
        <v>82</v>
      </c>
      <c r="C36" s="383"/>
      <c r="D36" s="68">
        <v>0.26</v>
      </c>
      <c r="E36" s="68">
        <v>0.28000000000000003</v>
      </c>
      <c r="F36" s="68">
        <v>0.3</v>
      </c>
    </row>
    <row r="37" spans="2:6" hidden="1" x14ac:dyDescent="0.2">
      <c r="B37" s="404" t="s">
        <v>83</v>
      </c>
      <c r="C37" s="69" t="s">
        <v>84</v>
      </c>
      <c r="D37" s="68">
        <v>0.24</v>
      </c>
      <c r="E37" s="68">
        <v>0.27</v>
      </c>
      <c r="F37" s="68">
        <v>0.3</v>
      </c>
    </row>
    <row r="38" spans="2:6" hidden="1" x14ac:dyDescent="0.2">
      <c r="B38" s="404"/>
      <c r="C38" s="69" t="s">
        <v>85</v>
      </c>
      <c r="D38" s="68">
        <v>0.24</v>
      </c>
      <c r="E38" s="68">
        <v>0.27</v>
      </c>
      <c r="F38" s="68">
        <v>0.3</v>
      </c>
    </row>
    <row r="39" spans="2:6" hidden="1" x14ac:dyDescent="0.2">
      <c r="B39" s="404"/>
      <c r="C39" s="69" t="s">
        <v>86</v>
      </c>
      <c r="D39" s="68">
        <v>0.24</v>
      </c>
      <c r="E39" s="68">
        <v>0.27</v>
      </c>
      <c r="F39" s="68">
        <v>0.3</v>
      </c>
    </row>
    <row r="40" spans="2:6" hidden="1" x14ac:dyDescent="0.2">
      <c r="B40" s="404" t="s">
        <v>109</v>
      </c>
      <c r="C40" s="69" t="s">
        <v>87</v>
      </c>
      <c r="D40" s="68">
        <v>0.14000000000000001</v>
      </c>
      <c r="E40" s="68">
        <v>0.2</v>
      </c>
      <c r="F40" s="68">
        <v>0.28000000000000003</v>
      </c>
    </row>
    <row r="41" spans="2:6" hidden="1" x14ac:dyDescent="0.2">
      <c r="B41" s="404"/>
      <c r="C41" s="69" t="s">
        <v>88</v>
      </c>
      <c r="D41" s="68">
        <v>0.2</v>
      </c>
      <c r="E41" s="68">
        <v>0.24</v>
      </c>
      <c r="F41" s="68">
        <v>0.3</v>
      </c>
    </row>
    <row r="42" spans="2:6" hidden="1" x14ac:dyDescent="0.2">
      <c r="B42" s="404"/>
      <c r="C42" s="69" t="s">
        <v>89</v>
      </c>
      <c r="D42" s="68">
        <v>0.24</v>
      </c>
      <c r="E42" s="68">
        <v>0.28000000000000003</v>
      </c>
      <c r="F42" s="68">
        <v>0.3</v>
      </c>
    </row>
    <row r="43" spans="2:6" hidden="1" x14ac:dyDescent="0.2">
      <c r="B43" s="384" t="s">
        <v>90</v>
      </c>
      <c r="C43" s="69" t="s">
        <v>91</v>
      </c>
      <c r="D43" s="68">
        <v>0.7</v>
      </c>
      <c r="E43" s="68">
        <v>0.16</v>
      </c>
      <c r="F43" s="68">
        <v>0.24</v>
      </c>
    </row>
    <row r="44" spans="2:6" hidden="1" x14ac:dyDescent="0.2">
      <c r="B44" s="385"/>
      <c r="C44" s="69" t="s">
        <v>92</v>
      </c>
      <c r="D44" s="68">
        <v>0.12</v>
      </c>
      <c r="E44" s="68">
        <v>0.22</v>
      </c>
      <c r="F44" s="68">
        <v>0.26</v>
      </c>
    </row>
    <row r="45" spans="2:6" hidden="1" x14ac:dyDescent="0.2">
      <c r="B45" s="385"/>
      <c r="C45" s="69" t="s">
        <v>93</v>
      </c>
      <c r="D45" s="68">
        <v>0.17</v>
      </c>
      <c r="E45" s="68">
        <v>0.26</v>
      </c>
      <c r="F45" s="68">
        <v>0.28000000000000003</v>
      </c>
    </row>
    <row r="46" spans="2:6" hidden="1" x14ac:dyDescent="0.2">
      <c r="B46" s="386"/>
      <c r="C46" s="69" t="s">
        <v>94</v>
      </c>
      <c r="D46" s="68">
        <v>0.22</v>
      </c>
      <c r="E46" s="68">
        <v>0.28000000000000003</v>
      </c>
      <c r="F46" s="68">
        <v>0.3</v>
      </c>
    </row>
    <row r="47" spans="2:6" hidden="1" x14ac:dyDescent="0.2">
      <c r="B47" s="69" t="s">
        <v>95</v>
      </c>
      <c r="C47" s="69"/>
      <c r="D47" s="68">
        <v>0.26</v>
      </c>
      <c r="E47" s="68">
        <v>0.28999999999999998</v>
      </c>
      <c r="F47" s="68">
        <v>0.32</v>
      </c>
    </row>
    <row r="48" spans="2:6" hidden="1" x14ac:dyDescent="0.2">
      <c r="B48" s="69" t="s">
        <v>61</v>
      </c>
      <c r="C48" s="69"/>
      <c r="D48" s="68">
        <v>0.27</v>
      </c>
      <c r="E48" s="68">
        <v>0.3</v>
      </c>
      <c r="F48" s="68">
        <v>0.33</v>
      </c>
    </row>
    <row r="49" spans="2:6" hidden="1" x14ac:dyDescent="0.2">
      <c r="B49" s="69" t="s">
        <v>96</v>
      </c>
      <c r="C49" s="69"/>
      <c r="D49" s="68">
        <v>0.18</v>
      </c>
      <c r="E49" s="68">
        <v>0.24</v>
      </c>
      <c r="F49" s="68">
        <v>0.3</v>
      </c>
    </row>
    <row r="50" spans="2:6" hidden="1" x14ac:dyDescent="0.2">
      <c r="B50" s="55"/>
      <c r="C50" s="55"/>
    </row>
    <row r="51" spans="2:6" hidden="1" x14ac:dyDescent="0.2">
      <c r="B51" s="403" t="s">
        <v>97</v>
      </c>
      <c r="C51" s="403"/>
      <c r="D51" s="403"/>
      <c r="E51" s="403"/>
      <c r="F51" s="403"/>
    </row>
    <row r="52" spans="2:6" hidden="1" x14ac:dyDescent="0.2">
      <c r="B52" s="403"/>
      <c r="C52" s="403"/>
      <c r="D52" s="403"/>
      <c r="E52" s="403"/>
      <c r="F52" s="403"/>
    </row>
    <row r="53" spans="2:6" hidden="1" x14ac:dyDescent="0.2">
      <c r="B53" s="403" t="s">
        <v>98</v>
      </c>
      <c r="C53" s="403"/>
      <c r="D53" s="403"/>
      <c r="E53" s="403"/>
      <c r="F53" s="403"/>
    </row>
    <row r="54" spans="2:6" hidden="1" x14ac:dyDescent="0.2">
      <c r="B54" s="403"/>
      <c r="C54" s="403"/>
      <c r="D54" s="403"/>
      <c r="E54" s="403"/>
      <c r="F54" s="403"/>
    </row>
    <row r="55" spans="2:6" hidden="1" x14ac:dyDescent="0.2">
      <c r="B55" s="55"/>
      <c r="C55" s="55"/>
    </row>
    <row r="56" spans="2:6" hidden="1" x14ac:dyDescent="0.2">
      <c r="B56" s="399" t="s">
        <v>99</v>
      </c>
      <c r="C56" s="399"/>
      <c r="D56" s="399"/>
      <c r="E56" s="399" t="s">
        <v>100</v>
      </c>
      <c r="F56" s="399"/>
    </row>
    <row r="57" spans="2:6" hidden="1" x14ac:dyDescent="0.2">
      <c r="B57" s="399"/>
      <c r="C57" s="399"/>
      <c r="D57" s="399"/>
      <c r="E57" s="399"/>
      <c r="F57" s="399"/>
    </row>
    <row r="58" spans="2:6" hidden="1" x14ac:dyDescent="0.2">
      <c r="B58" s="401" t="s">
        <v>101</v>
      </c>
      <c r="C58" s="401"/>
      <c r="D58" s="401"/>
      <c r="E58" s="402" t="s">
        <v>102</v>
      </c>
      <c r="F58" s="402"/>
    </row>
    <row r="59" spans="2:6" hidden="1" x14ac:dyDescent="0.2">
      <c r="B59" s="401"/>
      <c r="C59" s="401"/>
      <c r="D59" s="401"/>
      <c r="E59" s="402"/>
      <c r="F59" s="402"/>
    </row>
    <row r="60" spans="2:6" hidden="1" x14ac:dyDescent="0.2">
      <c r="B60" s="401" t="s">
        <v>103</v>
      </c>
      <c r="C60" s="401"/>
      <c r="D60" s="401"/>
      <c r="E60" s="402" t="s">
        <v>104</v>
      </c>
      <c r="F60" s="402"/>
    </row>
    <row r="61" spans="2:6" hidden="1" x14ac:dyDescent="0.2">
      <c r="B61" s="401"/>
      <c r="C61" s="401"/>
      <c r="D61" s="401"/>
      <c r="E61" s="402"/>
      <c r="F61" s="402"/>
    </row>
    <row r="62" spans="2:6" hidden="1" x14ac:dyDescent="0.2">
      <c r="B62" s="398" t="s">
        <v>105</v>
      </c>
      <c r="C62" s="398"/>
      <c r="D62" s="398"/>
    </row>
  </sheetData>
  <sheetProtection selectLockedCells="1"/>
  <mergeCells count="31">
    <mergeCell ref="B28:B29"/>
    <mergeCell ref="B62:D62"/>
    <mergeCell ref="B5:B7"/>
    <mergeCell ref="B56:D57"/>
    <mergeCell ref="D34:F34"/>
    <mergeCell ref="E56:F57"/>
    <mergeCell ref="B58:D59"/>
    <mergeCell ref="E58:F59"/>
    <mergeCell ref="B60:D61"/>
    <mergeCell ref="E60:F61"/>
    <mergeCell ref="B51:F52"/>
    <mergeCell ref="B53:F54"/>
    <mergeCell ref="B37:B39"/>
    <mergeCell ref="B40:B42"/>
    <mergeCell ref="B34:C35"/>
    <mergeCell ref="B2:G2"/>
    <mergeCell ref="B36:C36"/>
    <mergeCell ref="B43:B46"/>
    <mergeCell ref="C30:F30"/>
    <mergeCell ref="C31:F31"/>
    <mergeCell ref="C32:F32"/>
    <mergeCell ref="B18:D18"/>
    <mergeCell ref="C33:F33"/>
    <mergeCell ref="B3:C3"/>
    <mergeCell ref="C28:F29"/>
    <mergeCell ref="B4:C4"/>
    <mergeCell ref="B11:B14"/>
    <mergeCell ref="B8:B10"/>
    <mergeCell ref="B15:C15"/>
    <mergeCell ref="B16:C16"/>
    <mergeCell ref="B17:C17"/>
  </mergeCells>
  <dataValidations count="1">
    <dataValidation allowBlank="1" showInputMessage="1" showErrorMessage="1" prompt="INTRODUCE EL VALOR DE LA SUPERFICIE QUE ABARCA ESTE TIPO DE VEGETACIÓN" sqref="E4:E17" xr:uid="{00000000-0002-0000-0300-000000000000}"/>
  </dataValidations>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9235" r:id="rId4" name="Lista desplegable 19">
              <controlPr defaultSize="0" autoLine="0" autoPict="0">
                <anchor moveWithCells="1">
                  <from>
                    <xdr:col>3</xdr:col>
                    <xdr:colOff>0</xdr:colOff>
                    <xdr:row>3</xdr:row>
                    <xdr:rowOff>190500</xdr:rowOff>
                  </from>
                  <to>
                    <xdr:col>4</xdr:col>
                    <xdr:colOff>0</xdr:colOff>
                    <xdr:row>4</xdr:row>
                    <xdr:rowOff>190500</xdr:rowOff>
                  </to>
                </anchor>
              </controlPr>
            </control>
          </mc:Choice>
        </mc:AlternateContent>
        <mc:AlternateContent xmlns:mc="http://schemas.openxmlformats.org/markup-compatibility/2006">
          <mc:Choice Requires="x14">
            <control shapeId="9237" r:id="rId5" name="Cuadro de grupo 21">
              <controlPr defaultSize="0" autoFill="0" autoPict="0">
                <anchor moveWithCells="1">
                  <from>
                    <xdr:col>3</xdr:col>
                    <xdr:colOff>0</xdr:colOff>
                    <xdr:row>3</xdr:row>
                    <xdr:rowOff>190500</xdr:rowOff>
                  </from>
                  <to>
                    <xdr:col>4</xdr:col>
                    <xdr:colOff>0</xdr:colOff>
                    <xdr:row>5</xdr:row>
                    <xdr:rowOff>38100</xdr:rowOff>
                  </to>
                </anchor>
              </controlPr>
            </control>
          </mc:Choice>
        </mc:AlternateContent>
        <mc:AlternateContent xmlns:mc="http://schemas.openxmlformats.org/markup-compatibility/2006">
          <mc:Choice Requires="x14">
            <control shapeId="9238" r:id="rId6" name="Lista desplegable 22">
              <controlPr defaultSize="0" autoLine="0" autoPict="0">
                <anchor moveWithCells="1">
                  <from>
                    <xdr:col>3</xdr:col>
                    <xdr:colOff>9525</xdr:colOff>
                    <xdr:row>5</xdr:row>
                    <xdr:rowOff>9525</xdr:rowOff>
                  </from>
                  <to>
                    <xdr:col>3</xdr:col>
                    <xdr:colOff>1771650</xdr:colOff>
                    <xdr:row>6</xdr:row>
                    <xdr:rowOff>9525</xdr:rowOff>
                  </to>
                </anchor>
              </controlPr>
            </control>
          </mc:Choice>
        </mc:AlternateContent>
        <mc:AlternateContent xmlns:mc="http://schemas.openxmlformats.org/markup-compatibility/2006">
          <mc:Choice Requires="x14">
            <control shapeId="9239" r:id="rId7" name="Cuadro de grupo 23">
              <controlPr defaultSize="0" autoFill="0" autoPict="0">
                <anchor moveWithCells="1">
                  <from>
                    <xdr:col>3</xdr:col>
                    <xdr:colOff>9525</xdr:colOff>
                    <xdr:row>5</xdr:row>
                    <xdr:rowOff>9525</xdr:rowOff>
                  </from>
                  <to>
                    <xdr:col>3</xdr:col>
                    <xdr:colOff>1771650</xdr:colOff>
                    <xdr:row>6</xdr:row>
                    <xdr:rowOff>57150</xdr:rowOff>
                  </to>
                </anchor>
              </controlPr>
            </control>
          </mc:Choice>
        </mc:AlternateContent>
        <mc:AlternateContent xmlns:mc="http://schemas.openxmlformats.org/markup-compatibility/2006">
          <mc:Choice Requires="x14">
            <control shapeId="9240" r:id="rId8" name="Lista desplegable 24">
              <controlPr defaultSize="0" autoLine="0" autoPict="0">
                <anchor moveWithCells="1">
                  <from>
                    <xdr:col>3</xdr:col>
                    <xdr:colOff>9525</xdr:colOff>
                    <xdr:row>6</xdr:row>
                    <xdr:rowOff>9525</xdr:rowOff>
                  </from>
                  <to>
                    <xdr:col>3</xdr:col>
                    <xdr:colOff>1771650</xdr:colOff>
                    <xdr:row>7</xdr:row>
                    <xdr:rowOff>9525</xdr:rowOff>
                  </to>
                </anchor>
              </controlPr>
            </control>
          </mc:Choice>
        </mc:AlternateContent>
        <mc:AlternateContent xmlns:mc="http://schemas.openxmlformats.org/markup-compatibility/2006">
          <mc:Choice Requires="x14">
            <control shapeId="9241" r:id="rId9" name="Cuadro de grupo 25">
              <controlPr defaultSize="0" autoFill="0" autoPict="0">
                <anchor moveWithCells="1">
                  <from>
                    <xdr:col>3</xdr:col>
                    <xdr:colOff>9525</xdr:colOff>
                    <xdr:row>6</xdr:row>
                    <xdr:rowOff>0</xdr:rowOff>
                  </from>
                  <to>
                    <xdr:col>4</xdr:col>
                    <xdr:colOff>0</xdr:colOff>
                    <xdr:row>7</xdr:row>
                    <xdr:rowOff>47625</xdr:rowOff>
                  </to>
                </anchor>
              </controlPr>
            </control>
          </mc:Choice>
        </mc:AlternateContent>
        <mc:AlternateContent xmlns:mc="http://schemas.openxmlformats.org/markup-compatibility/2006">
          <mc:Choice Requires="x14">
            <control shapeId="9242" r:id="rId10" name="Lista desplegable 26">
              <controlPr defaultSize="0" autoLine="0" autoPict="0">
                <anchor moveWithCells="1">
                  <from>
                    <xdr:col>3</xdr:col>
                    <xdr:colOff>0</xdr:colOff>
                    <xdr:row>7</xdr:row>
                    <xdr:rowOff>0</xdr:rowOff>
                  </from>
                  <to>
                    <xdr:col>3</xdr:col>
                    <xdr:colOff>1771650</xdr:colOff>
                    <xdr:row>8</xdr:row>
                    <xdr:rowOff>0</xdr:rowOff>
                  </to>
                </anchor>
              </controlPr>
            </control>
          </mc:Choice>
        </mc:AlternateContent>
        <mc:AlternateContent xmlns:mc="http://schemas.openxmlformats.org/markup-compatibility/2006">
          <mc:Choice Requires="x14">
            <control shapeId="9243" r:id="rId11" name="Cuadro de grupo 27">
              <controlPr defaultSize="0" autoFill="0" autoPict="0">
                <anchor moveWithCells="1">
                  <from>
                    <xdr:col>3</xdr:col>
                    <xdr:colOff>0</xdr:colOff>
                    <xdr:row>6</xdr:row>
                    <xdr:rowOff>190500</xdr:rowOff>
                  </from>
                  <to>
                    <xdr:col>4</xdr:col>
                    <xdr:colOff>0</xdr:colOff>
                    <xdr:row>8</xdr:row>
                    <xdr:rowOff>38100</xdr:rowOff>
                  </to>
                </anchor>
              </controlPr>
            </control>
          </mc:Choice>
        </mc:AlternateContent>
        <mc:AlternateContent xmlns:mc="http://schemas.openxmlformats.org/markup-compatibility/2006">
          <mc:Choice Requires="x14">
            <control shapeId="9244" r:id="rId12" name="Lista desplegable 28">
              <controlPr defaultSize="0" autoLine="0" autoPict="0">
                <anchor moveWithCells="1">
                  <from>
                    <xdr:col>3</xdr:col>
                    <xdr:colOff>0</xdr:colOff>
                    <xdr:row>8</xdr:row>
                    <xdr:rowOff>0</xdr:rowOff>
                  </from>
                  <to>
                    <xdr:col>3</xdr:col>
                    <xdr:colOff>1771650</xdr:colOff>
                    <xdr:row>9</xdr:row>
                    <xdr:rowOff>0</xdr:rowOff>
                  </to>
                </anchor>
              </controlPr>
            </control>
          </mc:Choice>
        </mc:AlternateContent>
        <mc:AlternateContent xmlns:mc="http://schemas.openxmlformats.org/markup-compatibility/2006">
          <mc:Choice Requires="x14">
            <control shapeId="9245" r:id="rId13" name="Cuadro de grupo 29">
              <controlPr defaultSize="0" autoFill="0" autoPict="0">
                <anchor moveWithCells="1">
                  <from>
                    <xdr:col>3</xdr:col>
                    <xdr:colOff>0</xdr:colOff>
                    <xdr:row>8</xdr:row>
                    <xdr:rowOff>0</xdr:rowOff>
                  </from>
                  <to>
                    <xdr:col>4</xdr:col>
                    <xdr:colOff>0</xdr:colOff>
                    <xdr:row>9</xdr:row>
                    <xdr:rowOff>47625</xdr:rowOff>
                  </to>
                </anchor>
              </controlPr>
            </control>
          </mc:Choice>
        </mc:AlternateContent>
        <mc:AlternateContent xmlns:mc="http://schemas.openxmlformats.org/markup-compatibility/2006">
          <mc:Choice Requires="x14">
            <control shapeId="9246" r:id="rId14" name="Lista desplegable 30">
              <controlPr defaultSize="0" autoLine="0" autoPict="0">
                <anchor moveWithCells="1">
                  <from>
                    <xdr:col>3</xdr:col>
                    <xdr:colOff>0</xdr:colOff>
                    <xdr:row>9</xdr:row>
                    <xdr:rowOff>0</xdr:rowOff>
                  </from>
                  <to>
                    <xdr:col>4</xdr:col>
                    <xdr:colOff>0</xdr:colOff>
                    <xdr:row>10</xdr:row>
                    <xdr:rowOff>0</xdr:rowOff>
                  </to>
                </anchor>
              </controlPr>
            </control>
          </mc:Choice>
        </mc:AlternateContent>
        <mc:AlternateContent xmlns:mc="http://schemas.openxmlformats.org/markup-compatibility/2006">
          <mc:Choice Requires="x14">
            <control shapeId="9247" r:id="rId15" name="Cuadro de grupo 31">
              <controlPr defaultSize="0" autoFill="0" autoPict="0">
                <anchor moveWithCells="1">
                  <from>
                    <xdr:col>3</xdr:col>
                    <xdr:colOff>0</xdr:colOff>
                    <xdr:row>9</xdr:row>
                    <xdr:rowOff>0</xdr:rowOff>
                  </from>
                  <to>
                    <xdr:col>3</xdr:col>
                    <xdr:colOff>1771650</xdr:colOff>
                    <xdr:row>10</xdr:row>
                    <xdr:rowOff>47625</xdr:rowOff>
                  </to>
                </anchor>
              </controlPr>
            </control>
          </mc:Choice>
        </mc:AlternateContent>
        <mc:AlternateContent xmlns:mc="http://schemas.openxmlformats.org/markup-compatibility/2006">
          <mc:Choice Requires="x14">
            <control shapeId="9248" r:id="rId16" name="Lista desplegable 32">
              <controlPr defaultSize="0" autoLine="0" autoPict="0">
                <anchor moveWithCells="1">
                  <from>
                    <xdr:col>3</xdr:col>
                    <xdr:colOff>0</xdr:colOff>
                    <xdr:row>10</xdr:row>
                    <xdr:rowOff>0</xdr:rowOff>
                  </from>
                  <to>
                    <xdr:col>3</xdr:col>
                    <xdr:colOff>1771650</xdr:colOff>
                    <xdr:row>11</xdr:row>
                    <xdr:rowOff>0</xdr:rowOff>
                  </to>
                </anchor>
              </controlPr>
            </control>
          </mc:Choice>
        </mc:AlternateContent>
        <mc:AlternateContent xmlns:mc="http://schemas.openxmlformats.org/markup-compatibility/2006">
          <mc:Choice Requires="x14">
            <control shapeId="9249" r:id="rId17" name="Cuadro de grupo 33">
              <controlPr defaultSize="0" autoFill="0" autoPict="0">
                <anchor moveWithCells="1">
                  <from>
                    <xdr:col>3</xdr:col>
                    <xdr:colOff>0</xdr:colOff>
                    <xdr:row>10</xdr:row>
                    <xdr:rowOff>0</xdr:rowOff>
                  </from>
                  <to>
                    <xdr:col>4</xdr:col>
                    <xdr:colOff>0</xdr:colOff>
                    <xdr:row>11</xdr:row>
                    <xdr:rowOff>47625</xdr:rowOff>
                  </to>
                </anchor>
              </controlPr>
            </control>
          </mc:Choice>
        </mc:AlternateContent>
        <mc:AlternateContent xmlns:mc="http://schemas.openxmlformats.org/markup-compatibility/2006">
          <mc:Choice Requires="x14">
            <control shapeId="9251" r:id="rId18" name="Lista desplegable 35">
              <controlPr defaultSize="0" autoLine="0" autoPict="0">
                <anchor moveWithCells="1">
                  <from>
                    <xdr:col>3</xdr:col>
                    <xdr:colOff>0</xdr:colOff>
                    <xdr:row>11</xdr:row>
                    <xdr:rowOff>0</xdr:rowOff>
                  </from>
                  <to>
                    <xdr:col>4</xdr:col>
                    <xdr:colOff>0</xdr:colOff>
                    <xdr:row>11</xdr:row>
                    <xdr:rowOff>200025</xdr:rowOff>
                  </to>
                </anchor>
              </controlPr>
            </control>
          </mc:Choice>
        </mc:AlternateContent>
        <mc:AlternateContent xmlns:mc="http://schemas.openxmlformats.org/markup-compatibility/2006">
          <mc:Choice Requires="x14">
            <control shapeId="9252" r:id="rId19" name="Cuadro de grupo 36">
              <controlPr defaultSize="0" autoFill="0" autoPict="0">
                <anchor moveWithCells="1">
                  <from>
                    <xdr:col>3</xdr:col>
                    <xdr:colOff>0</xdr:colOff>
                    <xdr:row>10</xdr:row>
                    <xdr:rowOff>190500</xdr:rowOff>
                  </from>
                  <to>
                    <xdr:col>4</xdr:col>
                    <xdr:colOff>0</xdr:colOff>
                    <xdr:row>12</xdr:row>
                    <xdr:rowOff>28575</xdr:rowOff>
                  </to>
                </anchor>
              </controlPr>
            </control>
          </mc:Choice>
        </mc:AlternateContent>
        <mc:AlternateContent xmlns:mc="http://schemas.openxmlformats.org/markup-compatibility/2006">
          <mc:Choice Requires="x14">
            <control shapeId="9257" r:id="rId20" name="Lista desplegable 41">
              <controlPr defaultSize="0" autoLine="0" autoPict="0">
                <anchor moveWithCells="1">
                  <from>
                    <xdr:col>3</xdr:col>
                    <xdr:colOff>0</xdr:colOff>
                    <xdr:row>12</xdr:row>
                    <xdr:rowOff>0</xdr:rowOff>
                  </from>
                  <to>
                    <xdr:col>4</xdr:col>
                    <xdr:colOff>0</xdr:colOff>
                    <xdr:row>12</xdr:row>
                    <xdr:rowOff>200025</xdr:rowOff>
                  </to>
                </anchor>
              </controlPr>
            </control>
          </mc:Choice>
        </mc:AlternateContent>
        <mc:AlternateContent xmlns:mc="http://schemas.openxmlformats.org/markup-compatibility/2006">
          <mc:Choice Requires="x14">
            <control shapeId="9258" r:id="rId21" name="Cuadro de grupo 42">
              <controlPr defaultSize="0" autoFill="0" autoPict="0">
                <anchor moveWithCells="1">
                  <from>
                    <xdr:col>3</xdr:col>
                    <xdr:colOff>0</xdr:colOff>
                    <xdr:row>11</xdr:row>
                    <xdr:rowOff>200025</xdr:rowOff>
                  </from>
                  <to>
                    <xdr:col>4</xdr:col>
                    <xdr:colOff>0</xdr:colOff>
                    <xdr:row>13</xdr:row>
                    <xdr:rowOff>28575</xdr:rowOff>
                  </to>
                </anchor>
              </controlPr>
            </control>
          </mc:Choice>
        </mc:AlternateContent>
        <mc:AlternateContent xmlns:mc="http://schemas.openxmlformats.org/markup-compatibility/2006">
          <mc:Choice Requires="x14">
            <control shapeId="9259" r:id="rId22" name="Lista desplegable 43">
              <controlPr defaultSize="0" autoLine="0" autoPict="0">
                <anchor moveWithCells="1">
                  <from>
                    <xdr:col>3</xdr:col>
                    <xdr:colOff>0</xdr:colOff>
                    <xdr:row>13</xdr:row>
                    <xdr:rowOff>0</xdr:rowOff>
                  </from>
                  <to>
                    <xdr:col>4</xdr:col>
                    <xdr:colOff>0</xdr:colOff>
                    <xdr:row>13</xdr:row>
                    <xdr:rowOff>200025</xdr:rowOff>
                  </to>
                </anchor>
              </controlPr>
            </control>
          </mc:Choice>
        </mc:AlternateContent>
        <mc:AlternateContent xmlns:mc="http://schemas.openxmlformats.org/markup-compatibility/2006">
          <mc:Choice Requires="x14">
            <control shapeId="9260" r:id="rId23" name="Cuadro de grupo 44">
              <controlPr defaultSize="0" autoFill="0" autoPict="0">
                <anchor moveWithCells="1">
                  <from>
                    <xdr:col>3</xdr:col>
                    <xdr:colOff>0</xdr:colOff>
                    <xdr:row>13</xdr:row>
                    <xdr:rowOff>0</xdr:rowOff>
                  </from>
                  <to>
                    <xdr:col>3</xdr:col>
                    <xdr:colOff>1771650</xdr:colOff>
                    <xdr:row>14</xdr:row>
                    <xdr:rowOff>47625</xdr:rowOff>
                  </to>
                </anchor>
              </controlPr>
            </control>
          </mc:Choice>
        </mc:AlternateContent>
        <mc:AlternateContent xmlns:mc="http://schemas.openxmlformats.org/markup-compatibility/2006">
          <mc:Choice Requires="x14">
            <control shapeId="9261" r:id="rId24" name="Lista desplegable 45">
              <controlPr defaultSize="0" autoLine="0" autoPict="0">
                <anchor moveWithCells="1">
                  <from>
                    <xdr:col>3</xdr:col>
                    <xdr:colOff>0</xdr:colOff>
                    <xdr:row>13</xdr:row>
                    <xdr:rowOff>200025</xdr:rowOff>
                  </from>
                  <to>
                    <xdr:col>4</xdr:col>
                    <xdr:colOff>0</xdr:colOff>
                    <xdr:row>14</xdr:row>
                    <xdr:rowOff>200025</xdr:rowOff>
                  </to>
                </anchor>
              </controlPr>
            </control>
          </mc:Choice>
        </mc:AlternateContent>
        <mc:AlternateContent xmlns:mc="http://schemas.openxmlformats.org/markup-compatibility/2006">
          <mc:Choice Requires="x14">
            <control shapeId="9262" r:id="rId25" name="Cuadro de grupo 46">
              <controlPr defaultSize="0" autoFill="0" autoPict="0">
                <anchor moveWithCells="1">
                  <from>
                    <xdr:col>3</xdr:col>
                    <xdr:colOff>0</xdr:colOff>
                    <xdr:row>13</xdr:row>
                    <xdr:rowOff>200025</xdr:rowOff>
                  </from>
                  <to>
                    <xdr:col>4</xdr:col>
                    <xdr:colOff>0</xdr:colOff>
                    <xdr:row>15</xdr:row>
                    <xdr:rowOff>28575</xdr:rowOff>
                  </to>
                </anchor>
              </controlPr>
            </control>
          </mc:Choice>
        </mc:AlternateContent>
        <mc:AlternateContent xmlns:mc="http://schemas.openxmlformats.org/markup-compatibility/2006">
          <mc:Choice Requires="x14">
            <control shapeId="9263" r:id="rId26" name="Lista desplegable 47">
              <controlPr defaultSize="0" autoLine="0" autoPict="0">
                <anchor moveWithCells="1">
                  <from>
                    <xdr:col>3</xdr:col>
                    <xdr:colOff>0</xdr:colOff>
                    <xdr:row>15</xdr:row>
                    <xdr:rowOff>0</xdr:rowOff>
                  </from>
                  <to>
                    <xdr:col>4</xdr:col>
                    <xdr:colOff>0</xdr:colOff>
                    <xdr:row>16</xdr:row>
                    <xdr:rowOff>0</xdr:rowOff>
                  </to>
                </anchor>
              </controlPr>
            </control>
          </mc:Choice>
        </mc:AlternateContent>
        <mc:AlternateContent xmlns:mc="http://schemas.openxmlformats.org/markup-compatibility/2006">
          <mc:Choice Requires="x14">
            <control shapeId="9264" r:id="rId27" name="Cuadro de grupo 48">
              <controlPr defaultSize="0" autoFill="0" autoPict="0">
                <anchor moveWithCells="1">
                  <from>
                    <xdr:col>3</xdr:col>
                    <xdr:colOff>0</xdr:colOff>
                    <xdr:row>15</xdr:row>
                    <xdr:rowOff>0</xdr:rowOff>
                  </from>
                  <to>
                    <xdr:col>3</xdr:col>
                    <xdr:colOff>1771650</xdr:colOff>
                    <xdr:row>16</xdr:row>
                    <xdr:rowOff>38100</xdr:rowOff>
                  </to>
                </anchor>
              </controlPr>
            </control>
          </mc:Choice>
        </mc:AlternateContent>
        <mc:AlternateContent xmlns:mc="http://schemas.openxmlformats.org/markup-compatibility/2006">
          <mc:Choice Requires="x14">
            <control shapeId="9266" r:id="rId28" name="Lista desplegable 50">
              <controlPr defaultSize="0" autoLine="0" autoPict="0">
                <anchor moveWithCells="1">
                  <from>
                    <xdr:col>3</xdr:col>
                    <xdr:colOff>0</xdr:colOff>
                    <xdr:row>16</xdr:row>
                    <xdr:rowOff>0</xdr:rowOff>
                  </from>
                  <to>
                    <xdr:col>4</xdr:col>
                    <xdr:colOff>0</xdr:colOff>
                    <xdr:row>17</xdr:row>
                    <xdr:rowOff>0</xdr:rowOff>
                  </to>
                </anchor>
              </controlPr>
            </control>
          </mc:Choice>
        </mc:AlternateContent>
        <mc:AlternateContent xmlns:mc="http://schemas.openxmlformats.org/markup-compatibility/2006">
          <mc:Choice Requires="x14">
            <control shapeId="9267" r:id="rId29" name="Cuadro de grupo 51">
              <controlPr defaultSize="0" autoFill="0" autoPict="0">
                <anchor moveWithCells="1">
                  <from>
                    <xdr:col>3</xdr:col>
                    <xdr:colOff>0</xdr:colOff>
                    <xdr:row>16</xdr:row>
                    <xdr:rowOff>0</xdr:rowOff>
                  </from>
                  <to>
                    <xdr:col>4</xdr:col>
                    <xdr:colOff>0</xdr:colOff>
                    <xdr:row>17</xdr:row>
                    <xdr:rowOff>47625</xdr:rowOff>
                  </to>
                </anchor>
              </controlPr>
            </control>
          </mc:Choice>
        </mc:AlternateContent>
        <mc:AlternateContent xmlns:mc="http://schemas.openxmlformats.org/markup-compatibility/2006">
          <mc:Choice Requires="x14">
            <control shapeId="9268" r:id="rId30" name="Lista desplegable 52">
              <controlPr defaultSize="0" autoLine="0" autoPict="0">
                <anchor moveWithCells="1">
                  <from>
                    <xdr:col>3</xdr:col>
                    <xdr:colOff>9525</xdr:colOff>
                    <xdr:row>3</xdr:row>
                    <xdr:rowOff>0</xdr:rowOff>
                  </from>
                  <to>
                    <xdr:col>3</xdr:col>
                    <xdr:colOff>1771650</xdr:colOff>
                    <xdr:row>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tabColor rgb="FF00B0F0"/>
  </sheetPr>
  <dimension ref="A1:E18"/>
  <sheetViews>
    <sheetView zoomScale="115" zoomScaleNormal="115" workbookViewId="0">
      <pane xSplit="1" ySplit="2" topLeftCell="B3" activePane="bottomRight" state="frozen"/>
      <selection activeCell="C3" sqref="C3:E3"/>
      <selection pane="bottomLeft" activeCell="C3" sqref="C3:E3"/>
      <selection pane="topRight" activeCell="C3" sqref="C3:E3"/>
      <selection pane="bottomRight"/>
    </sheetView>
  </sheetViews>
  <sheetFormatPr defaultColWidth="0" defaultRowHeight="15.75" zeroHeight="1" x14ac:dyDescent="0.2"/>
  <cols>
    <col min="1" max="1" width="5.37890625" style="3" customWidth="1"/>
    <col min="2" max="2" width="44.79296875" style="3" bestFit="1" customWidth="1"/>
    <col min="3" max="3" width="32.95703125" style="3" bestFit="1" customWidth="1"/>
    <col min="4" max="4" width="11.43359375" style="3" customWidth="1"/>
    <col min="5" max="5" width="0" style="3" hidden="1" customWidth="1"/>
    <col min="6" max="16384" width="11.43359375" style="3" hidden="1"/>
  </cols>
  <sheetData>
    <row r="1" spans="1:4" x14ac:dyDescent="0.2">
      <c r="A1" s="85"/>
      <c r="B1" s="85"/>
      <c r="C1" s="85"/>
      <c r="D1" s="85"/>
    </row>
    <row r="2" spans="1:4" ht="18" customHeight="1" x14ac:dyDescent="0.2">
      <c r="A2" s="85"/>
      <c r="B2" s="405" t="s">
        <v>140</v>
      </c>
      <c r="C2" s="405"/>
      <c r="D2" s="85"/>
    </row>
    <row r="3" spans="1:4" x14ac:dyDescent="0.2">
      <c r="A3" s="85"/>
      <c r="B3" s="134" t="s">
        <v>129</v>
      </c>
      <c r="C3" s="150">
        <f>AVERAGE('DATOS DE PRECIPITACIÓN'!E6:E55)</f>
        <v>630</v>
      </c>
      <c r="D3" s="85"/>
    </row>
    <row r="4" spans="1:4" x14ac:dyDescent="0.2">
      <c r="A4" s="85"/>
      <c r="B4" s="134" t="s">
        <v>128</v>
      </c>
      <c r="C4" s="150">
        <f>'COEFICIENTE DE ESCURRIMIENTO'!G22</f>
        <v>0.10153190954773872</v>
      </c>
      <c r="D4" s="85"/>
    </row>
    <row r="5" spans="1:4" x14ac:dyDescent="0.2">
      <c r="A5" s="85"/>
      <c r="B5" s="134" t="s">
        <v>118</v>
      </c>
      <c r="C5" s="150">
        <f>'COEFICIENTE DE ESCURRIMIENTO'!E18</f>
        <v>398</v>
      </c>
      <c r="D5" s="85"/>
    </row>
    <row r="6" spans="1:4" ht="18" x14ac:dyDescent="0.2">
      <c r="A6" s="85"/>
      <c r="B6" s="134" t="s">
        <v>130</v>
      </c>
      <c r="C6" s="150">
        <f>(C3/1000)*(C5*10000)*C4</f>
        <v>254581.11000000007</v>
      </c>
      <c r="D6" s="85"/>
    </row>
    <row r="7" spans="1:4" x14ac:dyDescent="0.2">
      <c r="A7" s="85"/>
      <c r="B7" s="85"/>
      <c r="C7" s="85"/>
      <c r="D7" s="85"/>
    </row>
    <row r="8" spans="1:4" hidden="1" x14ac:dyDescent="0.2"/>
    <row r="9" spans="1:4" hidden="1" x14ac:dyDescent="0.2"/>
    <row r="10" spans="1:4" hidden="1" x14ac:dyDescent="0.2"/>
    <row r="11" spans="1:4" hidden="1" x14ac:dyDescent="0.2"/>
    <row r="12" spans="1:4" hidden="1" x14ac:dyDescent="0.2"/>
    <row r="13" spans="1:4" hidden="1" x14ac:dyDescent="0.2"/>
    <row r="14" spans="1:4" hidden="1" x14ac:dyDescent="0.2"/>
    <row r="15" spans="1:4" hidden="1" x14ac:dyDescent="0.2"/>
    <row r="16" spans="1:4" hidden="1" x14ac:dyDescent="0.2"/>
    <row r="17" hidden="1" x14ac:dyDescent="0.2"/>
    <row r="18" hidden="1" x14ac:dyDescent="0.2"/>
  </sheetData>
  <sheetProtection sheet="1" objects="1" scenarios="1" selectLockedCells="1"/>
  <mergeCells count="1">
    <mergeCell ref="B2:C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8">
    <tabColor rgb="FF00B050"/>
  </sheetPr>
  <dimension ref="A1:M43"/>
  <sheetViews>
    <sheetView zoomScale="115" zoomScaleNormal="115" workbookViewId="0">
      <selection activeCell="C6" sqref="C6"/>
    </sheetView>
  </sheetViews>
  <sheetFormatPr defaultColWidth="0" defaultRowHeight="15.75" customHeight="1" zeroHeight="1" x14ac:dyDescent="0.2"/>
  <cols>
    <col min="1" max="1" width="3.765625" style="3" customWidth="1"/>
    <col min="2" max="2" width="45.6015625" style="3" bestFit="1" customWidth="1"/>
    <col min="3" max="3" width="17.484375" style="152" bestFit="1" customWidth="1"/>
    <col min="4" max="4" width="6.9921875" style="3" customWidth="1"/>
    <col min="5" max="12" width="11.43359375" style="3" hidden="1" customWidth="1"/>
    <col min="13" max="13" width="0" style="3" hidden="1" customWidth="1"/>
    <col min="14" max="16384" width="11.43359375" style="3" hidden="1"/>
  </cols>
  <sheetData>
    <row r="1" spans="1:11" x14ac:dyDescent="0.2">
      <c r="A1" s="133"/>
      <c r="B1" s="133"/>
      <c r="C1" s="151"/>
      <c r="D1" s="133"/>
    </row>
    <row r="2" spans="1:11" ht="18" customHeight="1" x14ac:dyDescent="0.2">
      <c r="A2" s="133"/>
      <c r="B2" s="406" t="s">
        <v>141</v>
      </c>
      <c r="C2" s="406"/>
      <c r="D2" s="133"/>
    </row>
    <row r="3" spans="1:11" ht="18" customHeight="1" x14ac:dyDescent="0.2">
      <c r="A3" s="133"/>
      <c r="B3" s="407" t="s">
        <v>137</v>
      </c>
      <c r="C3" s="408"/>
      <c r="D3" s="133"/>
    </row>
    <row r="4" spans="1:11" x14ac:dyDescent="0.2">
      <c r="A4" s="133"/>
      <c r="B4" s="251" t="s">
        <v>144</v>
      </c>
      <c r="C4" s="252">
        <f>'COEFICIENTE DE ESCURRIMIENTO'!E18</f>
        <v>398</v>
      </c>
      <c r="D4" s="133"/>
    </row>
    <row r="5" spans="1:11" x14ac:dyDescent="0.2">
      <c r="A5" s="133"/>
      <c r="B5" s="251" t="s">
        <v>145</v>
      </c>
      <c r="C5" s="253">
        <f>'COEFICIENTE DE ESCURRIMIENTO'!G22</f>
        <v>0.10153190954773872</v>
      </c>
      <c r="D5" s="133"/>
    </row>
    <row r="6" spans="1:11" x14ac:dyDescent="0.2">
      <c r="A6" s="133"/>
      <c r="B6" s="251" t="s">
        <v>146</v>
      </c>
      <c r="C6" s="254">
        <v>4001.6</v>
      </c>
      <c r="D6" s="133"/>
    </row>
    <row r="7" spans="1:11" x14ac:dyDescent="0.2">
      <c r="A7" s="133"/>
      <c r="B7" s="251" t="s">
        <v>147</v>
      </c>
      <c r="C7" s="254">
        <v>364</v>
      </c>
      <c r="D7" s="133"/>
    </row>
    <row r="8" spans="1:11" x14ac:dyDescent="0.2">
      <c r="A8" s="133"/>
      <c r="B8" s="251" t="s">
        <v>142</v>
      </c>
      <c r="C8" s="255">
        <f>ROUND(C7/C6,2)</f>
        <v>0.09</v>
      </c>
      <c r="D8" s="133"/>
    </row>
    <row r="9" spans="1:11" ht="18" customHeight="1" x14ac:dyDescent="0.2">
      <c r="A9" s="133"/>
      <c r="B9" s="409" t="s">
        <v>143</v>
      </c>
      <c r="C9" s="410"/>
      <c r="D9" s="133"/>
    </row>
    <row r="10" spans="1:11" ht="18.75" x14ac:dyDescent="0.2">
      <c r="A10" s="133"/>
      <c r="B10" s="256" t="s">
        <v>357</v>
      </c>
      <c r="C10" s="257">
        <f>((0.000325*C6^0.77)/C8^0.385)*60</f>
        <v>29.266526047711448</v>
      </c>
      <c r="D10" s="133"/>
    </row>
    <row r="11" spans="1:11" x14ac:dyDescent="0.2">
      <c r="A11" s="133"/>
      <c r="B11" s="256" t="s">
        <v>148</v>
      </c>
      <c r="C11" s="258">
        <v>120.55</v>
      </c>
      <c r="D11" s="133"/>
    </row>
    <row r="12" spans="1:11" x14ac:dyDescent="0.2">
      <c r="A12" s="133"/>
      <c r="B12" s="256" t="s">
        <v>149</v>
      </c>
      <c r="C12" s="259">
        <f>C5*C11*C4/360</f>
        <v>13.531637041666672</v>
      </c>
      <c r="D12" s="133"/>
    </row>
    <row r="13" spans="1:11" x14ac:dyDescent="0.2">
      <c r="A13" s="133"/>
      <c r="B13" s="133"/>
      <c r="C13" s="151"/>
      <c r="D13" s="133"/>
    </row>
    <row r="14" spans="1:11" ht="15.75" hidden="1" customHeight="1" x14ac:dyDescent="0.2"/>
    <row r="15" spans="1:11" hidden="1" x14ac:dyDescent="0.2">
      <c r="B15" s="75"/>
      <c r="C15" s="153"/>
      <c r="D15" s="75"/>
      <c r="E15" s="75"/>
      <c r="F15" s="75"/>
      <c r="G15" s="75"/>
      <c r="H15" s="75"/>
      <c r="I15" s="75"/>
      <c r="J15" s="75"/>
      <c r="K15" s="75"/>
    </row>
    <row r="16" spans="1:11" hidden="1" x14ac:dyDescent="0.2">
      <c r="B16" s="75"/>
      <c r="C16" s="153"/>
      <c r="D16" s="75"/>
      <c r="E16" s="75"/>
      <c r="F16" s="75"/>
      <c r="G16" s="75"/>
      <c r="H16" s="75"/>
      <c r="I16" s="75"/>
      <c r="J16" s="75"/>
      <c r="K16" s="75"/>
    </row>
    <row r="17" spans="2:11" hidden="1" x14ac:dyDescent="0.2">
      <c r="B17" s="75"/>
      <c r="C17" s="153"/>
      <c r="D17" s="75"/>
      <c r="E17" s="75"/>
      <c r="F17" s="75"/>
      <c r="G17" s="75"/>
      <c r="H17" s="75"/>
      <c r="I17" s="75"/>
      <c r="J17" s="75"/>
      <c r="K17" s="75"/>
    </row>
    <row r="18" spans="2:11" hidden="1" x14ac:dyDescent="0.2">
      <c r="B18" s="75"/>
      <c r="C18" s="153"/>
      <c r="D18" s="75"/>
      <c r="E18" s="75"/>
      <c r="F18" s="75"/>
      <c r="G18" s="75"/>
      <c r="H18" s="75"/>
      <c r="I18" s="75"/>
      <c r="J18" s="75"/>
      <c r="K18" s="75"/>
    </row>
    <row r="19" spans="2:11" hidden="1" x14ac:dyDescent="0.2">
      <c r="B19" s="75"/>
      <c r="C19" s="153"/>
      <c r="D19" s="75"/>
      <c r="E19" s="75"/>
      <c r="F19" s="75"/>
      <c r="G19" s="75"/>
      <c r="H19" s="75"/>
      <c r="I19" s="75"/>
      <c r="J19" s="75"/>
      <c r="K19" s="75"/>
    </row>
    <row r="20" spans="2:11" hidden="1" x14ac:dyDescent="0.2">
      <c r="B20" s="75"/>
      <c r="C20" s="153"/>
      <c r="D20" s="75"/>
      <c r="E20" s="75"/>
      <c r="F20" s="75"/>
      <c r="G20" s="75"/>
      <c r="H20" s="75"/>
      <c r="I20" s="75"/>
      <c r="J20" s="75"/>
      <c r="K20" s="75"/>
    </row>
    <row r="21" spans="2:11" ht="60.75" hidden="1" customHeight="1" x14ac:dyDescent="0.2">
      <c r="B21" s="132"/>
      <c r="C21" s="154"/>
      <c r="D21" s="132"/>
      <c r="E21" s="132"/>
      <c r="F21" s="132"/>
      <c r="G21" s="132"/>
      <c r="H21" s="132"/>
      <c r="I21" s="132"/>
      <c r="J21" s="132"/>
      <c r="K21" s="132"/>
    </row>
    <row r="22" spans="2:11" ht="58.5" hidden="1" customHeight="1" x14ac:dyDescent="0.2">
      <c r="B22" s="132"/>
      <c r="C22" s="154"/>
      <c r="D22" s="132"/>
      <c r="E22" s="132"/>
      <c r="F22" s="132"/>
      <c r="G22" s="132"/>
      <c r="H22" s="132"/>
      <c r="I22" s="132"/>
      <c r="J22" s="132"/>
      <c r="K22" s="132"/>
    </row>
    <row r="23" spans="2:11" hidden="1" x14ac:dyDescent="0.2">
      <c r="B23" s="15"/>
      <c r="C23" s="153"/>
      <c r="D23" s="75"/>
      <c r="E23" s="131"/>
      <c r="F23" s="75"/>
      <c r="G23" s="131"/>
      <c r="H23" s="75"/>
      <c r="I23" s="75"/>
      <c r="J23" s="75"/>
      <c r="K23" s="75"/>
    </row>
    <row r="24" spans="2:11" hidden="1" x14ac:dyDescent="0.2">
      <c r="B24" s="15"/>
      <c r="C24" s="153"/>
      <c r="D24" s="75"/>
      <c r="E24" s="131"/>
      <c r="F24" s="75"/>
      <c r="G24" s="75"/>
      <c r="H24" s="75"/>
      <c r="I24" s="75"/>
      <c r="J24" s="75"/>
      <c r="K24" s="75"/>
    </row>
    <row r="25" spans="2:11" hidden="1" x14ac:dyDescent="0.2">
      <c r="B25" s="15"/>
      <c r="C25" s="153"/>
      <c r="D25" s="75"/>
      <c r="E25" s="131"/>
      <c r="F25" s="75"/>
      <c r="G25" s="75"/>
      <c r="H25" s="75"/>
      <c r="I25" s="75"/>
      <c r="J25" s="75"/>
      <c r="K25" s="75"/>
    </row>
    <row r="26" spans="2:11" hidden="1" x14ac:dyDescent="0.2">
      <c r="B26" s="15"/>
      <c r="C26" s="153"/>
      <c r="D26" s="75"/>
      <c r="E26" s="131"/>
      <c r="F26" s="75"/>
      <c r="G26" s="75"/>
      <c r="H26" s="75"/>
      <c r="I26" s="75"/>
      <c r="J26" s="75"/>
      <c r="K26" s="75"/>
    </row>
    <row r="27" spans="2:11" hidden="1" x14ac:dyDescent="0.2">
      <c r="B27" s="15"/>
      <c r="C27" s="153"/>
      <c r="D27" s="75"/>
      <c r="E27" s="131"/>
      <c r="F27" s="75"/>
      <c r="G27" s="75"/>
      <c r="H27" s="75"/>
      <c r="I27" s="75"/>
      <c r="J27" s="75"/>
      <c r="K27" s="75"/>
    </row>
    <row r="28" spans="2:11" hidden="1" x14ac:dyDescent="0.2">
      <c r="B28" s="75"/>
      <c r="C28" s="153"/>
      <c r="D28" s="75"/>
      <c r="E28" s="75"/>
      <c r="F28" s="75"/>
      <c r="G28" s="75"/>
      <c r="H28" s="75"/>
      <c r="I28" s="75"/>
      <c r="J28" s="75"/>
      <c r="K28" s="75"/>
    </row>
    <row r="29" spans="2:11" hidden="1" x14ac:dyDescent="0.2">
      <c r="B29" s="75"/>
      <c r="C29" s="153"/>
      <c r="D29" s="75"/>
      <c r="E29" s="75"/>
      <c r="F29" s="75"/>
      <c r="G29" s="75"/>
      <c r="H29" s="75"/>
      <c r="I29" s="75"/>
      <c r="J29" s="75"/>
      <c r="K29" s="75"/>
    </row>
    <row r="30" spans="2:11" hidden="1" x14ac:dyDescent="0.2">
      <c r="B30" s="75"/>
      <c r="C30" s="153"/>
      <c r="D30" s="75"/>
      <c r="E30" s="75"/>
      <c r="F30" s="75"/>
      <c r="G30" s="75"/>
      <c r="H30" s="75"/>
      <c r="I30" s="75"/>
      <c r="J30" s="75"/>
      <c r="K30" s="75"/>
    </row>
    <row r="31" spans="2:11" hidden="1" x14ac:dyDescent="0.2">
      <c r="B31" s="75"/>
      <c r="C31" s="153"/>
      <c r="D31" s="75"/>
      <c r="E31" s="75"/>
      <c r="F31" s="75"/>
      <c r="G31" s="75"/>
      <c r="H31" s="75"/>
      <c r="I31" s="75"/>
      <c r="J31" s="75"/>
      <c r="K31" s="75"/>
    </row>
    <row r="32" spans="2:11" hidden="1" x14ac:dyDescent="0.2">
      <c r="B32" s="75"/>
      <c r="C32" s="153"/>
      <c r="D32" s="75"/>
      <c r="E32" s="75"/>
      <c r="F32" s="75"/>
      <c r="G32" s="75"/>
      <c r="H32" s="75"/>
      <c r="I32" s="75"/>
      <c r="J32" s="75"/>
      <c r="K32" s="75"/>
    </row>
    <row r="33" spans="2:11" hidden="1" x14ac:dyDescent="0.2">
      <c r="B33" s="75"/>
      <c r="C33" s="153"/>
      <c r="D33" s="75"/>
      <c r="E33" s="75"/>
      <c r="F33" s="75"/>
      <c r="G33" s="75"/>
      <c r="H33" s="75"/>
      <c r="I33" s="75"/>
      <c r="J33" s="75"/>
      <c r="K33" s="75"/>
    </row>
    <row r="34" spans="2:11" hidden="1" x14ac:dyDescent="0.2">
      <c r="B34" s="75"/>
      <c r="C34" s="153"/>
      <c r="D34" s="75"/>
      <c r="E34" s="75"/>
      <c r="F34" s="75"/>
      <c r="G34" s="75"/>
      <c r="H34" s="75"/>
      <c r="I34" s="75"/>
      <c r="J34" s="75"/>
      <c r="K34" s="75"/>
    </row>
    <row r="35" spans="2:11" hidden="1" x14ac:dyDescent="0.2">
      <c r="B35" s="75"/>
      <c r="C35" s="153"/>
      <c r="D35" s="75"/>
      <c r="E35" s="75"/>
      <c r="F35" s="75"/>
      <c r="G35" s="75"/>
      <c r="H35" s="75"/>
      <c r="I35" s="75"/>
      <c r="J35" s="75"/>
      <c r="K35" s="75"/>
    </row>
    <row r="36" spans="2:11" hidden="1" x14ac:dyDescent="0.2">
      <c r="B36" s="75"/>
      <c r="C36" s="153"/>
      <c r="D36" s="75"/>
      <c r="E36" s="75"/>
      <c r="F36" s="75"/>
      <c r="G36" s="75"/>
      <c r="H36" s="75"/>
      <c r="I36" s="75"/>
      <c r="J36" s="75"/>
      <c r="K36" s="75"/>
    </row>
    <row r="37" spans="2:11" hidden="1" x14ac:dyDescent="0.2">
      <c r="B37" s="75"/>
      <c r="C37" s="153"/>
      <c r="D37" s="75"/>
      <c r="E37" s="75"/>
      <c r="F37" s="75"/>
      <c r="G37" s="75"/>
      <c r="H37" s="75"/>
      <c r="I37" s="75"/>
      <c r="J37" s="75"/>
      <c r="K37" s="75"/>
    </row>
    <row r="38" spans="2:11" hidden="1" x14ac:dyDescent="0.2">
      <c r="B38" s="75"/>
      <c r="C38" s="153"/>
      <c r="D38" s="75"/>
      <c r="E38" s="75"/>
      <c r="F38" s="75"/>
      <c r="G38" s="75"/>
      <c r="H38" s="75"/>
      <c r="I38" s="75"/>
      <c r="J38" s="75"/>
      <c r="K38" s="75"/>
    </row>
    <row r="39" spans="2:11" hidden="1" x14ac:dyDescent="0.2">
      <c r="B39" s="75"/>
      <c r="C39" s="153"/>
      <c r="D39" s="75"/>
      <c r="E39" s="75"/>
      <c r="F39" s="75"/>
      <c r="G39" s="75"/>
      <c r="H39" s="75"/>
      <c r="I39" s="75"/>
      <c r="J39" s="75"/>
      <c r="K39" s="75"/>
    </row>
    <row r="40" spans="2:11" hidden="1" x14ac:dyDescent="0.2">
      <c r="B40" s="75"/>
      <c r="C40" s="153"/>
      <c r="D40" s="75"/>
      <c r="E40" s="75"/>
      <c r="F40" s="75"/>
      <c r="G40" s="75"/>
      <c r="H40" s="75"/>
      <c r="I40" s="75"/>
      <c r="J40" s="75"/>
      <c r="K40" s="75"/>
    </row>
    <row r="41" spans="2:11" hidden="1" x14ac:dyDescent="0.2">
      <c r="B41" s="75"/>
      <c r="C41" s="153"/>
      <c r="D41" s="75"/>
      <c r="E41" s="75"/>
      <c r="F41" s="75"/>
      <c r="G41" s="75"/>
      <c r="H41" s="75"/>
      <c r="I41" s="75"/>
      <c r="J41" s="75"/>
      <c r="K41" s="75"/>
    </row>
    <row r="42" spans="2:11" hidden="1" x14ac:dyDescent="0.2">
      <c r="B42" s="75"/>
      <c r="C42" s="153"/>
      <c r="D42" s="75"/>
      <c r="E42" s="75"/>
      <c r="F42" s="75"/>
      <c r="G42" s="75"/>
      <c r="H42" s="75"/>
      <c r="I42" s="75"/>
      <c r="J42" s="75"/>
      <c r="K42" s="75"/>
    </row>
    <row r="43" spans="2:11" hidden="1" x14ac:dyDescent="0.2">
      <c r="B43" s="75"/>
      <c r="C43" s="153"/>
      <c r="D43" s="75"/>
      <c r="E43" s="75"/>
      <c r="F43" s="75"/>
      <c r="G43" s="75"/>
      <c r="H43" s="75"/>
      <c r="I43" s="75"/>
      <c r="J43" s="75"/>
      <c r="K43" s="75"/>
    </row>
  </sheetData>
  <sheetProtection sheet="1" objects="1" scenarios="1" selectLockedCells="1"/>
  <mergeCells count="3">
    <mergeCell ref="B2:C2"/>
    <mergeCell ref="B3:C3"/>
    <mergeCell ref="B9:C9"/>
  </mergeCells>
  <dataValidations xWindow="314" yWindow="447" count="3">
    <dataValidation allowBlank="1" showInputMessage="1" showErrorMessage="1" prompt="El tiempo de concentración se cálcula mediante la fórmula de Kirpich, consultar instructivo HIDROLOGÍA APLICADA A LAS PEQUEÑAS OBRAS HIDRÁULICAS" sqref="C10" xr:uid="{00000000-0002-0000-0500-000000000000}"/>
    <dataValidation allowBlank="1" showInputMessage="1" showErrorMessage="1" prompt="Con el tc cálculado, se entra a las curvas IDF para obtener el valor de &quot;i&quot;, o en su caso consultar las isoyetas publicadas por la SCT, y tomar para el periodo de retorno mínimo que marcan los linenamientos operativos del COUSSA (5-10 años)" sqref="C11" xr:uid="{00000000-0002-0000-0500-000001000000}"/>
    <dataValidation allowBlank="1" showInputMessage="1" showErrorMessage="1" prompt="Consultar instructivo HIDROLOGÍA APLICADA A LAS PEQUEÑAS OBRAS HIDRÁULICAS" sqref="C12" xr:uid="{00000000-0002-0000-0500-000002000000}"/>
  </dataValidation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3"/>
  <dimension ref="B2:Q131"/>
  <sheetViews>
    <sheetView workbookViewId="0">
      <selection activeCell="J78" sqref="J78"/>
    </sheetView>
  </sheetViews>
  <sheetFormatPr defaultColWidth="11.43359375" defaultRowHeight="15.75" x14ac:dyDescent="0.2"/>
  <cols>
    <col min="1" max="1" width="11.43359375" style="12"/>
    <col min="2" max="2" width="11.43359375" style="2"/>
    <col min="3" max="3" width="11.43359375" style="12"/>
    <col min="4" max="5" width="15.73828125" style="12" bestFit="1" customWidth="1"/>
    <col min="6" max="6" width="11.43359375" style="12"/>
    <col min="7" max="7" width="15.73828125" style="12" bestFit="1" customWidth="1"/>
    <col min="8" max="9" width="11.43359375" style="12"/>
    <col min="10" max="10" width="15.73828125" style="12" bestFit="1" customWidth="1"/>
    <col min="11" max="12" width="11.43359375" style="12"/>
    <col min="13" max="13" width="11.43359375" style="12" customWidth="1"/>
    <col min="14" max="14" width="15.73828125" style="12" bestFit="1" customWidth="1"/>
    <col min="15" max="16" width="11.43359375" style="12"/>
    <col min="17" max="17" width="15.73828125" style="12" bestFit="1" customWidth="1"/>
    <col min="18" max="16384" width="11.43359375" style="12"/>
  </cols>
  <sheetData>
    <row r="2" spans="2:7" x14ac:dyDescent="0.2">
      <c r="B2" s="62" t="str">
        <f>'DATOS DE PRECIPITACIÓN'!B3</f>
        <v xml:space="preserve">Estación: </v>
      </c>
      <c r="C2" s="417" t="str">
        <f>'DATOS DE PRECIPITACIÓN'!C3</f>
        <v>Finca Argovia</v>
      </c>
      <c r="D2" s="417"/>
      <c r="E2" s="417"/>
    </row>
    <row r="3" spans="2:7" x14ac:dyDescent="0.2">
      <c r="B3" s="60" t="s">
        <v>50</v>
      </c>
      <c r="C3" s="61" t="s">
        <v>0</v>
      </c>
      <c r="D3" s="61" t="str">
        <f>'DATOS DE PRECIPITACIÓN'!D4</f>
        <v>Año final:</v>
      </c>
      <c r="E3" s="61" t="s">
        <v>49</v>
      </c>
    </row>
    <row r="4" spans="2:7" x14ac:dyDescent="0.2">
      <c r="B4" s="13">
        <f>'DATOS DE PRECIPITACIÓN'!B6</f>
        <v>1</v>
      </c>
      <c r="C4" s="13">
        <f>'DATOS DE PRECIPITACIÓN'!C6</f>
        <v>1961</v>
      </c>
      <c r="D4" s="14">
        <f>IF('DATOS DE PRECIPITACIÓN'!D6=0," ",'DATOS DE PRECIPITACIÓN'!D6)</f>
        <v>161</v>
      </c>
      <c r="E4" s="14">
        <f>IF(D4=" "," ",LOG10(D4))</f>
        <v>2.2068258760318495</v>
      </c>
      <c r="G4" s="12">
        <f>IF(D4=" "," ",LARGE($D$4:$D$53,B4))</f>
        <v>373</v>
      </c>
    </row>
    <row r="5" spans="2:7" x14ac:dyDescent="0.2">
      <c r="B5" s="13">
        <f>'DATOS DE PRECIPITACIÓN'!B7</f>
        <v>2</v>
      </c>
      <c r="C5" s="13">
        <f>'DATOS DE PRECIPITACIÓN'!C7</f>
        <v>1962</v>
      </c>
      <c r="D5" s="14">
        <f>IF('DATOS DE PRECIPITACIÓN'!D7=0," ",'DATOS DE PRECIPITACIÓN'!D7)</f>
        <v>140</v>
      </c>
      <c r="E5" s="14">
        <f t="shared" ref="E5:E48" si="0">IF(D5=" "," ",LOG10(D5))</f>
        <v>2.1461280356782382</v>
      </c>
      <c r="G5" s="12">
        <f t="shared" ref="G5:G52" si="1">IF(D5=" "," ",LARGE($D$4:$D$53,B5))</f>
        <v>257.60000000000002</v>
      </c>
    </row>
    <row r="6" spans="2:7" x14ac:dyDescent="0.2">
      <c r="B6" s="13">
        <f>'DATOS DE PRECIPITACIÓN'!B8</f>
        <v>3</v>
      </c>
      <c r="C6" s="13">
        <f>'DATOS DE PRECIPITACIÓN'!C8</f>
        <v>1963</v>
      </c>
      <c r="D6" s="14">
        <f>IF('DATOS DE PRECIPITACIÓN'!D8=0," ",'DATOS DE PRECIPITACIÓN'!D8)</f>
        <v>185</v>
      </c>
      <c r="E6" s="14">
        <f t="shared" si="0"/>
        <v>2.2671717284030137</v>
      </c>
      <c r="G6" s="12">
        <f t="shared" si="1"/>
        <v>228.6</v>
      </c>
    </row>
    <row r="7" spans="2:7" x14ac:dyDescent="0.2">
      <c r="B7" s="13">
        <f>'DATOS DE PRECIPITACIÓN'!B9</f>
        <v>4</v>
      </c>
      <c r="C7" s="13">
        <f>'DATOS DE PRECIPITACIÓN'!C9</f>
        <v>1964</v>
      </c>
      <c r="D7" s="14">
        <f>IF('DATOS DE PRECIPITACIÓN'!D9=0," ",'DATOS DE PRECIPITACIÓN'!D9)</f>
        <v>126</v>
      </c>
      <c r="E7" s="14">
        <f t="shared" si="0"/>
        <v>2.1003705451175629</v>
      </c>
      <c r="G7" s="12">
        <f t="shared" si="1"/>
        <v>198</v>
      </c>
    </row>
    <row r="8" spans="2:7" x14ac:dyDescent="0.2">
      <c r="B8" s="13">
        <f>'DATOS DE PRECIPITACIÓN'!B10</f>
        <v>5</v>
      </c>
      <c r="C8" s="13">
        <f>'DATOS DE PRECIPITACIÓN'!C10</f>
        <v>1965</v>
      </c>
      <c r="D8" s="14">
        <f>IF('DATOS DE PRECIPITACIÓN'!D10=0," ",'DATOS DE PRECIPITACIÓN'!D10)</f>
        <v>182</v>
      </c>
      <c r="E8" s="14">
        <f t="shared" si="0"/>
        <v>2.2600713879850747</v>
      </c>
      <c r="G8" s="12">
        <f t="shared" si="1"/>
        <v>188</v>
      </c>
    </row>
    <row r="9" spans="2:7" x14ac:dyDescent="0.2">
      <c r="B9" s="13">
        <f>'DATOS DE PRECIPITACIÓN'!B11</f>
        <v>6</v>
      </c>
      <c r="C9" s="13">
        <f>'DATOS DE PRECIPITACIÓN'!C11</f>
        <v>1966</v>
      </c>
      <c r="D9" s="14">
        <f>IF('DATOS DE PRECIPITACIÓN'!D11=0," ",'DATOS DE PRECIPITACIÓN'!D11)</f>
        <v>100</v>
      </c>
      <c r="E9" s="14">
        <f t="shared" si="0"/>
        <v>2</v>
      </c>
      <c r="G9" s="12">
        <f t="shared" si="1"/>
        <v>187</v>
      </c>
    </row>
    <row r="10" spans="2:7" x14ac:dyDescent="0.2">
      <c r="B10" s="13">
        <f>'DATOS DE PRECIPITACIÓN'!B12</f>
        <v>7</v>
      </c>
      <c r="C10" s="13">
        <f>'DATOS DE PRECIPITACIÓN'!C12</f>
        <v>1967</v>
      </c>
      <c r="D10" s="14">
        <f>IF('DATOS DE PRECIPITACIÓN'!D12=0," ",'DATOS DE PRECIPITACIÓN'!D12)</f>
        <v>101</v>
      </c>
      <c r="E10" s="14">
        <f t="shared" si="0"/>
        <v>2.0043213737826426</v>
      </c>
      <c r="G10" s="12">
        <f t="shared" si="1"/>
        <v>185</v>
      </c>
    </row>
    <row r="11" spans="2:7" x14ac:dyDescent="0.2">
      <c r="B11" s="13">
        <f>'DATOS DE PRECIPITACIÓN'!B13</f>
        <v>8</v>
      </c>
      <c r="C11" s="13">
        <f>'DATOS DE PRECIPITACIÓN'!C13</f>
        <v>1968</v>
      </c>
      <c r="D11" s="14">
        <f>IF('DATOS DE PRECIPITACIÓN'!D13=0," ",'DATOS DE PRECIPITACIÓN'!D13)</f>
        <v>165</v>
      </c>
      <c r="E11" s="14">
        <f t="shared" si="0"/>
        <v>2.2174839442139063</v>
      </c>
      <c r="G11" s="12">
        <f t="shared" si="1"/>
        <v>183</v>
      </c>
    </row>
    <row r="12" spans="2:7" x14ac:dyDescent="0.2">
      <c r="B12" s="13">
        <f>'DATOS DE PRECIPITACIÓN'!B14</f>
        <v>9</v>
      </c>
      <c r="C12" s="13">
        <f>'DATOS DE PRECIPITACIÓN'!C14</f>
        <v>1969</v>
      </c>
      <c r="D12" s="14">
        <f>IF('DATOS DE PRECIPITACIÓN'!D14=0," ",'DATOS DE PRECIPITACIÓN'!D14)</f>
        <v>187</v>
      </c>
      <c r="E12" s="14">
        <f t="shared" si="0"/>
        <v>2.271841606536499</v>
      </c>
      <c r="G12" s="12">
        <f t="shared" si="1"/>
        <v>182</v>
      </c>
    </row>
    <row r="13" spans="2:7" x14ac:dyDescent="0.2">
      <c r="B13" s="13">
        <f>'DATOS DE PRECIPITACIÓN'!B15</f>
        <v>10</v>
      </c>
      <c r="C13" s="13">
        <f>'DATOS DE PRECIPITACIÓN'!C15</f>
        <v>1970</v>
      </c>
      <c r="D13" s="14">
        <f>IF('DATOS DE PRECIPITACIÓN'!D15=0," ",'DATOS DE PRECIPITACIÓN'!D15)</f>
        <v>125</v>
      </c>
      <c r="E13" s="14">
        <f t="shared" si="0"/>
        <v>2.0969100130080562</v>
      </c>
      <c r="G13" s="12">
        <f t="shared" si="1"/>
        <v>177.5</v>
      </c>
    </row>
    <row r="14" spans="2:7" x14ac:dyDescent="0.2">
      <c r="B14" s="13">
        <f>'DATOS DE PRECIPITACIÓN'!B16</f>
        <v>11</v>
      </c>
      <c r="C14" s="13">
        <f>'DATOS DE PRECIPITACIÓN'!C16</f>
        <v>1971</v>
      </c>
      <c r="D14" s="14">
        <f>IF('DATOS DE PRECIPITACIÓN'!D16=0," ",'DATOS DE PRECIPITACIÓN'!D16)</f>
        <v>113</v>
      </c>
      <c r="E14" s="14">
        <f t="shared" si="0"/>
        <v>2.0530784434834195</v>
      </c>
      <c r="G14" s="12">
        <f t="shared" si="1"/>
        <v>169</v>
      </c>
    </row>
    <row r="15" spans="2:7" x14ac:dyDescent="0.2">
      <c r="B15" s="13">
        <f>'DATOS DE PRECIPITACIÓN'!B17</f>
        <v>12</v>
      </c>
      <c r="C15" s="13">
        <f>'DATOS DE PRECIPITACIÓN'!C17</f>
        <v>1972</v>
      </c>
      <c r="D15" s="14">
        <f>IF('DATOS DE PRECIPITACIÓN'!D17=0," ",'DATOS DE PRECIPITACIÓN'!D17)</f>
        <v>156</v>
      </c>
      <c r="E15" s="14">
        <f t="shared" si="0"/>
        <v>2.1931245983544616</v>
      </c>
      <c r="G15" s="12">
        <f t="shared" si="1"/>
        <v>165</v>
      </c>
    </row>
    <row r="16" spans="2:7" x14ac:dyDescent="0.2">
      <c r="B16" s="13">
        <f>'DATOS DE PRECIPITACIÓN'!B18</f>
        <v>13</v>
      </c>
      <c r="C16" s="13">
        <f>'DATOS DE PRECIPITACIÓN'!C18</f>
        <v>1973</v>
      </c>
      <c r="D16" s="14">
        <f>IF('DATOS DE PRECIPITACIÓN'!D18=0," ",'DATOS DE PRECIPITACIÓN'!D18)</f>
        <v>143</v>
      </c>
      <c r="E16" s="14">
        <f t="shared" si="0"/>
        <v>2.1553360374650619</v>
      </c>
      <c r="G16" s="12">
        <f t="shared" si="1"/>
        <v>165</v>
      </c>
    </row>
    <row r="17" spans="2:7" x14ac:dyDescent="0.2">
      <c r="B17" s="13">
        <f>'DATOS DE PRECIPITACIÓN'!B19</f>
        <v>14</v>
      </c>
      <c r="C17" s="13">
        <f>'DATOS DE PRECIPITACIÓN'!C19</f>
        <v>1974</v>
      </c>
      <c r="D17" s="14">
        <f>IF('DATOS DE PRECIPITACIÓN'!D19=0," ",'DATOS DE PRECIPITACIÓN'!D19)</f>
        <v>198</v>
      </c>
      <c r="E17" s="14">
        <f t="shared" si="0"/>
        <v>2.2966651902615309</v>
      </c>
      <c r="G17" s="12">
        <f t="shared" si="1"/>
        <v>161</v>
      </c>
    </row>
    <row r="18" spans="2:7" x14ac:dyDescent="0.2">
      <c r="B18" s="13">
        <f>'DATOS DE PRECIPITACIÓN'!B20</f>
        <v>15</v>
      </c>
      <c r="C18" s="13">
        <f>'DATOS DE PRECIPITACIÓN'!C20</f>
        <v>1975</v>
      </c>
      <c r="D18" s="14">
        <f>IF('DATOS DE PRECIPITACIÓN'!D20=0," ",'DATOS DE PRECIPITACIÓN'!D20)</f>
        <v>115</v>
      </c>
      <c r="E18" s="14">
        <f t="shared" si="0"/>
        <v>2.0606978403536118</v>
      </c>
      <c r="G18" s="12">
        <f t="shared" si="1"/>
        <v>161</v>
      </c>
    </row>
    <row r="19" spans="2:7" x14ac:dyDescent="0.2">
      <c r="B19" s="13">
        <f>'DATOS DE PRECIPITACIÓN'!B21</f>
        <v>16</v>
      </c>
      <c r="C19" s="13">
        <f>'DATOS DE PRECIPITACIÓN'!C21</f>
        <v>1976</v>
      </c>
      <c r="D19" s="14">
        <f>IF('DATOS DE PRECIPITACIÓN'!D21=0," ",'DATOS DE PRECIPITACIÓN'!D21)</f>
        <v>141</v>
      </c>
      <c r="E19" s="14">
        <f t="shared" si="0"/>
        <v>2.1492191126553797</v>
      </c>
      <c r="G19" s="12">
        <f t="shared" si="1"/>
        <v>156</v>
      </c>
    </row>
    <row r="20" spans="2:7" x14ac:dyDescent="0.2">
      <c r="B20" s="13">
        <f>'DATOS DE PRECIPITACIÓN'!B22</f>
        <v>17</v>
      </c>
      <c r="C20" s="13">
        <f>'DATOS DE PRECIPITACIÓN'!C22</f>
        <v>1977</v>
      </c>
      <c r="D20" s="14">
        <f>IF('DATOS DE PRECIPITACIÓN'!D22=0," ",'DATOS DE PRECIPITACIÓN'!D22)</f>
        <v>95</v>
      </c>
      <c r="E20" s="14">
        <f t="shared" si="0"/>
        <v>1.9777236052888478</v>
      </c>
      <c r="G20" s="12">
        <f t="shared" si="1"/>
        <v>147</v>
      </c>
    </row>
    <row r="21" spans="2:7" x14ac:dyDescent="0.2">
      <c r="B21" s="13">
        <f>'DATOS DE PRECIPITACIÓN'!B23</f>
        <v>18</v>
      </c>
      <c r="C21" s="13">
        <f>'DATOS DE PRECIPITACIÓN'!C23</f>
        <v>1978</v>
      </c>
      <c r="D21" s="14">
        <f>IF('DATOS DE PRECIPITACIÓN'!D23=0," ",'DATOS DE PRECIPITACIÓN'!D23)</f>
        <v>118</v>
      </c>
      <c r="E21" s="14">
        <f t="shared" si="0"/>
        <v>2.0718820073061255</v>
      </c>
      <c r="G21" s="12">
        <f t="shared" si="1"/>
        <v>143</v>
      </c>
    </row>
    <row r="22" spans="2:7" x14ac:dyDescent="0.2">
      <c r="B22" s="13">
        <f>'DATOS DE PRECIPITACIÓN'!B24</f>
        <v>19</v>
      </c>
      <c r="C22" s="13">
        <f>'DATOS DE PRECIPITACIÓN'!C24</f>
        <v>1979</v>
      </c>
      <c r="D22" s="14">
        <f>IF('DATOS DE PRECIPITACIÓN'!D24=0," ",'DATOS DE PRECIPITACIÓN'!D24)</f>
        <v>116</v>
      </c>
      <c r="E22" s="14">
        <f t="shared" si="0"/>
        <v>2.0644579892269186</v>
      </c>
      <c r="G22" s="12">
        <f t="shared" si="1"/>
        <v>141</v>
      </c>
    </row>
    <row r="23" spans="2:7" x14ac:dyDescent="0.2">
      <c r="B23" s="13">
        <f>'DATOS DE PRECIPITACIÓN'!B25</f>
        <v>20</v>
      </c>
      <c r="C23" s="13">
        <f>'DATOS DE PRECIPITACIÓN'!C25</f>
        <v>1980</v>
      </c>
      <c r="D23" s="14">
        <f>IF('DATOS DE PRECIPITACIÓN'!D25=0," ",'DATOS DE PRECIPITACIÓN'!D25)</f>
        <v>115</v>
      </c>
      <c r="E23" s="14">
        <f t="shared" si="0"/>
        <v>2.0606978403536118</v>
      </c>
      <c r="G23" s="12">
        <f t="shared" si="1"/>
        <v>140</v>
      </c>
    </row>
    <row r="24" spans="2:7" x14ac:dyDescent="0.2">
      <c r="B24" s="13">
        <f>'DATOS DE PRECIPITACIÓN'!B26</f>
        <v>21</v>
      </c>
      <c r="C24" s="13">
        <f>'DATOS DE PRECIPITACIÓN'!C26</f>
        <v>1981</v>
      </c>
      <c r="D24" s="14">
        <f>IF('DATOS DE PRECIPITACIÓN'!D26=0," ",'DATOS DE PRECIPITACIÓN'!D26)</f>
        <v>89</v>
      </c>
      <c r="E24" s="14">
        <f t="shared" si="0"/>
        <v>1.9493900066449128</v>
      </c>
      <c r="G24" s="12">
        <f t="shared" si="1"/>
        <v>136</v>
      </c>
    </row>
    <row r="25" spans="2:7" x14ac:dyDescent="0.2">
      <c r="B25" s="13">
        <f>'DATOS DE PRECIPITACIÓN'!B27</f>
        <v>22</v>
      </c>
      <c r="C25" s="13">
        <f>'DATOS DE PRECIPITACIÓN'!C27</f>
        <v>1982</v>
      </c>
      <c r="D25" s="14">
        <f>IF('DATOS DE PRECIPITACIÓN'!D27=0," ",'DATOS DE PRECIPITACIÓN'!D27)</f>
        <v>147</v>
      </c>
      <c r="E25" s="14">
        <f t="shared" si="0"/>
        <v>2.167317334748176</v>
      </c>
      <c r="G25" s="12">
        <f t="shared" si="1"/>
        <v>135.19999999999999</v>
      </c>
    </row>
    <row r="26" spans="2:7" x14ac:dyDescent="0.2">
      <c r="B26" s="13">
        <f>'DATOS DE PRECIPITACIÓN'!B28</f>
        <v>23</v>
      </c>
      <c r="C26" s="13">
        <f>'DATOS DE PRECIPITACIÓN'!C28</f>
        <v>1983</v>
      </c>
      <c r="D26" s="14">
        <f>IF('DATOS DE PRECIPITACIÓN'!D28=0," ",'DATOS DE PRECIPITACIÓN'!D28)</f>
        <v>119</v>
      </c>
      <c r="E26" s="14">
        <f t="shared" si="0"/>
        <v>2.0755469613925306</v>
      </c>
      <c r="G26" s="12">
        <f t="shared" si="1"/>
        <v>135</v>
      </c>
    </row>
    <row r="27" spans="2:7" x14ac:dyDescent="0.2">
      <c r="B27" s="13">
        <f>'DATOS DE PRECIPITACIÓN'!B29</f>
        <v>24</v>
      </c>
      <c r="C27" s="13">
        <f>'DATOS DE PRECIPITACIÓN'!C29</f>
        <v>1984</v>
      </c>
      <c r="D27" s="14">
        <f>IF('DATOS DE PRECIPITACIÓN'!D29=0," ",'DATOS DE PRECIPITACIÓN'!D29)</f>
        <v>111</v>
      </c>
      <c r="E27" s="14">
        <f t="shared" si="0"/>
        <v>2.0453229787866576</v>
      </c>
      <c r="G27" s="12">
        <f t="shared" si="1"/>
        <v>131</v>
      </c>
    </row>
    <row r="28" spans="2:7" x14ac:dyDescent="0.2">
      <c r="B28" s="13">
        <f>'DATOS DE PRECIPITACIÓN'!B30</f>
        <v>25</v>
      </c>
      <c r="C28" s="13">
        <f>'DATOS DE PRECIPITACIÓN'!C30</f>
        <v>1985</v>
      </c>
      <c r="D28" s="14">
        <f>IF('DATOS DE PRECIPITACIÓN'!D30=0," ",'DATOS DE PRECIPITACIÓN'!D30)</f>
        <v>136</v>
      </c>
      <c r="E28" s="14">
        <f t="shared" si="0"/>
        <v>2.1335389083702174</v>
      </c>
      <c r="G28" s="12">
        <f t="shared" si="1"/>
        <v>129</v>
      </c>
    </row>
    <row r="29" spans="2:7" x14ac:dyDescent="0.2">
      <c r="B29" s="13">
        <f>'DATOS DE PRECIPITACIÓN'!B31</f>
        <v>26</v>
      </c>
      <c r="C29" s="13">
        <f>'DATOS DE PRECIPITACIÓN'!C31</f>
        <v>1986</v>
      </c>
      <c r="D29" s="14">
        <f>IF('DATOS DE PRECIPITACIÓN'!D31=0," ",'DATOS DE PRECIPITACIÓN'!D31)</f>
        <v>129</v>
      </c>
      <c r="E29" s="14">
        <f t="shared" si="0"/>
        <v>2.1105897102992488</v>
      </c>
      <c r="G29" s="12">
        <f t="shared" si="1"/>
        <v>126</v>
      </c>
    </row>
    <row r="30" spans="2:7" x14ac:dyDescent="0.2">
      <c r="B30" s="13">
        <f>'DATOS DE PRECIPITACIÓN'!B32</f>
        <v>27</v>
      </c>
      <c r="C30" s="13">
        <f>'DATOS DE PRECIPITACIÓN'!C32</f>
        <v>1987</v>
      </c>
      <c r="D30" s="14">
        <f>IF('DATOS DE PRECIPITACIÓN'!D32=0," ",'DATOS DE PRECIPITACIÓN'!D32)</f>
        <v>131</v>
      </c>
      <c r="E30" s="14">
        <f t="shared" si="0"/>
        <v>2.1172712956557644</v>
      </c>
      <c r="G30" s="12">
        <f t="shared" si="1"/>
        <v>125</v>
      </c>
    </row>
    <row r="31" spans="2:7" x14ac:dyDescent="0.2">
      <c r="B31" s="13">
        <f>'DATOS DE PRECIPITACIÓN'!B33</f>
        <v>28</v>
      </c>
      <c r="C31" s="13">
        <f>'DATOS DE PRECIPITACIÓN'!C33</f>
        <v>1988</v>
      </c>
      <c r="D31" s="14">
        <f>IF('DATOS DE PRECIPITACIÓN'!D33=0," ",'DATOS DE PRECIPITACIÓN'!D33)</f>
        <v>165</v>
      </c>
      <c r="E31" s="14">
        <f t="shared" si="0"/>
        <v>2.2174839442139063</v>
      </c>
      <c r="G31" s="12">
        <f t="shared" si="1"/>
        <v>125</v>
      </c>
    </row>
    <row r="32" spans="2:7" x14ac:dyDescent="0.2">
      <c r="B32" s="13">
        <f>'DATOS DE PRECIPITACIÓN'!B34</f>
        <v>29</v>
      </c>
      <c r="C32" s="13">
        <f>'DATOS DE PRECIPITACIÓN'!C34</f>
        <v>1989</v>
      </c>
      <c r="D32" s="14">
        <f>IF('DATOS DE PRECIPITACIÓN'!D34=0," ",'DATOS DE PRECIPITACIÓN'!D34)</f>
        <v>114</v>
      </c>
      <c r="E32" s="14">
        <f t="shared" si="0"/>
        <v>2.0569048513364727</v>
      </c>
      <c r="G32" s="12">
        <f t="shared" si="1"/>
        <v>124</v>
      </c>
    </row>
    <row r="33" spans="2:7" x14ac:dyDescent="0.2">
      <c r="B33" s="13">
        <f>'DATOS DE PRECIPITACIÓN'!B35</f>
        <v>30</v>
      </c>
      <c r="C33" s="13">
        <f>'DATOS DE PRECIPITACIÓN'!C35</f>
        <v>1990</v>
      </c>
      <c r="D33" s="14">
        <f>IF('DATOS DE PRECIPITACIÓN'!D35=0," ",'DATOS DE PRECIPITACIÓN'!D35)</f>
        <v>119</v>
      </c>
      <c r="E33" s="14">
        <f t="shared" si="0"/>
        <v>2.0755469613925306</v>
      </c>
      <c r="G33" s="12">
        <f t="shared" si="1"/>
        <v>124</v>
      </c>
    </row>
    <row r="34" spans="2:7" x14ac:dyDescent="0.2">
      <c r="B34" s="13">
        <f>'DATOS DE PRECIPITACIÓN'!B36</f>
        <v>31</v>
      </c>
      <c r="C34" s="13">
        <f>'DATOS DE PRECIPITACIÓN'!C36</f>
        <v>1991</v>
      </c>
      <c r="D34" s="14">
        <f>IF('DATOS DE PRECIPITACIÓN'!D36=0," ",'DATOS DE PRECIPITACIÓN'!D36)</f>
        <v>95</v>
      </c>
      <c r="E34" s="14">
        <f t="shared" si="0"/>
        <v>1.9777236052888478</v>
      </c>
      <c r="G34" s="12">
        <f t="shared" si="1"/>
        <v>123</v>
      </c>
    </row>
    <row r="35" spans="2:7" x14ac:dyDescent="0.2">
      <c r="B35" s="13">
        <f>'DATOS DE PRECIPITACIÓN'!B37</f>
        <v>32</v>
      </c>
      <c r="C35" s="13">
        <f>'DATOS DE PRECIPITACIÓN'!C37</f>
        <v>1992</v>
      </c>
      <c r="D35" s="14">
        <f>IF('DATOS DE PRECIPITACIÓN'!D37=0," ",'DATOS DE PRECIPITACIÓN'!D37)</f>
        <v>125</v>
      </c>
      <c r="E35" s="14">
        <f t="shared" si="0"/>
        <v>2.0969100130080562</v>
      </c>
      <c r="G35" s="12">
        <f t="shared" si="1"/>
        <v>121</v>
      </c>
    </row>
    <row r="36" spans="2:7" x14ac:dyDescent="0.2">
      <c r="B36" s="13">
        <f>'DATOS DE PRECIPITACIÓN'!B38</f>
        <v>33</v>
      </c>
      <c r="C36" s="13">
        <f>'DATOS DE PRECIPITACIÓN'!C38</f>
        <v>1993</v>
      </c>
      <c r="D36" s="14">
        <f>IF('DATOS DE PRECIPITACIÓN'!D38=0," ",'DATOS DE PRECIPITACIÓN'!D38)</f>
        <v>123</v>
      </c>
      <c r="E36" s="14">
        <f t="shared" si="0"/>
        <v>2.0899051114393981</v>
      </c>
      <c r="G36" s="12">
        <f t="shared" si="1"/>
        <v>119</v>
      </c>
    </row>
    <row r="37" spans="2:7" x14ac:dyDescent="0.2">
      <c r="B37" s="13">
        <f>'DATOS DE PRECIPITACIÓN'!B39</f>
        <v>34</v>
      </c>
      <c r="C37" s="13">
        <f>'DATOS DE PRECIPITACIÓN'!C39</f>
        <v>1994</v>
      </c>
      <c r="D37" s="14">
        <f>IF('DATOS DE PRECIPITACIÓN'!D39=0," ",'DATOS DE PRECIPITACIÓN'!D39)</f>
        <v>117</v>
      </c>
      <c r="E37" s="14">
        <f t="shared" si="0"/>
        <v>2.0681858617461617</v>
      </c>
      <c r="G37" s="12">
        <f t="shared" si="1"/>
        <v>119</v>
      </c>
    </row>
    <row r="38" spans="2:7" x14ac:dyDescent="0.2">
      <c r="B38" s="13">
        <f>'DATOS DE PRECIPITACIÓN'!B40</f>
        <v>35</v>
      </c>
      <c r="C38" s="13">
        <f>'DATOS DE PRECIPITACIÓN'!C40</f>
        <v>1995</v>
      </c>
      <c r="D38" s="14">
        <f>IF('DATOS DE PRECIPITACIÓN'!D40=0," ",'DATOS DE PRECIPITACIÓN'!D40)</f>
        <v>188</v>
      </c>
      <c r="E38" s="14">
        <f t="shared" si="0"/>
        <v>2.27415784926368</v>
      </c>
      <c r="G38" s="12">
        <f t="shared" si="1"/>
        <v>118</v>
      </c>
    </row>
    <row r="39" spans="2:7" x14ac:dyDescent="0.2">
      <c r="B39" s="13">
        <f>'DATOS DE PRECIPITACIÓN'!B41</f>
        <v>36</v>
      </c>
      <c r="C39" s="13">
        <f>'DATOS DE PRECIPITACIÓN'!C41</f>
        <v>1996</v>
      </c>
      <c r="D39" s="14">
        <f>IF('DATOS DE PRECIPITACIÓN'!D41=0," ",'DATOS DE PRECIPITACIÓN'!D41)</f>
        <v>183</v>
      </c>
      <c r="E39" s="14">
        <f t="shared" si="0"/>
        <v>2.2624510897304293</v>
      </c>
      <c r="G39" s="12">
        <f t="shared" si="1"/>
        <v>117</v>
      </c>
    </row>
    <row r="40" spans="2:7" x14ac:dyDescent="0.2">
      <c r="B40" s="13">
        <f>'DATOS DE PRECIPITACIÓN'!B42</f>
        <v>37</v>
      </c>
      <c r="C40" s="13">
        <f>'DATOS DE PRECIPITACIÓN'!C42</f>
        <v>1997</v>
      </c>
      <c r="D40" s="14">
        <f>IF('DATOS DE PRECIPITACIÓN'!D42=0," ",'DATOS DE PRECIPITACIÓN'!D42)</f>
        <v>124</v>
      </c>
      <c r="E40" s="14">
        <f t="shared" si="0"/>
        <v>2.0934216851622351</v>
      </c>
      <c r="G40" s="12">
        <f t="shared" si="1"/>
        <v>116</v>
      </c>
    </row>
    <row r="41" spans="2:7" x14ac:dyDescent="0.2">
      <c r="B41" s="13">
        <f>'DATOS DE PRECIPITACIÓN'!B43</f>
        <v>38</v>
      </c>
      <c r="C41" s="13">
        <f>'DATOS DE PRECIPITACIÓN'!C43</f>
        <v>1998</v>
      </c>
      <c r="D41" s="14">
        <f>IF('DATOS DE PRECIPITACIÓN'!D43=0," ",'DATOS DE PRECIPITACIÓN'!D43)</f>
        <v>177.5</v>
      </c>
      <c r="E41" s="14">
        <f t="shared" si="0"/>
        <v>2.249198357391113</v>
      </c>
      <c r="G41" s="12">
        <f t="shared" si="1"/>
        <v>115</v>
      </c>
    </row>
    <row r="42" spans="2:7" x14ac:dyDescent="0.2">
      <c r="B42" s="13">
        <f>'DATOS DE PRECIPITACIÓN'!B44</f>
        <v>39</v>
      </c>
      <c r="C42" s="13">
        <f>'DATOS DE PRECIPITACIÓN'!C44</f>
        <v>1999</v>
      </c>
      <c r="D42" s="14">
        <f>IF('DATOS DE PRECIPITACIÓN'!D44=0," ",'DATOS DE PRECIPITACIÓN'!D44)</f>
        <v>135</v>
      </c>
      <c r="E42" s="14">
        <f t="shared" si="0"/>
        <v>2.1303337684950061</v>
      </c>
      <c r="G42" s="12">
        <f t="shared" si="1"/>
        <v>115</v>
      </c>
    </row>
    <row r="43" spans="2:7" x14ac:dyDescent="0.2">
      <c r="B43" s="13">
        <f>'DATOS DE PRECIPITACIÓN'!B45</f>
        <v>40</v>
      </c>
      <c r="C43" s="13">
        <f>'DATOS DE PRECIPITACIÓN'!C45</f>
        <v>2000</v>
      </c>
      <c r="D43" s="14">
        <f>IF('DATOS DE PRECIPITACIÓN'!D45=0," ",'DATOS DE PRECIPITACIÓN'!D45)</f>
        <v>161</v>
      </c>
      <c r="E43" s="14">
        <f t="shared" si="0"/>
        <v>2.2068258760318495</v>
      </c>
      <c r="G43" s="12">
        <f t="shared" si="1"/>
        <v>115</v>
      </c>
    </row>
    <row r="44" spans="2:7" x14ac:dyDescent="0.2">
      <c r="B44" s="13">
        <f>'DATOS DE PRECIPITACIÓN'!B46</f>
        <v>41</v>
      </c>
      <c r="C44" s="13">
        <f>'DATOS DE PRECIPITACIÓN'!C46</f>
        <v>2001</v>
      </c>
      <c r="D44" s="14">
        <f>IF('DATOS DE PRECIPITACIÓN'!D46=0," ",'DATOS DE PRECIPITACIÓN'!D46)</f>
        <v>124</v>
      </c>
      <c r="E44" s="14">
        <f t="shared" si="0"/>
        <v>2.0934216851622351</v>
      </c>
      <c r="G44" s="12">
        <f t="shared" si="1"/>
        <v>114.5</v>
      </c>
    </row>
    <row r="45" spans="2:7" x14ac:dyDescent="0.2">
      <c r="B45" s="13">
        <f>'DATOS DE PRECIPITACIÓN'!B47</f>
        <v>42</v>
      </c>
      <c r="C45" s="13">
        <f>'DATOS DE PRECIPITACIÓN'!C47</f>
        <v>2002</v>
      </c>
      <c r="D45" s="14">
        <f>IF('DATOS DE PRECIPITACIÓN'!D47=0," ",'DATOS DE PRECIPITACIÓN'!D47)</f>
        <v>115</v>
      </c>
      <c r="E45" s="14">
        <f t="shared" si="0"/>
        <v>2.0606978403536118</v>
      </c>
      <c r="G45" s="12">
        <f t="shared" si="1"/>
        <v>114</v>
      </c>
    </row>
    <row r="46" spans="2:7" x14ac:dyDescent="0.2">
      <c r="B46" s="13">
        <f>'DATOS DE PRECIPITACIÓN'!B48</f>
        <v>43</v>
      </c>
      <c r="C46" s="13">
        <f>'DATOS DE PRECIPITACIÓN'!C48</f>
        <v>2003</v>
      </c>
      <c r="D46" s="14">
        <f>IF('DATOS DE PRECIPITACIÓN'!D48=0," ",'DATOS DE PRECIPITACIÓN'!D48)</f>
        <v>169</v>
      </c>
      <c r="E46" s="14">
        <f t="shared" si="0"/>
        <v>2.2278867046136734</v>
      </c>
      <c r="G46" s="12">
        <f t="shared" si="1"/>
        <v>113</v>
      </c>
    </row>
    <row r="47" spans="2:7" x14ac:dyDescent="0.2">
      <c r="B47" s="13">
        <f>'DATOS DE PRECIPITACIÓN'!B49</f>
        <v>44</v>
      </c>
      <c r="C47" s="13">
        <f>'DATOS DE PRECIPITACIÓN'!C49</f>
        <v>2004</v>
      </c>
      <c r="D47" s="14">
        <f>IF('DATOS DE PRECIPITACIÓN'!D49=0," ",'DATOS DE PRECIPITACIÓN'!D49)</f>
        <v>121</v>
      </c>
      <c r="E47" s="14">
        <f t="shared" si="0"/>
        <v>2.0827853703164503</v>
      </c>
      <c r="G47" s="12">
        <f t="shared" si="1"/>
        <v>111</v>
      </c>
    </row>
    <row r="48" spans="2:7" x14ac:dyDescent="0.2">
      <c r="B48" s="13">
        <f>'DATOS DE PRECIPITACIÓN'!B50</f>
        <v>45</v>
      </c>
      <c r="C48" s="13">
        <f>'DATOS DE PRECIPITACIÓN'!C50</f>
        <v>2005</v>
      </c>
      <c r="D48" s="14">
        <f>IF('DATOS DE PRECIPITACIÓN'!D50=0," ",'DATOS DE PRECIPITACIÓN'!D50)</f>
        <v>373</v>
      </c>
      <c r="E48" s="14">
        <f t="shared" si="0"/>
        <v>2.5717088318086878</v>
      </c>
      <c r="G48" s="12">
        <f t="shared" si="1"/>
        <v>105.5</v>
      </c>
    </row>
    <row r="49" spans="2:11" x14ac:dyDescent="0.2">
      <c r="B49" s="13">
        <f>'DATOS DE PRECIPITACIÓN'!B51</f>
        <v>46</v>
      </c>
      <c r="C49" s="13">
        <f>'DATOS DE PRECIPITACIÓN'!C51</f>
        <v>2006</v>
      </c>
      <c r="D49" s="14">
        <f>IF('DATOS DE PRECIPITACIÓN'!D51=0," ",'DATOS DE PRECIPITACIÓN'!D51)</f>
        <v>135.19999999999999</v>
      </c>
      <c r="E49" s="14">
        <f>IF(D49=" "," ",LOG10(D49))</f>
        <v>2.1309766916056172</v>
      </c>
      <c r="G49" s="12">
        <f t="shared" si="1"/>
        <v>101</v>
      </c>
    </row>
    <row r="50" spans="2:11" x14ac:dyDescent="0.2">
      <c r="B50" s="13">
        <f>'DATOS DE PRECIPITACIÓN'!B52</f>
        <v>47</v>
      </c>
      <c r="C50" s="13">
        <f>'DATOS DE PRECIPITACIÓN'!C52</f>
        <v>2007</v>
      </c>
      <c r="D50" s="14">
        <f>IF('DATOS DE PRECIPITACIÓN'!D52=0," ",'DATOS DE PRECIPITACIÓN'!D52)</f>
        <v>257.60000000000002</v>
      </c>
      <c r="E50" s="14">
        <f>IF(D50=" "," ",LOG10(D50))</f>
        <v>2.4109458586877746</v>
      </c>
      <c r="G50" s="12">
        <f t="shared" si="1"/>
        <v>100</v>
      </c>
      <c r="H50" s="164"/>
      <c r="I50" s="164"/>
      <c r="J50" s="164"/>
      <c r="K50" s="164"/>
    </row>
    <row r="51" spans="2:11" x14ac:dyDescent="0.2">
      <c r="B51" s="13">
        <f>'DATOS DE PRECIPITACIÓN'!B53</f>
        <v>48</v>
      </c>
      <c r="C51" s="13">
        <f>'DATOS DE PRECIPITACIÓN'!C53</f>
        <v>2008</v>
      </c>
      <c r="D51" s="14">
        <f>IF('DATOS DE PRECIPITACIÓN'!D53=0," ",'DATOS DE PRECIPITACIÓN'!D53)</f>
        <v>114.5</v>
      </c>
      <c r="E51" s="14">
        <f>IF(D51=" "," ",LOG10(D51))</f>
        <v>2.0588054866759067</v>
      </c>
      <c r="G51" s="12">
        <f t="shared" si="1"/>
        <v>95</v>
      </c>
      <c r="H51" s="164"/>
      <c r="I51" s="164"/>
      <c r="J51" s="164"/>
      <c r="K51" s="164"/>
    </row>
    <row r="52" spans="2:11" x14ac:dyDescent="0.2">
      <c r="B52" s="13">
        <f>'DATOS DE PRECIPITACIÓN'!B54</f>
        <v>49</v>
      </c>
      <c r="C52" s="13">
        <f>'DATOS DE PRECIPITACIÓN'!C54</f>
        <v>2009</v>
      </c>
      <c r="D52" s="14">
        <f>IF('DATOS DE PRECIPITACIÓN'!D54=0," ",'DATOS DE PRECIPITACIÓN'!D54)</f>
        <v>105.5</v>
      </c>
      <c r="E52" s="14">
        <f>IF(D52=" "," ",LOG10(D52))</f>
        <v>2.0232524596337114</v>
      </c>
      <c r="G52" s="12">
        <f t="shared" si="1"/>
        <v>95</v>
      </c>
      <c r="H52" s="164"/>
      <c r="I52" s="164"/>
      <c r="J52" s="164"/>
      <c r="K52" s="164"/>
    </row>
    <row r="53" spans="2:11" x14ac:dyDescent="0.2">
      <c r="B53" s="13">
        <f>'DATOS DE PRECIPITACIÓN'!B55</f>
        <v>50</v>
      </c>
      <c r="C53" s="13">
        <f>'DATOS DE PRECIPITACIÓN'!C55</f>
        <v>2010</v>
      </c>
      <c r="D53" s="14">
        <f>IF('DATOS DE PRECIPITACIÓN'!D55=0," ",'DATOS DE PRECIPITACIÓN'!D55)</f>
        <v>228.6</v>
      </c>
      <c r="E53" s="14">
        <f>IF(D53=" "," ",LOG10(D53))</f>
        <v>2.3590762260592628</v>
      </c>
      <c r="G53" s="12">
        <f>IF(D53=" "," ",LARGE($D$4:$D$53,B53))</f>
        <v>89</v>
      </c>
      <c r="H53" s="164"/>
      <c r="I53" s="164"/>
      <c r="J53" s="164"/>
      <c r="K53" s="164"/>
    </row>
    <row r="54" spans="2:11" ht="16.5" thickBot="1" x14ac:dyDescent="0.25">
      <c r="C54" s="15"/>
      <c r="D54" s="16"/>
      <c r="E54" s="16"/>
      <c r="G54" s="164"/>
      <c r="H54" s="164"/>
      <c r="I54" s="164"/>
      <c r="J54" s="164"/>
      <c r="K54" s="164"/>
    </row>
    <row r="55" spans="2:11" x14ac:dyDescent="0.2">
      <c r="C55" s="411" t="s">
        <v>28</v>
      </c>
      <c r="D55" s="412"/>
      <c r="E55" s="413"/>
      <c r="G55" s="164"/>
      <c r="H55" s="164"/>
      <c r="I55" s="164"/>
      <c r="J55" s="164"/>
      <c r="K55" s="164"/>
    </row>
    <row r="56" spans="2:11" x14ac:dyDescent="0.2">
      <c r="C56" s="17" t="s">
        <v>1</v>
      </c>
      <c r="D56" s="414">
        <f>COUNT(D4:D53)</f>
        <v>50</v>
      </c>
      <c r="E56" s="415"/>
      <c r="G56" s="164"/>
      <c r="H56" s="164"/>
      <c r="I56" s="164"/>
      <c r="J56" s="164"/>
      <c r="K56" s="164"/>
    </row>
    <row r="57" spans="2:11" x14ac:dyDescent="0.2">
      <c r="C57" s="17" t="s">
        <v>42</v>
      </c>
      <c r="D57" s="416">
        <f>MAX(D4:D53)</f>
        <v>373</v>
      </c>
      <c r="E57" s="415"/>
      <c r="G57" s="164"/>
      <c r="H57" s="164"/>
      <c r="I57" s="164"/>
      <c r="J57" s="164"/>
      <c r="K57" s="164"/>
    </row>
    <row r="58" spans="2:11" x14ac:dyDescent="0.2">
      <c r="C58" s="17" t="s">
        <v>2</v>
      </c>
      <c r="D58" s="14">
        <f>AVERAGE(D4:D53)</f>
        <v>144.27800000000002</v>
      </c>
      <c r="E58" s="18">
        <f>AVERAGE(E4:E53)</f>
        <v>2.1414318100163978</v>
      </c>
      <c r="G58" s="164"/>
      <c r="H58" s="164"/>
      <c r="I58" s="164"/>
      <c r="J58" s="164"/>
      <c r="K58" s="164"/>
    </row>
    <row r="59" spans="2:11" x14ac:dyDescent="0.2">
      <c r="C59" s="17" t="s">
        <v>3</v>
      </c>
      <c r="D59" s="14">
        <f>VAR(D4:D53)</f>
        <v>2317.1723632653034</v>
      </c>
      <c r="E59" s="18">
        <f>VAR(E4:E53)</f>
        <v>1.4041545174079996E-2</v>
      </c>
      <c r="G59" s="164"/>
      <c r="H59" s="164"/>
      <c r="I59" s="164"/>
      <c r="J59" s="164"/>
      <c r="K59" s="164"/>
    </row>
    <row r="60" spans="2:11" x14ac:dyDescent="0.2">
      <c r="C60" s="17" t="s">
        <v>4</v>
      </c>
      <c r="D60" s="14">
        <f>SQRT(D59)</f>
        <v>48.137016559663351</v>
      </c>
      <c r="E60" s="18">
        <f>SQRT(E59)</f>
        <v>0.11849702601365149</v>
      </c>
      <c r="G60" s="164"/>
      <c r="H60" s="164"/>
      <c r="I60" s="164"/>
      <c r="J60" s="164"/>
      <c r="K60" s="164"/>
    </row>
    <row r="61" spans="2:11" x14ac:dyDescent="0.2">
      <c r="C61" s="17" t="s">
        <v>5</v>
      </c>
      <c r="D61" s="14">
        <f>SKEW(D4:D53)</f>
        <v>2.5928256066541815</v>
      </c>
      <c r="E61" s="18">
        <f>SKEW(E4:E53)</f>
        <v>1.2383155849970995</v>
      </c>
      <c r="F61" s="19" t="s">
        <v>6</v>
      </c>
      <c r="G61" s="164"/>
      <c r="H61" s="164"/>
      <c r="I61" s="164"/>
      <c r="J61" s="164"/>
      <c r="K61" s="164"/>
    </row>
    <row r="62" spans="2:11" x14ac:dyDescent="0.2">
      <c r="C62" s="17" t="s">
        <v>7</v>
      </c>
      <c r="D62" s="14">
        <f>4/(D61*D61)</f>
        <v>0.59499508343954699</v>
      </c>
      <c r="E62" s="18">
        <f>4/(E61*E61)</f>
        <v>2.6085388766396704</v>
      </c>
      <c r="F62" s="19"/>
      <c r="G62" s="164"/>
      <c r="H62" s="164"/>
      <c r="I62" s="164"/>
      <c r="J62" s="164"/>
      <c r="K62" s="164"/>
    </row>
    <row r="63" spans="2:11" x14ac:dyDescent="0.2">
      <c r="C63" s="17" t="s">
        <v>8</v>
      </c>
      <c r="D63" s="416">
        <f>D65/D60</f>
        <v>2.41115898523005E-2</v>
      </c>
      <c r="E63" s="422"/>
      <c r="G63" s="164"/>
      <c r="H63" s="164"/>
      <c r="I63" s="164"/>
      <c r="J63" s="164"/>
      <c r="K63" s="164"/>
    </row>
    <row r="64" spans="2:11" x14ac:dyDescent="0.2">
      <c r="C64" s="17" t="s">
        <v>10</v>
      </c>
      <c r="D64" s="416">
        <f>D58-(D66/D63)</f>
        <v>121.52794480413066</v>
      </c>
      <c r="E64" s="422"/>
      <c r="G64" s="164"/>
      <c r="H64" s="164"/>
      <c r="I64" s="164"/>
      <c r="J64" s="164"/>
      <c r="K64" s="164"/>
    </row>
    <row r="65" spans="3:17" x14ac:dyDescent="0.2">
      <c r="C65" s="20" t="s">
        <v>9</v>
      </c>
      <c r="D65" s="423">
        <f>VLOOKUP(D56,C82:E131,3,FALSE)</f>
        <v>1.16066</v>
      </c>
      <c r="E65" s="424"/>
      <c r="G65" s="164"/>
      <c r="H65" s="164"/>
      <c r="I65" s="164"/>
      <c r="J65" s="164"/>
      <c r="K65" s="164"/>
    </row>
    <row r="66" spans="3:17" ht="16.5" thickBot="1" x14ac:dyDescent="0.25">
      <c r="C66" s="21" t="s">
        <v>11</v>
      </c>
      <c r="D66" s="425">
        <f>VLOOKUP(D56,C82:E131,2,FALSE)</f>
        <v>0.54854000000000003</v>
      </c>
      <c r="E66" s="426"/>
      <c r="G66" s="164"/>
      <c r="H66" s="164"/>
      <c r="I66" s="164"/>
      <c r="J66" s="164"/>
      <c r="K66" s="164"/>
    </row>
    <row r="67" spans="3:17" x14ac:dyDescent="0.2">
      <c r="C67" s="22"/>
      <c r="D67" s="15"/>
      <c r="E67" s="15"/>
    </row>
    <row r="68" spans="3:17" ht="16.5" thickBot="1" x14ac:dyDescent="0.25"/>
    <row r="69" spans="3:17" x14ac:dyDescent="0.2">
      <c r="C69" s="23" t="s">
        <v>12</v>
      </c>
      <c r="D69" s="155" t="s">
        <v>13</v>
      </c>
      <c r="E69" s="23" t="s">
        <v>14</v>
      </c>
      <c r="F69" s="418" t="s">
        <v>15</v>
      </c>
      <c r="G69" s="420"/>
      <c r="H69" s="418" t="s">
        <v>21</v>
      </c>
      <c r="I69" s="419"/>
      <c r="J69" s="420"/>
      <c r="K69" s="418" t="s">
        <v>22</v>
      </c>
      <c r="L69" s="419"/>
      <c r="M69" s="419"/>
      <c r="N69" s="420"/>
      <c r="O69" s="418" t="s">
        <v>16</v>
      </c>
      <c r="P69" s="419"/>
      <c r="Q69" s="421"/>
    </row>
    <row r="70" spans="3:17" x14ac:dyDescent="0.2">
      <c r="C70" s="24"/>
      <c r="D70" s="138"/>
      <c r="E70" s="24" t="str">
        <f>D3</f>
        <v>Año final:</v>
      </c>
      <c r="F70" s="156" t="s">
        <v>17</v>
      </c>
      <c r="G70" s="156" t="str">
        <f>D3</f>
        <v>Año final:</v>
      </c>
      <c r="H70" s="156" t="s">
        <v>18</v>
      </c>
      <c r="I70" s="156" t="s">
        <v>19</v>
      </c>
      <c r="J70" s="156" t="str">
        <f>D3</f>
        <v>Año final:</v>
      </c>
      <c r="K70" s="156" t="s">
        <v>18</v>
      </c>
      <c r="L70" s="156" t="s">
        <v>19</v>
      </c>
      <c r="M70" s="156" t="s">
        <v>17</v>
      </c>
      <c r="N70" s="156" t="str">
        <f>D3</f>
        <v>Año final:</v>
      </c>
      <c r="O70" s="156" t="s">
        <v>20</v>
      </c>
      <c r="P70" s="156"/>
      <c r="Q70" s="25" t="str">
        <f>D3</f>
        <v>Año final:</v>
      </c>
    </row>
    <row r="71" spans="3:17" x14ac:dyDescent="0.2">
      <c r="C71" s="129">
        <v>2</v>
      </c>
      <c r="D71" s="139">
        <f>1-(1/C71)</f>
        <v>0.5</v>
      </c>
      <c r="E71" s="141">
        <f>NORMINV(D71,$D$58,$D$60)</f>
        <v>144.27800000000002</v>
      </c>
      <c r="F71" s="26">
        <f>NORMINV(D71,$E$58,$E$60)</f>
        <v>2.1414318100163978</v>
      </c>
      <c r="G71" s="27">
        <f>10^F71</f>
        <v>138.49427145095126</v>
      </c>
      <c r="H71" s="137">
        <f>IF($D$61&lt;0,GAMMAINV(1-D71,$D$62,1),GAMMAINV(D71,$D$62,1))</f>
        <v>0.31118907300303061</v>
      </c>
      <c r="I71" s="26">
        <f>(H71*$D$61/2)-(2/$D$61)</f>
        <v>-0.36792974559108177</v>
      </c>
      <c r="J71" s="27">
        <f>$D$58+I71*$D$60</f>
        <v>126.5669597436894</v>
      </c>
      <c r="K71" s="137">
        <f t="shared" ref="K71:K78" si="2">IF($E$61&lt;0,GAMMAINV(1-D71,$E$62,1),GAMMAINV(D71,$E$62,1))</f>
        <v>2.2838463784478065</v>
      </c>
      <c r="L71" s="26">
        <f t="shared" ref="L71:L78" si="3">(K71*$E$61/2)-(2/$E$61)</f>
        <v>-0.20103589042131409</v>
      </c>
      <c r="M71" s="26">
        <f t="shared" ref="M71:M78" si="4">$E$58+L71*$E$60</f>
        <v>2.1176096548794656</v>
      </c>
      <c r="N71" s="27">
        <f t="shared" ref="N71:N78" si="5">10^M71</f>
        <v>131.10210198720958</v>
      </c>
      <c r="O71" s="26">
        <f>LN(D71)</f>
        <v>-0.69314718055994529</v>
      </c>
      <c r="P71" s="26">
        <f>LN(-O71)</f>
        <v>-0.36651292058166435</v>
      </c>
      <c r="Q71" s="28">
        <f>$D$64-(1/$D$63)*(P71)</f>
        <v>136.72863969097966</v>
      </c>
    </row>
    <row r="72" spans="3:17" x14ac:dyDescent="0.2">
      <c r="C72" s="129">
        <v>5</v>
      </c>
      <c r="D72" s="139">
        <f t="shared" ref="D72:D78" si="6">1-(1/C72)</f>
        <v>0.8</v>
      </c>
      <c r="E72" s="141">
        <f t="shared" ref="E72:E78" si="7">NORMINV(D72,$D$58,$D$60)</f>
        <v>184.79113525746371</v>
      </c>
      <c r="F72" s="26">
        <f t="shared" ref="F72:F78" si="8">NORMINV(D72,$E$58,$E$60)</f>
        <v>2.241161423224729</v>
      </c>
      <c r="G72" s="27">
        <f t="shared" ref="G72:G78" si="9">10^F72</f>
        <v>174.2454407160366</v>
      </c>
      <c r="H72" s="137">
        <f t="shared" ref="H72:H78" si="10">IF($D$61&lt;0,GAMMAINV(1-D72,$D$62,1),GAMMAINV(D72,$D$62,1))</f>
        <v>0.98075143969550316</v>
      </c>
      <c r="I72" s="26">
        <f t="shared" ref="I72:I78" si="11">(H72*$D$61/2)-(2/$D$61)</f>
        <v>0.50009947921502806</v>
      </c>
      <c r="J72" s="27">
        <f t="shared" ref="J72:J78" si="12">$D$58+I72*$D$60</f>
        <v>168.35129691245285</v>
      </c>
      <c r="K72" s="137">
        <f t="shared" si="2"/>
        <v>3.7835297078583996</v>
      </c>
      <c r="L72" s="26">
        <f t="shared" si="3"/>
        <v>0.72750472926342447</v>
      </c>
      <c r="M72" s="26">
        <f t="shared" si="4"/>
        <v>2.2276389568449804</v>
      </c>
      <c r="N72" s="27">
        <f t="shared" si="5"/>
        <v>168.9036196992688</v>
      </c>
      <c r="O72" s="26">
        <f t="shared" ref="O72:O78" si="13">LN(D72)</f>
        <v>-0.22314355131420971</v>
      </c>
      <c r="P72" s="26">
        <f t="shared" ref="P72:P78" si="14">LN(-O72)</f>
        <v>-1.4999399867595158</v>
      </c>
      <c r="Q72" s="28">
        <f t="shared" ref="Q72:Q78" si="15">$D$64-(1/$D$63)*(P72)</f>
        <v>183.73620215869101</v>
      </c>
    </row>
    <row r="73" spans="3:17" x14ac:dyDescent="0.2">
      <c r="C73" s="129">
        <v>10</v>
      </c>
      <c r="D73" s="139">
        <f t="shared" si="6"/>
        <v>0.9</v>
      </c>
      <c r="E73" s="141">
        <f t="shared" si="7"/>
        <v>205.96806893268297</v>
      </c>
      <c r="F73" s="26">
        <f t="shared" si="8"/>
        <v>2.2932918592165721</v>
      </c>
      <c r="G73" s="27">
        <f t="shared" si="9"/>
        <v>196.4680158631447</v>
      </c>
      <c r="H73" s="137">
        <f t="shared" si="10"/>
        <v>1.5503972417107577</v>
      </c>
      <c r="I73" s="26">
        <f t="shared" si="11"/>
        <v>1.2385955903091332</v>
      </c>
      <c r="J73" s="27">
        <f t="shared" si="12"/>
        <v>203.90029644143678</v>
      </c>
      <c r="K73" s="137">
        <f t="shared" si="2"/>
        <v>4.7728281528465848</v>
      </c>
      <c r="L73" s="26">
        <f t="shared" si="3"/>
        <v>1.3400365705845569</v>
      </c>
      <c r="M73" s="26">
        <f t="shared" si="4"/>
        <v>2.3002221583802003</v>
      </c>
      <c r="N73" s="27">
        <f t="shared" si="5"/>
        <v>199.6283229705671</v>
      </c>
      <c r="O73" s="26">
        <f t="shared" si="13"/>
        <v>-0.10536051565782628</v>
      </c>
      <c r="P73" s="26">
        <f t="shared" si="14"/>
        <v>-2.2503673273124454</v>
      </c>
      <c r="Q73" s="28">
        <f t="shared" si="15"/>
        <v>214.85929877528892</v>
      </c>
    </row>
    <row r="74" spans="3:17" x14ac:dyDescent="0.2">
      <c r="C74" s="129">
        <v>25</v>
      </c>
      <c r="D74" s="139">
        <f t="shared" si="6"/>
        <v>0.96</v>
      </c>
      <c r="E74" s="141">
        <f t="shared" si="7"/>
        <v>228.55080440263768</v>
      </c>
      <c r="F74" s="26">
        <f t="shared" si="8"/>
        <v>2.3488829029433034</v>
      </c>
      <c r="G74" s="27">
        <f t="shared" si="9"/>
        <v>223.29700750076697</v>
      </c>
      <c r="H74" s="137">
        <f t="shared" si="10"/>
        <v>2.3437344601592405</v>
      </c>
      <c r="I74" s="26">
        <f t="shared" si="11"/>
        <v>2.2670881176616473</v>
      </c>
      <c r="J74" s="27">
        <f t="shared" si="12"/>
        <v>253.40885826209475</v>
      </c>
      <c r="K74" s="137">
        <f t="shared" si="2"/>
        <v>5.9931928404232568</v>
      </c>
      <c r="L74" s="26">
        <f t="shared" si="3"/>
        <v>2.0956348765877117</v>
      </c>
      <c r="M74" s="26">
        <f t="shared" si="4"/>
        <v>2.3897583105025273</v>
      </c>
      <c r="N74" s="27">
        <f t="shared" si="5"/>
        <v>245.33432241162311</v>
      </c>
      <c r="O74" s="26">
        <f t="shared" si="13"/>
        <v>-4.0821994520255166E-2</v>
      </c>
      <c r="P74" s="26">
        <f t="shared" si="14"/>
        <v>-3.1985342614453849</v>
      </c>
      <c r="Q74" s="28">
        <f t="shared" si="15"/>
        <v>254.18341385608994</v>
      </c>
    </row>
    <row r="75" spans="3:17" x14ac:dyDescent="0.2">
      <c r="C75" s="129">
        <v>50</v>
      </c>
      <c r="D75" s="139">
        <f t="shared" si="6"/>
        <v>0.98</v>
      </c>
      <c r="E75" s="141">
        <f t="shared" si="7"/>
        <v>243.1393453204746</v>
      </c>
      <c r="F75" s="26">
        <f t="shared" si="8"/>
        <v>2.3847949481050454</v>
      </c>
      <c r="G75" s="27">
        <f t="shared" si="9"/>
        <v>242.54646429267186</v>
      </c>
      <c r="H75" s="137">
        <f t="shared" si="10"/>
        <v>2.962709239125989</v>
      </c>
      <c r="I75" s="26">
        <f t="shared" si="11"/>
        <v>3.0695349460506964</v>
      </c>
      <c r="J75" s="27">
        <f t="shared" si="12"/>
        <v>292.03625452850775</v>
      </c>
      <c r="K75" s="137">
        <f t="shared" si="2"/>
        <v>6.8754436685417675</v>
      </c>
      <c r="L75" s="26">
        <f t="shared" si="3"/>
        <v>2.6418873517555861</v>
      </c>
      <c r="M75" s="26">
        <f t="shared" si="4"/>
        <v>2.4544876042625163</v>
      </c>
      <c r="N75" s="27">
        <f t="shared" si="5"/>
        <v>284.7656520516968</v>
      </c>
      <c r="O75" s="26">
        <f t="shared" si="13"/>
        <v>-2.0202707317519466E-2</v>
      </c>
      <c r="P75" s="26">
        <f t="shared" si="14"/>
        <v>-3.9019386579358333</v>
      </c>
      <c r="Q75" s="28">
        <f t="shared" si="15"/>
        <v>283.35628884273609</v>
      </c>
    </row>
    <row r="76" spans="3:17" x14ac:dyDescent="0.2">
      <c r="C76" s="129">
        <v>100</v>
      </c>
      <c r="D76" s="139">
        <f t="shared" si="6"/>
        <v>0.99</v>
      </c>
      <c r="E76" s="141">
        <f t="shared" si="7"/>
        <v>256.2614461362416</v>
      </c>
      <c r="F76" s="26">
        <f t="shared" si="8"/>
        <v>2.4170971145634184</v>
      </c>
      <c r="G76" s="27">
        <f t="shared" si="9"/>
        <v>261.27455369880829</v>
      </c>
      <c r="H76" s="137">
        <f t="shared" si="10"/>
        <v>3.592644952170839</v>
      </c>
      <c r="I76" s="26">
        <f t="shared" si="11"/>
        <v>3.8861916697150201</v>
      </c>
      <c r="J76" s="27">
        <f t="shared" si="12"/>
        <v>331.34767275909769</v>
      </c>
      <c r="K76" s="137">
        <f t="shared" si="2"/>
        <v>7.7335396526423974</v>
      </c>
      <c r="L76" s="26">
        <f t="shared" si="3"/>
        <v>3.1731841670232024</v>
      </c>
      <c r="M76" s="26">
        <f t="shared" si="4"/>
        <v>2.5174446968022535</v>
      </c>
      <c r="N76" s="27">
        <f t="shared" si="5"/>
        <v>329.18853169175924</v>
      </c>
      <c r="O76" s="26">
        <f t="shared" si="13"/>
        <v>-1.0050335853501451E-2</v>
      </c>
      <c r="P76" s="26">
        <f t="shared" si="14"/>
        <v>-4.6001492267765789</v>
      </c>
      <c r="Q76" s="28">
        <f t="shared" si="15"/>
        <v>312.31375589977171</v>
      </c>
    </row>
    <row r="77" spans="3:17" x14ac:dyDescent="0.2">
      <c r="C77" s="129">
        <v>200</v>
      </c>
      <c r="D77" s="139">
        <f t="shared" si="6"/>
        <v>0.995</v>
      </c>
      <c r="E77" s="141">
        <f t="shared" si="7"/>
        <v>268.27073783979955</v>
      </c>
      <c r="F77" s="26">
        <f t="shared" si="8"/>
        <v>2.4466599220057574</v>
      </c>
      <c r="G77" s="27">
        <f t="shared" si="9"/>
        <v>279.67904113813472</v>
      </c>
      <c r="H77" s="137">
        <f>IF($D$61&lt;0,GAMMAINV(1-D77,$D$62,1),GAMMAINV(D77,$D$62,1))</f>
        <v>4.2307493130072151</v>
      </c>
      <c r="I77" s="26">
        <f>(H77*$D$61/2)-(2/$D$61)</f>
        <v>4.7134383329621476</v>
      </c>
      <c r="J77" s="27">
        <f>$D$58+I77*$D$60</f>
        <v>371.16885908675096</v>
      </c>
      <c r="K77" s="137">
        <f t="shared" si="2"/>
        <v>8.5733358722589568</v>
      </c>
      <c r="L77" s="26">
        <f t="shared" si="3"/>
        <v>3.6931505405096186</v>
      </c>
      <c r="M77" s="26">
        <f t="shared" si="4"/>
        <v>2.579059165687497</v>
      </c>
      <c r="N77" s="27">
        <f t="shared" si="5"/>
        <v>379.36666410289047</v>
      </c>
      <c r="O77" s="26">
        <f t="shared" si="13"/>
        <v>-5.0125418235442863E-3</v>
      </c>
      <c r="P77" s="26">
        <f t="shared" si="14"/>
        <v>-5.2958121425350253</v>
      </c>
      <c r="Q77" s="28">
        <f t="shared" si="15"/>
        <v>341.16556202370811</v>
      </c>
    </row>
    <row r="78" spans="3:17" ht="16.5" thickBot="1" x14ac:dyDescent="0.25">
      <c r="C78" s="130">
        <v>500</v>
      </c>
      <c r="D78" s="140">
        <f t="shared" si="6"/>
        <v>0.998</v>
      </c>
      <c r="E78" s="142">
        <f t="shared" si="7"/>
        <v>282.82411929622873</v>
      </c>
      <c r="F78" s="29">
        <f t="shared" si="8"/>
        <v>2.4824854164854915</v>
      </c>
      <c r="G78" s="30">
        <f t="shared" si="9"/>
        <v>303.7284098892377</v>
      </c>
      <c r="H78" s="143">
        <f t="shared" si="10"/>
        <v>5.0837532755842529</v>
      </c>
      <c r="I78" s="29">
        <f t="shared" si="11"/>
        <v>5.8192835913357621</v>
      </c>
      <c r="J78" s="30">
        <f t="shared" si="12"/>
        <v>424.40095060150679</v>
      </c>
      <c r="K78" s="143">
        <f t="shared" si="2"/>
        <v>9.6618547954798171</v>
      </c>
      <c r="L78" s="29">
        <f t="shared" si="3"/>
        <v>4.3671155141039453</v>
      </c>
      <c r="M78" s="29">
        <f t="shared" si="4"/>
        <v>2.658922010695794</v>
      </c>
      <c r="N78" s="30">
        <f t="shared" si="5"/>
        <v>455.95502955848639</v>
      </c>
      <c r="O78" s="29">
        <f t="shared" si="13"/>
        <v>-2.0020026706730793E-3</v>
      </c>
      <c r="P78" s="29">
        <f t="shared" si="14"/>
        <v>-6.2136072640874609</v>
      </c>
      <c r="Q78" s="31">
        <f t="shared" si="15"/>
        <v>379.23004168575198</v>
      </c>
    </row>
    <row r="80" spans="3:17" x14ac:dyDescent="0.2">
      <c r="E80" s="136"/>
      <c r="F80" s="136"/>
      <c r="H80" s="19"/>
    </row>
    <row r="81" spans="3:8" x14ac:dyDescent="0.2">
      <c r="C81" t="s">
        <v>56</v>
      </c>
      <c r="D81" t="s">
        <v>11</v>
      </c>
      <c r="E81" t="s">
        <v>289</v>
      </c>
      <c r="H81" s="19"/>
    </row>
    <row r="82" spans="3:8" x14ac:dyDescent="0.2">
      <c r="C82">
        <v>1</v>
      </c>
      <c r="D82">
        <v>0.36651</v>
      </c>
      <c r="E82">
        <v>0</v>
      </c>
      <c r="H82" s="19"/>
    </row>
    <row r="83" spans="3:8" x14ac:dyDescent="0.2">
      <c r="C83">
        <v>2</v>
      </c>
      <c r="D83">
        <v>0.40433999999999998</v>
      </c>
      <c r="E83">
        <v>0.49837999999999999</v>
      </c>
      <c r="H83" s="19"/>
    </row>
    <row r="84" spans="3:8" x14ac:dyDescent="0.2">
      <c r="C84">
        <v>3</v>
      </c>
      <c r="D84">
        <v>0.42859000000000003</v>
      </c>
      <c r="E84">
        <v>0.64348000000000005</v>
      </c>
      <c r="H84" s="19"/>
    </row>
    <row r="85" spans="3:8" x14ac:dyDescent="0.2">
      <c r="C85">
        <v>4</v>
      </c>
      <c r="D85">
        <v>0.44579999999999997</v>
      </c>
      <c r="E85">
        <v>0.73146999999999995</v>
      </c>
      <c r="H85" s="19"/>
    </row>
    <row r="86" spans="3:8" x14ac:dyDescent="0.2">
      <c r="C86">
        <v>5</v>
      </c>
      <c r="D86">
        <v>0.45878999999999998</v>
      </c>
      <c r="E86">
        <v>0.79278000000000004</v>
      </c>
      <c r="H86" s="19"/>
    </row>
    <row r="87" spans="3:8" x14ac:dyDescent="0.2">
      <c r="C87">
        <v>6</v>
      </c>
      <c r="D87">
        <v>0.46903</v>
      </c>
      <c r="E87">
        <v>0.83877000000000002</v>
      </c>
      <c r="H87" s="19"/>
    </row>
    <row r="88" spans="3:8" x14ac:dyDescent="0.2">
      <c r="C88">
        <v>7</v>
      </c>
      <c r="D88">
        <v>0.47735</v>
      </c>
      <c r="E88">
        <v>0.87492999999999999</v>
      </c>
    </row>
    <row r="89" spans="3:8" x14ac:dyDescent="0.2">
      <c r="C89">
        <v>8</v>
      </c>
      <c r="D89">
        <v>0.48427999999999999</v>
      </c>
      <c r="E89">
        <v>0.90432000000000001</v>
      </c>
    </row>
    <row r="90" spans="3:8" x14ac:dyDescent="0.2">
      <c r="C90">
        <v>9</v>
      </c>
      <c r="D90">
        <v>0.49014999999999997</v>
      </c>
      <c r="E90">
        <v>0.92881999999999998</v>
      </c>
    </row>
    <row r="91" spans="3:8" x14ac:dyDescent="0.2">
      <c r="C91">
        <v>10</v>
      </c>
      <c r="D91">
        <v>0.49520999999999998</v>
      </c>
      <c r="E91">
        <v>0.94962999999999997</v>
      </c>
    </row>
    <row r="92" spans="3:8" x14ac:dyDescent="0.2">
      <c r="C92">
        <v>11</v>
      </c>
      <c r="D92">
        <v>0.49961</v>
      </c>
      <c r="E92">
        <v>0.96758</v>
      </c>
    </row>
    <row r="93" spans="3:8" x14ac:dyDescent="0.2">
      <c r="C93">
        <v>12</v>
      </c>
      <c r="D93">
        <v>0.50349999999999995</v>
      </c>
      <c r="E93">
        <v>0.98326999999999998</v>
      </c>
    </row>
    <row r="94" spans="3:8" x14ac:dyDescent="0.2">
      <c r="C94">
        <v>13</v>
      </c>
      <c r="D94">
        <v>0.50695000000000001</v>
      </c>
      <c r="E94">
        <v>0.99712999999999996</v>
      </c>
    </row>
    <row r="95" spans="3:8" x14ac:dyDescent="0.2">
      <c r="C95">
        <v>14</v>
      </c>
      <c r="D95">
        <v>0.51004000000000005</v>
      </c>
      <c r="E95" s="163">
        <v>1.0094799999999999</v>
      </c>
    </row>
    <row r="96" spans="3:8" x14ac:dyDescent="0.2">
      <c r="C96">
        <v>15</v>
      </c>
      <c r="D96">
        <v>0.51283999999999996</v>
      </c>
      <c r="E96">
        <v>1.02057</v>
      </c>
    </row>
    <row r="97" spans="3:5" x14ac:dyDescent="0.2">
      <c r="C97">
        <v>16</v>
      </c>
      <c r="D97">
        <v>0.51536999999999999</v>
      </c>
      <c r="E97">
        <v>1.0306</v>
      </c>
    </row>
    <row r="98" spans="3:5" x14ac:dyDescent="0.2">
      <c r="C98">
        <v>17</v>
      </c>
      <c r="D98">
        <v>0.51768000000000003</v>
      </c>
      <c r="E98">
        <v>1.03973</v>
      </c>
    </row>
    <row r="99" spans="3:5" x14ac:dyDescent="0.2">
      <c r="C99">
        <v>18</v>
      </c>
      <c r="D99">
        <v>0.51980000000000004</v>
      </c>
      <c r="E99">
        <v>1.0480799999999999</v>
      </c>
    </row>
    <row r="100" spans="3:5" x14ac:dyDescent="0.2">
      <c r="C100">
        <v>19</v>
      </c>
      <c r="D100">
        <v>0.52175000000000005</v>
      </c>
      <c r="E100">
        <v>1.05575</v>
      </c>
    </row>
    <row r="101" spans="3:5" x14ac:dyDescent="0.2">
      <c r="C101">
        <v>20</v>
      </c>
      <c r="D101">
        <v>0.52354999999999996</v>
      </c>
      <c r="E101">
        <v>1.0628200000000001</v>
      </c>
    </row>
    <row r="102" spans="3:5" x14ac:dyDescent="0.2">
      <c r="C102">
        <v>21</v>
      </c>
      <c r="D102">
        <v>0.52522000000000002</v>
      </c>
      <c r="E102">
        <v>1.06938</v>
      </c>
    </row>
    <row r="103" spans="3:5" x14ac:dyDescent="0.2">
      <c r="C103">
        <v>22</v>
      </c>
      <c r="D103">
        <v>0.52678000000000003</v>
      </c>
      <c r="E103">
        <v>1.0754699999999999</v>
      </c>
    </row>
    <row r="104" spans="3:5" x14ac:dyDescent="0.2">
      <c r="C104">
        <v>23</v>
      </c>
      <c r="D104">
        <v>0.52822999999999998</v>
      </c>
      <c r="E104">
        <v>1.0811500000000001</v>
      </c>
    </row>
    <row r="105" spans="3:5" x14ac:dyDescent="0.2">
      <c r="C105">
        <v>24</v>
      </c>
      <c r="D105">
        <v>0.52959000000000001</v>
      </c>
      <c r="E105">
        <v>1.08646</v>
      </c>
    </row>
    <row r="106" spans="3:5" x14ac:dyDescent="0.2">
      <c r="C106">
        <v>25</v>
      </c>
      <c r="D106">
        <v>0.53086</v>
      </c>
      <c r="E106">
        <v>1.09145</v>
      </c>
    </row>
    <row r="107" spans="3:5" x14ac:dyDescent="0.2">
      <c r="C107">
        <v>26</v>
      </c>
      <c r="D107">
        <v>0.53205999999999998</v>
      </c>
      <c r="E107">
        <v>1.09613</v>
      </c>
    </row>
    <row r="108" spans="3:5" x14ac:dyDescent="0.2">
      <c r="C108">
        <v>27</v>
      </c>
      <c r="D108">
        <v>0.53319000000000005</v>
      </c>
      <c r="E108">
        <v>1.1005400000000001</v>
      </c>
    </row>
    <row r="109" spans="3:5" x14ac:dyDescent="0.2">
      <c r="C109">
        <v>28</v>
      </c>
      <c r="D109">
        <v>0.53425999999999996</v>
      </c>
      <c r="E109">
        <v>1.1047</v>
      </c>
    </row>
    <row r="110" spans="3:5" x14ac:dyDescent="0.2">
      <c r="C110">
        <v>29</v>
      </c>
      <c r="D110">
        <v>0.53527000000000002</v>
      </c>
      <c r="E110">
        <v>1.1086400000000001</v>
      </c>
    </row>
    <row r="111" spans="3:5" x14ac:dyDescent="0.2">
      <c r="C111">
        <v>30</v>
      </c>
      <c r="D111">
        <v>0.53622000000000003</v>
      </c>
      <c r="E111">
        <v>1.1123700000000001</v>
      </c>
    </row>
    <row r="112" spans="3:5" x14ac:dyDescent="0.2">
      <c r="C112">
        <v>31</v>
      </c>
      <c r="D112">
        <v>0.53713</v>
      </c>
      <c r="E112">
        <v>1.11592</v>
      </c>
    </row>
    <row r="113" spans="3:5" x14ac:dyDescent="0.2">
      <c r="C113">
        <v>32</v>
      </c>
      <c r="D113">
        <v>0.53798999999999997</v>
      </c>
      <c r="E113">
        <v>1.1192899999999999</v>
      </c>
    </row>
    <row r="114" spans="3:5" x14ac:dyDescent="0.2">
      <c r="C114">
        <v>33</v>
      </c>
      <c r="D114">
        <v>0.53881000000000001</v>
      </c>
      <c r="E114">
        <v>1.12249</v>
      </c>
    </row>
    <row r="115" spans="3:5" x14ac:dyDescent="0.2">
      <c r="C115">
        <v>34</v>
      </c>
      <c r="D115">
        <v>0.53959000000000001</v>
      </c>
      <c r="E115">
        <v>1.1255500000000001</v>
      </c>
    </row>
    <row r="116" spans="3:5" x14ac:dyDescent="0.2">
      <c r="C116">
        <v>35</v>
      </c>
      <c r="D116">
        <v>0.54034000000000004</v>
      </c>
      <c r="E116">
        <v>1.1284700000000001</v>
      </c>
    </row>
    <row r="117" spans="3:5" x14ac:dyDescent="0.2">
      <c r="C117">
        <v>36</v>
      </c>
      <c r="D117">
        <v>0.54105000000000003</v>
      </c>
      <c r="E117">
        <v>1.1312599999999999</v>
      </c>
    </row>
    <row r="118" spans="3:5" x14ac:dyDescent="0.2">
      <c r="C118">
        <v>37</v>
      </c>
      <c r="D118">
        <v>0.54174</v>
      </c>
      <c r="E118">
        <v>1.1339399999999999</v>
      </c>
    </row>
    <row r="119" spans="3:5" x14ac:dyDescent="0.2">
      <c r="C119">
        <v>38</v>
      </c>
      <c r="D119">
        <v>0.54239000000000004</v>
      </c>
      <c r="E119">
        <v>1.1365000000000001</v>
      </c>
    </row>
    <row r="120" spans="3:5" x14ac:dyDescent="0.2">
      <c r="C120">
        <v>39</v>
      </c>
      <c r="D120">
        <v>0.54301999999999995</v>
      </c>
      <c r="E120">
        <v>1.13896</v>
      </c>
    </row>
    <row r="121" spans="3:5" x14ac:dyDescent="0.2">
      <c r="C121">
        <v>40</v>
      </c>
      <c r="D121">
        <v>0.54361999999999999</v>
      </c>
      <c r="E121">
        <v>1.14131</v>
      </c>
    </row>
    <row r="122" spans="3:5" x14ac:dyDescent="0.2">
      <c r="C122">
        <v>41</v>
      </c>
      <c r="D122">
        <v>0.54420000000000002</v>
      </c>
      <c r="E122">
        <v>1.14358</v>
      </c>
    </row>
    <row r="123" spans="3:5" x14ac:dyDescent="0.2">
      <c r="C123">
        <v>42</v>
      </c>
      <c r="D123">
        <v>0.54474999999999996</v>
      </c>
      <c r="E123">
        <v>1.1457599999999999</v>
      </c>
    </row>
    <row r="124" spans="3:5" x14ac:dyDescent="0.2">
      <c r="C124">
        <v>43</v>
      </c>
      <c r="D124">
        <v>0.54529000000000005</v>
      </c>
      <c r="E124">
        <v>1.1478699999999999</v>
      </c>
    </row>
    <row r="125" spans="3:5" x14ac:dyDescent="0.2">
      <c r="C125">
        <v>44</v>
      </c>
      <c r="D125">
        <v>0.54579999999999995</v>
      </c>
      <c r="E125">
        <v>1.1498900000000001</v>
      </c>
    </row>
    <row r="126" spans="3:5" x14ac:dyDescent="0.2">
      <c r="C126">
        <v>45</v>
      </c>
      <c r="D126">
        <v>0.54630000000000001</v>
      </c>
      <c r="E126">
        <v>1.15184</v>
      </c>
    </row>
    <row r="127" spans="3:5" x14ac:dyDescent="0.2">
      <c r="C127">
        <v>46</v>
      </c>
      <c r="D127">
        <v>0.54678000000000004</v>
      </c>
      <c r="E127">
        <v>1.1537299999999999</v>
      </c>
    </row>
    <row r="128" spans="3:5" x14ac:dyDescent="0.2">
      <c r="C128">
        <v>47</v>
      </c>
      <c r="D128">
        <v>0.54723999999999995</v>
      </c>
      <c r="E128">
        <v>1.1555500000000001</v>
      </c>
    </row>
    <row r="129" spans="3:5" x14ac:dyDescent="0.2">
      <c r="C129">
        <v>48</v>
      </c>
      <c r="D129">
        <v>0.54769000000000001</v>
      </c>
      <c r="E129">
        <v>1.1573100000000001</v>
      </c>
    </row>
    <row r="130" spans="3:5" x14ac:dyDescent="0.2">
      <c r="C130">
        <v>49</v>
      </c>
      <c r="D130">
        <v>0.54812000000000005</v>
      </c>
      <c r="E130">
        <v>1.1590100000000001</v>
      </c>
    </row>
    <row r="131" spans="3:5" x14ac:dyDescent="0.2">
      <c r="C131">
        <v>50</v>
      </c>
      <c r="D131">
        <v>0.54854000000000003</v>
      </c>
      <c r="E131">
        <v>1.16066</v>
      </c>
    </row>
  </sheetData>
  <mergeCells count="12">
    <mergeCell ref="K69:N69"/>
    <mergeCell ref="O69:Q69"/>
    <mergeCell ref="F69:G69"/>
    <mergeCell ref="D63:E63"/>
    <mergeCell ref="D64:E64"/>
    <mergeCell ref="D65:E65"/>
    <mergeCell ref="D66:E66"/>
    <mergeCell ref="C55:E55"/>
    <mergeCell ref="D56:E56"/>
    <mergeCell ref="D57:E57"/>
    <mergeCell ref="C2:E2"/>
    <mergeCell ref="H69:J6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4"/>
  <dimension ref="A1:W69"/>
  <sheetViews>
    <sheetView zoomScale="85" zoomScaleNormal="85" workbookViewId="0">
      <pane ySplit="3" topLeftCell="A46" activePane="bottomLeft" state="frozen"/>
      <selection activeCell="B53" sqref="B53"/>
      <selection pane="bottomLeft" activeCell="Q7" sqref="Q7"/>
    </sheetView>
  </sheetViews>
  <sheetFormatPr defaultColWidth="11.43359375" defaultRowHeight="15.75" x14ac:dyDescent="0.2"/>
  <cols>
    <col min="1" max="2" width="11.43359375" style="3"/>
    <col min="3" max="3" width="11.296875" style="3" bestFit="1" customWidth="1"/>
    <col min="4" max="4" width="20.17578125" style="3" bestFit="1" customWidth="1"/>
    <col min="5" max="5" width="17.890625" style="3" bestFit="1" customWidth="1"/>
    <col min="6" max="6" width="15.87109375" style="3" customWidth="1"/>
    <col min="7" max="7" width="21.25390625" style="3" bestFit="1" customWidth="1"/>
    <col min="8" max="8" width="14.796875" style="3" customWidth="1"/>
    <col min="9" max="9" width="19.50390625" style="3" bestFit="1" customWidth="1"/>
    <col min="10" max="11" width="11.56640625" style="3" bestFit="1" customWidth="1"/>
    <col min="12" max="12" width="13.5859375" style="3" bestFit="1" customWidth="1"/>
    <col min="13" max="13" width="13.44921875" style="3" customWidth="1"/>
    <col min="14" max="15" width="11.56640625" style="3" customWidth="1"/>
    <col min="16" max="16" width="13.5859375" style="3" bestFit="1" customWidth="1"/>
    <col min="17" max="20" width="11.56640625" style="3" bestFit="1" customWidth="1"/>
    <col min="21" max="21" width="12.5078125" style="3" bestFit="1" customWidth="1"/>
    <col min="22" max="22" width="11.43359375" style="3"/>
    <col min="23" max="23" width="7.80078125" style="3" bestFit="1" customWidth="1"/>
    <col min="24" max="16384" width="11.43359375" style="3"/>
  </cols>
  <sheetData>
    <row r="1" spans="1:23" ht="16.5" thickBot="1" x14ac:dyDescent="0.25">
      <c r="O1" s="26"/>
    </row>
    <row r="2" spans="1:23" s="83" customFormat="1" ht="15" customHeight="1" x14ac:dyDescent="0.2">
      <c r="A2" s="105"/>
      <c r="B2" s="106"/>
      <c r="C2" s="106"/>
      <c r="D2" s="106"/>
      <c r="E2" s="106"/>
      <c r="F2" s="427" t="s">
        <v>14</v>
      </c>
      <c r="G2" s="430"/>
      <c r="H2" s="427" t="s">
        <v>26</v>
      </c>
      <c r="I2" s="430"/>
      <c r="J2" s="427" t="s">
        <v>16</v>
      </c>
      <c r="K2" s="428"/>
      <c r="L2" s="430"/>
      <c r="M2" s="427" t="s">
        <v>29</v>
      </c>
      <c r="N2" s="428"/>
      <c r="O2" s="428"/>
      <c r="P2" s="430"/>
      <c r="Q2" s="427" t="s">
        <v>22</v>
      </c>
      <c r="R2" s="428"/>
      <c r="S2" s="428"/>
      <c r="T2" s="428"/>
      <c r="U2" s="429"/>
    </row>
    <row r="3" spans="1:23" s="83" customFormat="1" ht="18" x14ac:dyDescent="0.2">
      <c r="A3" s="4" t="s">
        <v>23</v>
      </c>
      <c r="B3" s="4" t="s">
        <v>34</v>
      </c>
      <c r="C3" s="4" t="s">
        <v>24</v>
      </c>
      <c r="D3" s="4" t="s">
        <v>133</v>
      </c>
      <c r="E3" s="4" t="str">
        <f>CUANTILES!E3</f>
        <v>LOG (PP_máx)</v>
      </c>
      <c r="F3" s="4" t="s">
        <v>44</v>
      </c>
      <c r="G3" s="107" t="s">
        <v>120</v>
      </c>
      <c r="H3" s="4" t="s">
        <v>45</v>
      </c>
      <c r="I3" s="107" t="s">
        <v>121</v>
      </c>
      <c r="J3" s="4" t="s">
        <v>30</v>
      </c>
      <c r="K3" s="4" t="s">
        <v>46</v>
      </c>
      <c r="L3" s="107" t="s">
        <v>122</v>
      </c>
      <c r="M3" s="4" t="s">
        <v>18</v>
      </c>
      <c r="N3" s="4" t="s">
        <v>19</v>
      </c>
      <c r="O3" s="4" t="s">
        <v>47</v>
      </c>
      <c r="P3" s="107" t="s">
        <v>123</v>
      </c>
      <c r="Q3" s="4" t="s">
        <v>18</v>
      </c>
      <c r="R3" s="4" t="s">
        <v>19</v>
      </c>
      <c r="S3" s="4" t="s">
        <v>31</v>
      </c>
      <c r="T3" s="4" t="s">
        <v>48</v>
      </c>
      <c r="U3" s="107" t="s">
        <v>124</v>
      </c>
    </row>
    <row r="4" spans="1:23" x14ac:dyDescent="0.2">
      <c r="A4" s="13">
        <f>IF(CUANTILES!B4=" "," ",CUANTILES!B4)</f>
        <v>1</v>
      </c>
      <c r="B4" s="14">
        <f t="shared" ref="B4:B49" si="0">IF(A4="", " ",($B$59+1)/A4)</f>
        <v>51</v>
      </c>
      <c r="C4" s="78">
        <f t="shared" ref="C4:C52" si="1">IF(A4=""," ",1-1/B4)</f>
        <v>0.98039215686274506</v>
      </c>
      <c r="D4" s="8">
        <f>IF(CUANTILES!G4=" "," ",CUANTILES!G4)</f>
        <v>373</v>
      </c>
      <c r="E4" s="14">
        <f>IF(D4=" "," ",LOG10(D4))</f>
        <v>2.5717088318086878</v>
      </c>
      <c r="F4" s="111">
        <f t="shared" ref="F4:F52" si="2">IF(C4=" ","",NORMINV(C4,$B$60,$B$61))</f>
        <v>243.53250874410824</v>
      </c>
      <c r="G4" s="111">
        <f>IF(A4="","",(D4-F4)^2)</f>
        <v>16761.831292094408</v>
      </c>
      <c r="H4" s="112">
        <f>IF(A4="","",10^(NORMINV(C4,$C$60,$C$61)))</f>
        <v>243.08758734190488</v>
      </c>
      <c r="I4" s="112">
        <f>IF(A4="","",(D4-H4)^2)</f>
        <v>16877.234962647195</v>
      </c>
      <c r="J4" s="111">
        <f>IF(A4="","",LN(LN(B4/(B4-1))))</f>
        <v>-3.9219406583581669</v>
      </c>
      <c r="K4" s="111">
        <f>IF(A4="","",$B$67-((1/$B$66)*J4))</f>
        <v>284.18584842569442</v>
      </c>
      <c r="L4" s="111">
        <f>IF(A4="","",(D4-K4)^2)</f>
        <v>7887.9535198637268</v>
      </c>
      <c r="M4" s="137">
        <f>IF(A4="","",IF($B$62&lt;0,GAMMAINV(1-C4,$B$69,1),GAMMAINV(C4,$B$69,1)))</f>
        <v>2.9805701634851811</v>
      </c>
      <c r="N4" s="26">
        <f>IF(A4="","",(M4*$B$62/2)-(2/$B$62))</f>
        <v>3.0926900770692143</v>
      </c>
      <c r="O4" s="14">
        <f>IF(A4="","",$B$60+N4*$B$61)</f>
        <v>293.15087345378743</v>
      </c>
      <c r="P4" s="112">
        <f>IF(A4="","",(D4-O4)^2)</f>
        <v>6375.8830101930698</v>
      </c>
      <c r="Q4" s="113">
        <f>IF(A4="","",IF($B$62&lt;0,GAMMAINV(1-C4,$C$69,1),GAMMAINV(C4,$C$69,1)))</f>
        <v>6.9002597875076415</v>
      </c>
      <c r="R4" s="113">
        <f>IF(A4="","",(Q4*$C$62/2)-(2/$C$62))</f>
        <v>2.6572524451927615</v>
      </c>
      <c r="S4" s="113">
        <f>IF(A4="","",$C$60+R4*$C$61)</f>
        <v>2.4563083221392445</v>
      </c>
      <c r="T4" s="113">
        <f>IF(A4="","",10^S4)</f>
        <v>285.96199756808619</v>
      </c>
      <c r="U4" s="111">
        <f>IF(A4="","",(D4-T4)^2)</f>
        <v>7575.6138673378346</v>
      </c>
    </row>
    <row r="5" spans="1:23" x14ac:dyDescent="0.2">
      <c r="A5" s="157">
        <f>IF(CUANTILES!B5=" "," ",CUANTILES!B5)</f>
        <v>2</v>
      </c>
      <c r="B5" s="14">
        <f t="shared" si="0"/>
        <v>25.5</v>
      </c>
      <c r="C5" s="78">
        <f t="shared" si="1"/>
        <v>0.96078431372549022</v>
      </c>
      <c r="D5" s="8">
        <f>IF(CUANTILES!G5=" "," ",CUANTILES!G5)</f>
        <v>257.60000000000002</v>
      </c>
      <c r="E5" s="14">
        <f t="shared" ref="E5:E53" si="3">IF(D5=" "," ",LOG10(D5))</f>
        <v>2.4109458586877746</v>
      </c>
      <c r="F5" s="111">
        <f t="shared" si="2"/>
        <v>228.99245944434273</v>
      </c>
      <c r="G5" s="111">
        <f t="shared" ref="G5:G53" si="4">IF(A5="","",(D5-F5)^2)</f>
        <v>818.3913766435769</v>
      </c>
      <c r="H5" s="112">
        <f t="shared" ref="H5:H53" si="5">IF(A5="","",10^(NORMINV(C5,$C$60,$C$61)))</f>
        <v>223.85670553397574</v>
      </c>
      <c r="I5" s="112">
        <f t="shared" ref="I5:I53" si="6">IF(A5="","",(D5-H5)^2)</f>
        <v>1138.6099214208248</v>
      </c>
      <c r="J5" s="111">
        <f t="shared" ref="J5:J53" si="7">IF(A5="","",LN(LN(B5/(B5-1))))</f>
        <v>-3.2187424684180872</v>
      </c>
      <c r="K5" s="111">
        <f t="shared" ref="K5:K53" si="8">IF(A5="","",$B$67-((1/$B$66)*J5))</f>
        <v>255.02152561464644</v>
      </c>
      <c r="L5" s="111">
        <f t="shared" ref="L5:L53" si="9">IF(A5="","",(D5-K5)^2)</f>
        <v>6.6485301559245595</v>
      </c>
      <c r="M5" s="137">
        <f t="shared" ref="M5:M53" si="10">IF(A5="","",IF($B$62&lt;0,GAMMAINV(1-C5,$B$69,1),GAMMAINV(C5,$B$69,1)))</f>
        <v>2.3612305633371946</v>
      </c>
      <c r="N5" s="26">
        <f t="shared" ref="N5:N53" si="11">IF(A5="","",(M5*$B$62/2)-(2/$B$62))</f>
        <v>2.2897702898298826</v>
      </c>
      <c r="O5" s="14">
        <f t="shared" ref="O5:O53" si="12">IF(A5="","",$B$60+N5*$B$61)</f>
        <v>254.50071035936634</v>
      </c>
      <c r="P5" s="112">
        <f t="shared" ref="P5:P53" si="13">IF(A5="","",(D5-O5)^2)</f>
        <v>9.6055962765392788</v>
      </c>
      <c r="Q5" s="113">
        <f t="shared" ref="Q5:Q53" si="14">IF(A5="","",IF($B$62&lt;0,GAMMAINV(1-C5,$C$69,1),GAMMAINV(C5,$C$69,1)))</f>
        <v>6.0188073753898195</v>
      </c>
      <c r="R5" s="113">
        <f t="shared" ref="R5:R53" si="15">IF(A5="","",(Q5*$C$62/2)-(2/$C$62))</f>
        <v>2.1114943155133803</v>
      </c>
      <c r="S5" s="113">
        <f t="shared" ref="S5:S53" si="16">IF(A5="","",$C$60+R5*$C$61)</f>
        <v>2.3916376068494651</v>
      </c>
      <c r="T5" s="113">
        <f t="shared" ref="T5:T53" si="17">IF(A5="","",10^S5)</f>
        <v>246.39824310432755</v>
      </c>
      <c r="U5" s="111">
        <f t="shared" ref="U5:U53" si="18">IF(A5="","",(D5-T5)^2)</f>
        <v>125.47935754974583</v>
      </c>
      <c r="W5" s="72"/>
    </row>
    <row r="6" spans="1:23" x14ac:dyDescent="0.2">
      <c r="A6" s="157">
        <f>IF(CUANTILES!B6=" "," ",CUANTILES!B6)</f>
        <v>3</v>
      </c>
      <c r="B6" s="14">
        <f t="shared" si="0"/>
        <v>17</v>
      </c>
      <c r="C6" s="78">
        <f t="shared" si="1"/>
        <v>0.94117647058823528</v>
      </c>
      <c r="D6" s="8">
        <f>IF(CUANTILES!G6=" "," ",CUANTILES!G6)</f>
        <v>228.6</v>
      </c>
      <c r="E6" s="14">
        <f t="shared" si="3"/>
        <v>2.3590762260592628</v>
      </c>
      <c r="F6" s="111">
        <f t="shared" si="2"/>
        <v>219.59926406328657</v>
      </c>
      <c r="G6" s="111">
        <f t="shared" si="4"/>
        <v>81.013247402444506</v>
      </c>
      <c r="H6" s="112">
        <f t="shared" si="5"/>
        <v>212.24977737749347</v>
      </c>
      <c r="I6" s="112">
        <f t="shared" si="6"/>
        <v>267.32977980552403</v>
      </c>
      <c r="J6" s="111">
        <f t="shared" si="7"/>
        <v>-2.803054167823372</v>
      </c>
      <c r="K6" s="111">
        <f t="shared" si="8"/>
        <v>237.7813393332323</v>
      </c>
      <c r="L6" s="111">
        <f t="shared" si="9"/>
        <v>84.29699195195856</v>
      </c>
      <c r="M6" s="137">
        <f t="shared" si="10"/>
        <v>2.0056412454968551</v>
      </c>
      <c r="N6" s="26">
        <f t="shared" si="11"/>
        <v>1.8287797454553198</v>
      </c>
      <c r="O6" s="14">
        <f t="shared" si="12"/>
        <v>232.31000089095974</v>
      </c>
      <c r="P6" s="112">
        <f t="shared" si="13"/>
        <v>13.764106610922122</v>
      </c>
      <c r="Q6" s="113">
        <f t="shared" si="14"/>
        <v>5.4885923268373791</v>
      </c>
      <c r="R6" s="113">
        <f t="shared" si="15"/>
        <v>1.783207536502146</v>
      </c>
      <c r="S6" s="113">
        <f t="shared" si="16"/>
        <v>2.3527365998570331</v>
      </c>
      <c r="T6" s="113">
        <f t="shared" si="17"/>
        <v>225.28724277890481</v>
      </c>
      <c r="U6" s="111">
        <f t="shared" si="18"/>
        <v>10.974360405918276</v>
      </c>
      <c r="W6" s="72"/>
    </row>
    <row r="7" spans="1:23" x14ac:dyDescent="0.2">
      <c r="A7" s="157">
        <f>IF(CUANTILES!B7=" "," ",CUANTILES!B7)</f>
        <v>4</v>
      </c>
      <c r="B7" s="14">
        <f t="shared" si="0"/>
        <v>12.75</v>
      </c>
      <c r="C7" s="78">
        <f t="shared" si="1"/>
        <v>0.92156862745098045</v>
      </c>
      <c r="D7" s="8">
        <f>IF(CUANTILES!G7=" "," ",CUANTILES!G7)</f>
        <v>198</v>
      </c>
      <c r="E7" s="14">
        <f t="shared" si="3"/>
        <v>2.2966651902615309</v>
      </c>
      <c r="F7" s="111">
        <f t="shared" si="2"/>
        <v>212.42567513282515</v>
      </c>
      <c r="G7" s="111">
        <f t="shared" si="4"/>
        <v>208.10010303780984</v>
      </c>
      <c r="H7" s="112">
        <f t="shared" si="5"/>
        <v>203.79254732599827</v>
      </c>
      <c r="I7" s="112">
        <f t="shared" si="6"/>
        <v>33.553604523929721</v>
      </c>
      <c r="J7" s="111">
        <f t="shared" si="7"/>
        <v>-2.5049702115099772</v>
      </c>
      <c r="K7" s="111">
        <f t="shared" si="8"/>
        <v>225.41865573835707</v>
      </c>
      <c r="L7" s="111">
        <f t="shared" si="9"/>
        <v>751.78268249854136</v>
      </c>
      <c r="M7" s="137">
        <f t="shared" si="10"/>
        <v>1.7571965283925706</v>
      </c>
      <c r="N7" s="26">
        <f t="shared" si="11"/>
        <v>1.5066928332823479</v>
      </c>
      <c r="O7" s="14">
        <f t="shared" si="12"/>
        <v>216.80569786603854</v>
      </c>
      <c r="P7" s="112">
        <f t="shared" si="13"/>
        <v>353.6542722287266</v>
      </c>
      <c r="Q7" s="113">
        <f t="shared" si="14"/>
        <v>5.1040654811062289</v>
      </c>
      <c r="R7" s="113">
        <f t="shared" si="15"/>
        <v>1.5451247435428217</v>
      </c>
      <c r="S7" s="113">
        <f t="shared" si="16"/>
        <v>2.3245244969463292</v>
      </c>
      <c r="T7" s="113">
        <f t="shared" si="17"/>
        <v>211.11762760997217</v>
      </c>
      <c r="U7" s="111">
        <f t="shared" si="18"/>
        <v>172.0721541139043</v>
      </c>
      <c r="W7" s="72"/>
    </row>
    <row r="8" spans="1:23" x14ac:dyDescent="0.2">
      <c r="A8" s="157">
        <f>IF(CUANTILES!B8=" "," ",CUANTILES!B8)</f>
        <v>5</v>
      </c>
      <c r="B8" s="14">
        <f t="shared" si="0"/>
        <v>10.199999999999999</v>
      </c>
      <c r="C8" s="78">
        <f t="shared" si="1"/>
        <v>0.90196078431372551</v>
      </c>
      <c r="D8" s="8">
        <f>IF(CUANTILES!G8=" "," ",CUANTILES!G8)</f>
        <v>188</v>
      </c>
      <c r="E8" s="14">
        <f t="shared" si="3"/>
        <v>2.27415784926368</v>
      </c>
      <c r="F8" s="111">
        <f t="shared" si="2"/>
        <v>206.5097867263917</v>
      </c>
      <c r="G8" s="111">
        <f t="shared" si="4"/>
        <v>342.61220465650621</v>
      </c>
      <c r="H8" s="112">
        <f t="shared" si="5"/>
        <v>197.07220910485336</v>
      </c>
      <c r="I8" s="112">
        <f t="shared" si="6"/>
        <v>82.304978042184146</v>
      </c>
      <c r="J8" s="111">
        <f t="shared" si="7"/>
        <v>-2.2712391872607083</v>
      </c>
      <c r="K8" s="111">
        <f t="shared" si="8"/>
        <v>215.72493476512278</v>
      </c>
      <c r="L8" s="111">
        <f t="shared" si="9"/>
        <v>768.67200773031391</v>
      </c>
      <c r="M8" s="137">
        <f>IF(A8="","",IF($B$62&lt;0,GAMMAINV(1-C8,$B$69,1),GAMMAINV(C8,$B$69,1)))</f>
        <v>1.5671382619208443</v>
      </c>
      <c r="N8" s="26">
        <f t="shared" si="11"/>
        <v>1.2602988632502499</v>
      </c>
      <c r="O8" s="14">
        <f t="shared" si="12"/>
        <v>204.94502725040223</v>
      </c>
      <c r="P8" s="112">
        <f t="shared" si="13"/>
        <v>287.13394851687428</v>
      </c>
      <c r="Q8" s="113">
        <f t="shared" si="14"/>
        <v>4.8000765349657994</v>
      </c>
      <c r="R8" s="113">
        <f t="shared" si="15"/>
        <v>1.3569076187065565</v>
      </c>
      <c r="S8" s="113">
        <f t="shared" si="16"/>
        <v>2.3022213274083914</v>
      </c>
      <c r="T8" s="113">
        <f t="shared" si="17"/>
        <v>200.5493817148222</v>
      </c>
      <c r="U8" s="111">
        <f t="shared" si="18"/>
        <v>157.48698142431388</v>
      </c>
      <c r="W8" s="72"/>
    </row>
    <row r="9" spans="1:23" x14ac:dyDescent="0.2">
      <c r="A9" s="157">
        <f>IF(CUANTILES!B9=" "," ",CUANTILES!B9)</f>
        <v>6</v>
      </c>
      <c r="B9" s="14">
        <f t="shared" si="0"/>
        <v>8.5</v>
      </c>
      <c r="C9" s="78">
        <f t="shared" si="1"/>
        <v>0.88235294117647056</v>
      </c>
      <c r="D9" s="8">
        <f>IF(CUANTILES!G9=" "," ",CUANTILES!G9)</f>
        <v>187</v>
      </c>
      <c r="E9" s="14">
        <f t="shared" si="3"/>
        <v>2.271841606536499</v>
      </c>
      <c r="F9" s="111">
        <f t="shared" si="2"/>
        <v>201.40852433209585</v>
      </c>
      <c r="G9" s="111">
        <f t="shared" si="4"/>
        <v>207.60557342859821</v>
      </c>
      <c r="H9" s="112">
        <f t="shared" si="5"/>
        <v>191.45548157532082</v>
      </c>
      <c r="I9" s="112">
        <f t="shared" si="6"/>
        <v>19.851316068023273</v>
      </c>
      <c r="J9" s="111">
        <f t="shared" si="7"/>
        <v>-2.0781372490074022</v>
      </c>
      <c r="K9" s="111">
        <f t="shared" si="8"/>
        <v>207.71625763366092</v>
      </c>
      <c r="L9" s="111">
        <f t="shared" si="9"/>
        <v>429.16333034421422</v>
      </c>
      <c r="M9" s="137">
        <f t="shared" si="10"/>
        <v>1.4138538578511546</v>
      </c>
      <c r="N9" s="26">
        <f t="shared" si="11"/>
        <v>1.0615789992639406</v>
      </c>
      <c r="O9" s="14">
        <f t="shared" si="12"/>
        <v>195.3792458669592</v>
      </c>
      <c r="P9" s="112">
        <f t="shared" si="13"/>
        <v>70.211761298952752</v>
      </c>
      <c r="Q9" s="113">
        <f t="shared" si="14"/>
        <v>4.5473648922597079</v>
      </c>
      <c r="R9" s="113">
        <f t="shared" si="15"/>
        <v>1.2004392358699738</v>
      </c>
      <c r="S9" s="113">
        <f t="shared" si="16"/>
        <v>2.2836802893770911</v>
      </c>
      <c r="T9" s="113">
        <f t="shared" si="17"/>
        <v>192.16765449100492</v>
      </c>
      <c r="U9" s="111">
        <f t="shared" si="18"/>
        <v>26.704652938403363</v>
      </c>
      <c r="W9" s="72"/>
    </row>
    <row r="10" spans="1:23" x14ac:dyDescent="0.2">
      <c r="A10" s="157">
        <f>IF(CUANTILES!B10=" "," ",CUANTILES!B10)</f>
        <v>7</v>
      </c>
      <c r="B10" s="14">
        <f t="shared" si="0"/>
        <v>7.2857142857142856</v>
      </c>
      <c r="C10" s="78">
        <f t="shared" si="1"/>
        <v>0.86274509803921573</v>
      </c>
      <c r="D10" s="8">
        <f>IF(CUANTILES!G10=" "," ",CUANTILES!G10)</f>
        <v>185</v>
      </c>
      <c r="E10" s="14">
        <f t="shared" si="3"/>
        <v>2.2671717284030137</v>
      </c>
      <c r="F10" s="111">
        <f t="shared" si="2"/>
        <v>196.87904268270756</v>
      </c>
      <c r="G10" s="111">
        <f t="shared" si="4"/>
        <v>141.11165505758811</v>
      </c>
      <c r="H10" s="112">
        <f t="shared" si="5"/>
        <v>186.60262806068005</v>
      </c>
      <c r="I10" s="112">
        <f t="shared" si="6"/>
        <v>2.5684167008790881</v>
      </c>
      <c r="J10" s="111">
        <f t="shared" si="7"/>
        <v>-1.9130055022031252</v>
      </c>
      <c r="K10" s="111">
        <f t="shared" si="8"/>
        <v>200.86761149228994</v>
      </c>
      <c r="L10" s="111">
        <f t="shared" si="9"/>
        <v>251.78109447025173</v>
      </c>
      <c r="M10" s="137">
        <f t="shared" si="10"/>
        <v>1.2858611926263575</v>
      </c>
      <c r="N10" s="26">
        <f t="shared" si="11"/>
        <v>0.89564766933455542</v>
      </c>
      <c r="O10" s="14">
        <f t="shared" si="12"/>
        <v>187.39180669038143</v>
      </c>
      <c r="P10" s="112">
        <f t="shared" si="13"/>
        <v>5.720739244153366</v>
      </c>
      <c r="Q10" s="113">
        <f t="shared" si="14"/>
        <v>4.3302152779975067</v>
      </c>
      <c r="R10" s="113">
        <f t="shared" si="15"/>
        <v>1.0659893600614805</v>
      </c>
      <c r="S10" s="113">
        <f t="shared" si="16"/>
        <v>2.2677483789458797</v>
      </c>
      <c r="T10" s="113">
        <f t="shared" si="17"/>
        <v>185.24580373599869</v>
      </c>
      <c r="U10" s="111">
        <f t="shared" si="18"/>
        <v>6.0419476630914556E-2</v>
      </c>
      <c r="W10" s="72"/>
    </row>
    <row r="11" spans="1:23" x14ac:dyDescent="0.2">
      <c r="A11" s="157">
        <f>IF(CUANTILES!B11=" "," ",CUANTILES!B11)</f>
        <v>8</v>
      </c>
      <c r="B11" s="14">
        <f t="shared" si="0"/>
        <v>6.375</v>
      </c>
      <c r="C11" s="78">
        <f t="shared" si="1"/>
        <v>0.84313725490196079</v>
      </c>
      <c r="D11" s="8">
        <f>IF(CUANTILES!G11=" "," ",CUANTILES!G11)</f>
        <v>183</v>
      </c>
      <c r="E11" s="14">
        <f t="shared" si="3"/>
        <v>2.2624510897304293</v>
      </c>
      <c r="F11" s="111">
        <f t="shared" si="2"/>
        <v>192.77294422196152</v>
      </c>
      <c r="G11" s="111">
        <f t="shared" si="4"/>
        <v>95.510438765571138</v>
      </c>
      <c r="H11" s="112">
        <f t="shared" si="5"/>
        <v>182.30976559354474</v>
      </c>
      <c r="I11" s="112">
        <f t="shared" si="6"/>
        <v>0.47642353585464614</v>
      </c>
      <c r="J11" s="111">
        <f t="shared" si="7"/>
        <v>-1.7682840828305753</v>
      </c>
      <c r="K11" s="111">
        <f t="shared" si="8"/>
        <v>194.86545981921222</v>
      </c>
      <c r="L11" s="111">
        <f t="shared" si="9"/>
        <v>140.78913672133967</v>
      </c>
      <c r="M11" s="137">
        <f t="shared" si="10"/>
        <v>1.1763308316468304</v>
      </c>
      <c r="N11" s="26">
        <f t="shared" si="11"/>
        <v>0.75365110700765836</v>
      </c>
      <c r="O11" s="14">
        <f t="shared" si="12"/>
        <v>180.55651581823631</v>
      </c>
      <c r="P11" s="112">
        <f t="shared" si="13"/>
        <v>5.9706149465293876</v>
      </c>
      <c r="Q11" s="113">
        <f t="shared" si="14"/>
        <v>4.1391908791490684</v>
      </c>
      <c r="R11" s="113">
        <f t="shared" si="15"/>
        <v>0.94771511495712102</v>
      </c>
      <c r="S11" s="113">
        <f t="shared" si="16"/>
        <v>2.2537332326470034</v>
      </c>
      <c r="T11" s="113">
        <f t="shared" si="17"/>
        <v>179.3631542086477</v>
      </c>
      <c r="U11" s="111">
        <f t="shared" si="18"/>
        <v>13.226647310076938</v>
      </c>
      <c r="W11" s="72"/>
    </row>
    <row r="12" spans="1:23" x14ac:dyDescent="0.2">
      <c r="A12" s="157">
        <f>IF(CUANTILES!B12=" "," ",CUANTILES!B12)</f>
        <v>9</v>
      </c>
      <c r="B12" s="14">
        <f t="shared" si="0"/>
        <v>5.666666666666667</v>
      </c>
      <c r="C12" s="78">
        <f t="shared" si="1"/>
        <v>0.82352941176470584</v>
      </c>
      <c r="D12" s="8">
        <f>IF(CUANTILES!G12=" "," ",CUANTILES!G12)</f>
        <v>182</v>
      </c>
      <c r="E12" s="14">
        <f t="shared" si="3"/>
        <v>2.2600713879850747</v>
      </c>
      <c r="F12" s="111">
        <f t="shared" si="2"/>
        <v>188.99245021168753</v>
      </c>
      <c r="G12" s="111">
        <f t="shared" si="4"/>
        <v>48.894359962928924</v>
      </c>
      <c r="H12" s="112">
        <f t="shared" si="5"/>
        <v>178.44469333272983</v>
      </c>
      <c r="I12" s="112">
        <f t="shared" si="6"/>
        <v>12.640205498335746</v>
      </c>
      <c r="J12" s="111">
        <f t="shared" si="7"/>
        <v>-1.6390932449636124</v>
      </c>
      <c r="K12" s="111">
        <f t="shared" si="8"/>
        <v>189.5074208571055</v>
      </c>
      <c r="L12" s="111">
        <f t="shared" si="9"/>
        <v>56.361367925702694</v>
      </c>
      <c r="M12" s="137">
        <f t="shared" si="10"/>
        <v>1.080871869812118</v>
      </c>
      <c r="N12" s="26">
        <f t="shared" si="11"/>
        <v>0.62989688669282495</v>
      </c>
      <c r="O12" s="14">
        <f t="shared" si="12"/>
        <v>174.59935686561292</v>
      </c>
      <c r="P12" s="112">
        <f t="shared" si="13"/>
        <v>54.76951880255065</v>
      </c>
      <c r="Q12" s="113">
        <f t="shared" si="14"/>
        <v>3.9681714800335808</v>
      </c>
      <c r="R12" s="113">
        <f t="shared" si="15"/>
        <v>0.84182712132634951</v>
      </c>
      <c r="S12" s="113">
        <f t="shared" si="16"/>
        <v>2.2411858203112045</v>
      </c>
      <c r="T12" s="113">
        <f t="shared" si="17"/>
        <v>174.25522946691802</v>
      </c>
      <c r="U12" s="111">
        <f t="shared" si="18"/>
        <v>59.981470610094874</v>
      </c>
      <c r="W12" s="72"/>
    </row>
    <row r="13" spans="1:23" x14ac:dyDescent="0.2">
      <c r="A13" s="157">
        <f>IF(CUANTILES!B13=" "," ",CUANTILES!B13)</f>
        <v>10</v>
      </c>
      <c r="B13" s="14">
        <f t="shared" si="0"/>
        <v>5.0999999999999996</v>
      </c>
      <c r="C13" s="78">
        <f t="shared" si="1"/>
        <v>0.80392156862745101</v>
      </c>
      <c r="D13" s="8">
        <f>IF(CUANTILES!G13=" "," ",CUANTILES!G13)</f>
        <v>177.5</v>
      </c>
      <c r="E13" s="14">
        <f t="shared" si="3"/>
        <v>2.249198357391113</v>
      </c>
      <c r="F13" s="111">
        <f t="shared" si="2"/>
        <v>185.46944344176373</v>
      </c>
      <c r="G13" s="111">
        <f t="shared" si="4"/>
        <v>63.512028771470924</v>
      </c>
      <c r="H13" s="112">
        <f t="shared" si="5"/>
        <v>174.91666490652429</v>
      </c>
      <c r="I13" s="112">
        <f t="shared" si="6"/>
        <v>6.673620205183159</v>
      </c>
      <c r="J13" s="111">
        <f t="shared" si="7"/>
        <v>-1.5220977452434774</v>
      </c>
      <c r="K13" s="111">
        <f t="shared" si="8"/>
        <v>184.65516928693486</v>
      </c>
      <c r="L13" s="111">
        <f t="shared" si="9"/>
        <v>51.196447524695976</v>
      </c>
      <c r="M13" s="137">
        <f t="shared" si="10"/>
        <v>0.99649523811080576</v>
      </c>
      <c r="N13" s="26">
        <f t="shared" si="11"/>
        <v>0.52050994105362913</v>
      </c>
      <c r="O13" s="14">
        <f t="shared" si="12"/>
        <v>169.33379565196796</v>
      </c>
      <c r="P13" s="112">
        <f t="shared" si="13"/>
        <v>66.686893453817376</v>
      </c>
      <c r="Q13" s="113">
        <f t="shared" si="14"/>
        <v>3.8129566798216064</v>
      </c>
      <c r="R13" s="113">
        <f t="shared" si="15"/>
        <v>0.74572466826400174</v>
      </c>
      <c r="S13" s="113">
        <f t="shared" si="16"/>
        <v>2.2297979654306999</v>
      </c>
      <c r="T13" s="113">
        <f t="shared" si="17"/>
        <v>169.7453810211199</v>
      </c>
      <c r="U13" s="111">
        <f t="shared" si="18"/>
        <v>60.13411550760749</v>
      </c>
      <c r="W13" s="72"/>
    </row>
    <row r="14" spans="1:23" x14ac:dyDescent="0.2">
      <c r="A14" s="157">
        <f>IF(CUANTILES!B14=" "," ",CUANTILES!B14)</f>
        <v>11</v>
      </c>
      <c r="B14" s="14">
        <f t="shared" si="0"/>
        <v>4.6363636363636367</v>
      </c>
      <c r="C14" s="78">
        <f t="shared" si="1"/>
        <v>0.78431372549019607</v>
      </c>
      <c r="D14" s="8">
        <f>IF(CUANTILES!G14=" "," ",CUANTILES!G14)</f>
        <v>169</v>
      </c>
      <c r="E14" s="14">
        <f t="shared" si="3"/>
        <v>2.2278867046136734</v>
      </c>
      <c r="F14" s="111">
        <f t="shared" si="2"/>
        <v>182.15437558235553</v>
      </c>
      <c r="G14" s="111">
        <f t="shared" si="4"/>
        <v>173.03759696167131</v>
      </c>
      <c r="H14" s="112">
        <f t="shared" si="5"/>
        <v>171.66059528354933</v>
      </c>
      <c r="I14" s="112">
        <f t="shared" si="6"/>
        <v>7.0787672628449236</v>
      </c>
      <c r="J14" s="111">
        <f t="shared" si="7"/>
        <v>-1.4149153473735445</v>
      </c>
      <c r="K14" s="111">
        <f t="shared" si="8"/>
        <v>180.20990464339638</v>
      </c>
      <c r="L14" s="111">
        <f t="shared" si="9"/>
        <v>125.66196211403984</v>
      </c>
      <c r="M14" s="137">
        <f t="shared" si="10"/>
        <v>0.92107504696297926</v>
      </c>
      <c r="N14" s="26">
        <f t="shared" si="11"/>
        <v>0.42273423962021028</v>
      </c>
      <c r="O14" s="14">
        <f t="shared" si="12"/>
        <v>164.62716509293477</v>
      </c>
      <c r="P14" s="112">
        <f t="shared" si="13"/>
        <v>19.121685124448142</v>
      </c>
      <c r="Q14" s="113">
        <f t="shared" si="14"/>
        <v>3.6705354730121686</v>
      </c>
      <c r="R14" s="113">
        <f t="shared" si="15"/>
        <v>0.65754346825089249</v>
      </c>
      <c r="S14" s="113">
        <f t="shared" si="16"/>
        <v>2.2193487554788311</v>
      </c>
      <c r="T14" s="113">
        <f t="shared" si="17"/>
        <v>165.71001456238699</v>
      </c>
      <c r="U14" s="111">
        <f t="shared" si="18"/>
        <v>10.824004179705684</v>
      </c>
      <c r="W14" s="72"/>
    </row>
    <row r="15" spans="1:23" x14ac:dyDescent="0.2">
      <c r="A15" s="157">
        <f>IF(CUANTILES!B15=" "," ",CUANTILES!B15)</f>
        <v>12</v>
      </c>
      <c r="B15" s="14">
        <f t="shared" si="0"/>
        <v>4.25</v>
      </c>
      <c r="C15" s="78">
        <f t="shared" si="1"/>
        <v>0.76470588235294112</v>
      </c>
      <c r="D15" s="8">
        <f>IF(CUANTILES!G15=" "," ",CUANTILES!G15)</f>
        <v>165</v>
      </c>
      <c r="E15" s="14">
        <f t="shared" si="3"/>
        <v>2.2174839442139063</v>
      </c>
      <c r="F15" s="111">
        <f t="shared" si="2"/>
        <v>179.00993013222421</v>
      </c>
      <c r="G15" s="111">
        <f t="shared" si="4"/>
        <v>196.27814230980394</v>
      </c>
      <c r="H15" s="112">
        <f t="shared" si="5"/>
        <v>168.62814201184707</v>
      </c>
      <c r="I15" s="112">
        <f t="shared" si="6"/>
        <v>13.16341445812974</v>
      </c>
      <c r="J15" s="111">
        <f t="shared" si="7"/>
        <v>-1.3157837586826602</v>
      </c>
      <c r="K15" s="111">
        <f t="shared" si="8"/>
        <v>176.0985378982696</v>
      </c>
      <c r="L15" s="111">
        <f t="shared" si="9"/>
        <v>123.17754347932654</v>
      </c>
      <c r="M15" s="137">
        <f t="shared" si="10"/>
        <v>0.85304596330132165</v>
      </c>
      <c r="N15" s="26">
        <f t="shared" si="11"/>
        <v>0.33454046456262754</v>
      </c>
      <c r="O15" s="14">
        <f t="shared" si="12"/>
        <v>160.38177988252869</v>
      </c>
      <c r="P15" s="112">
        <f t="shared" si="13"/>
        <v>21.327957053416721</v>
      </c>
      <c r="Q15" s="113">
        <f t="shared" si="14"/>
        <v>3.5386734914999858</v>
      </c>
      <c r="R15" s="113">
        <f t="shared" si="15"/>
        <v>0.57590009486332661</v>
      </c>
      <c r="S15" s="113">
        <f t="shared" si="16"/>
        <v>2.2096742585386826</v>
      </c>
      <c r="T15" s="113">
        <f t="shared" si="17"/>
        <v>162.0594118936348</v>
      </c>
      <c r="U15" s="111">
        <f t="shared" si="18"/>
        <v>8.6470584112964577</v>
      </c>
      <c r="W15" s="72"/>
    </row>
    <row r="16" spans="1:23" x14ac:dyDescent="0.2">
      <c r="A16" s="157">
        <f>IF(CUANTILES!B16=" "," ",CUANTILES!B16)</f>
        <v>13</v>
      </c>
      <c r="B16" s="14">
        <f t="shared" si="0"/>
        <v>3.9230769230769229</v>
      </c>
      <c r="C16" s="78">
        <f t="shared" si="1"/>
        <v>0.74509803921568629</v>
      </c>
      <c r="D16" s="8">
        <f>IF(CUANTILES!G16=" "," ",CUANTILES!G16)</f>
        <v>165</v>
      </c>
      <c r="E16" s="14">
        <f t="shared" si="3"/>
        <v>2.2174839442139063</v>
      </c>
      <c r="F16" s="111">
        <f t="shared" si="2"/>
        <v>176.00717929270522</v>
      </c>
      <c r="G16" s="111">
        <f t="shared" si="4"/>
        <v>121.15799598175853</v>
      </c>
      <c r="H16" s="112">
        <f t="shared" si="5"/>
        <v>165.78235308118141</v>
      </c>
      <c r="I16" s="112">
        <f t="shared" si="6"/>
        <v>0.61207634363404961</v>
      </c>
      <c r="J16" s="111">
        <f t="shared" si="7"/>
        <v>-1.2233613091896525</v>
      </c>
      <c r="K16" s="111">
        <f t="shared" si="8"/>
        <v>172.26542485764654</v>
      </c>
      <c r="L16" s="111">
        <f t="shared" si="9"/>
        <v>52.786398362108194</v>
      </c>
      <c r="M16" s="137">
        <f t="shared" si="10"/>
        <v>0.7912225006025625</v>
      </c>
      <c r="N16" s="26">
        <f t="shared" si="11"/>
        <v>0.25439173597394116</v>
      </c>
      <c r="O16" s="14">
        <f t="shared" si="12"/>
        <v>156.52365920721911</v>
      </c>
      <c r="P16" s="112">
        <f t="shared" si="13"/>
        <v>71.848353235361344</v>
      </c>
      <c r="Q16" s="113">
        <f t="shared" si="14"/>
        <v>3.4156651913910698</v>
      </c>
      <c r="R16" s="113">
        <f t="shared" si="15"/>
        <v>0.49973854730889244</v>
      </c>
      <c r="S16" s="113">
        <f t="shared" si="16"/>
        <v>2.2006493416568849</v>
      </c>
      <c r="T16" s="113">
        <f t="shared" si="17"/>
        <v>158.72646407818283</v>
      </c>
      <c r="U16" s="111">
        <f t="shared" si="18"/>
        <v>39.357252962330421</v>
      </c>
      <c r="W16" s="72"/>
    </row>
    <row r="17" spans="1:23" x14ac:dyDescent="0.2">
      <c r="A17" s="157">
        <f>IF(CUANTILES!B17=" "," ",CUANTILES!B17)</f>
        <v>14</v>
      </c>
      <c r="B17" s="14">
        <f t="shared" si="0"/>
        <v>3.6428571428571428</v>
      </c>
      <c r="C17" s="78">
        <f t="shared" si="1"/>
        <v>0.72549019607843135</v>
      </c>
      <c r="D17" s="8">
        <f>IF(CUANTILES!G17=" "," ",CUANTILES!G17)</f>
        <v>161</v>
      </c>
      <c r="E17" s="14">
        <f t="shared" si="3"/>
        <v>2.2068258760318495</v>
      </c>
      <c r="F17" s="111">
        <f t="shared" si="2"/>
        <v>173.12313808374307</v>
      </c>
      <c r="G17" s="111">
        <f t="shared" si="4"/>
        <v>146.97047699750163</v>
      </c>
      <c r="H17" s="112">
        <f t="shared" si="5"/>
        <v>163.09429406016847</v>
      </c>
      <c r="I17" s="112">
        <f t="shared" si="6"/>
        <v>4.3860676104569158</v>
      </c>
      <c r="J17" s="111">
        <f t="shared" si="7"/>
        <v>-1.1366016735673559</v>
      </c>
      <c r="K17" s="111">
        <f t="shared" si="8"/>
        <v>168.66717040185341</v>
      </c>
      <c r="L17" s="111">
        <f t="shared" si="9"/>
        <v>58.785501971057002</v>
      </c>
      <c r="M17" s="137">
        <f t="shared" si="10"/>
        <v>0.73468568365898856</v>
      </c>
      <c r="N17" s="26">
        <f t="shared" si="11"/>
        <v>0.18109668262893186</v>
      </c>
      <c r="O17" s="14">
        <f t="shared" si="12"/>
        <v>152.995454010609</v>
      </c>
      <c r="P17" s="112">
        <f t="shared" si="13"/>
        <v>64.072756496275616</v>
      </c>
      <c r="Q17" s="113">
        <f t="shared" si="14"/>
        <v>3.3001776380653958</v>
      </c>
      <c r="R17" s="113">
        <f t="shared" si="15"/>
        <v>0.42823352873071108</v>
      </c>
      <c r="S17" s="113">
        <f t="shared" si="16"/>
        <v>2.1921762096103197</v>
      </c>
      <c r="T17" s="113">
        <f t="shared" si="17"/>
        <v>155.65970734915035</v>
      </c>
      <c r="U17" s="111">
        <f t="shared" si="18"/>
        <v>28.51872559671876</v>
      </c>
      <c r="W17" s="72"/>
    </row>
    <row r="18" spans="1:23" x14ac:dyDescent="0.2">
      <c r="A18" s="157">
        <f>IF(CUANTILES!B18=" "," ",CUANTILES!B18)</f>
        <v>15</v>
      </c>
      <c r="B18" s="14">
        <f t="shared" si="0"/>
        <v>3.4</v>
      </c>
      <c r="C18" s="78">
        <f t="shared" si="1"/>
        <v>0.70588235294117641</v>
      </c>
      <c r="D18" s="8">
        <f>IF(CUANTILES!G18=" "," ",CUANTILES!G18)</f>
        <v>161</v>
      </c>
      <c r="E18" s="14">
        <f t="shared" si="3"/>
        <v>2.2068258760318495</v>
      </c>
      <c r="F18" s="111">
        <f t="shared" si="2"/>
        <v>170.33914417817925</v>
      </c>
      <c r="G18" s="111">
        <f t="shared" si="4"/>
        <v>87.219613980819446</v>
      </c>
      <c r="H18" s="112">
        <f t="shared" si="5"/>
        <v>160.54083500629068</v>
      </c>
      <c r="I18" s="112">
        <f t="shared" si="6"/>
        <v>0.21083249144808197</v>
      </c>
      <c r="J18" s="111">
        <f t="shared" si="7"/>
        <v>-1.0546718819607837</v>
      </c>
      <c r="K18" s="111">
        <f t="shared" si="8"/>
        <v>165.26922807998884</v>
      </c>
      <c r="L18" s="111">
        <f t="shared" si="9"/>
        <v>18.226308398965156</v>
      </c>
      <c r="M18" s="137">
        <f t="shared" si="10"/>
        <v>0.68270904141730437</v>
      </c>
      <c r="N18" s="26">
        <f t="shared" si="11"/>
        <v>0.1137134981528608</v>
      </c>
      <c r="O18" s="14">
        <f t="shared" si="12"/>
        <v>149.75182854364149</v>
      </c>
      <c r="P18" s="112">
        <f t="shared" si="13"/>
        <v>126.52136111163823</v>
      </c>
      <c r="Q18" s="113">
        <f t="shared" si="14"/>
        <v>3.1911479975562136</v>
      </c>
      <c r="R18" s="113">
        <f t="shared" si="15"/>
        <v>0.36072697719613656</v>
      </c>
      <c r="S18" s="113">
        <f t="shared" si="16"/>
        <v>2.184176884017035</v>
      </c>
      <c r="T18" s="113">
        <f t="shared" si="17"/>
        <v>152.81883481007318</v>
      </c>
      <c r="U18" s="111">
        <f t="shared" si="18"/>
        <v>66.931463864870267</v>
      </c>
      <c r="W18" s="72"/>
    </row>
    <row r="19" spans="1:23" x14ac:dyDescent="0.2">
      <c r="A19" s="157">
        <f>IF(CUANTILES!B19=" "," ",CUANTILES!B19)</f>
        <v>16</v>
      </c>
      <c r="B19" s="14">
        <f t="shared" si="0"/>
        <v>3.1875</v>
      </c>
      <c r="C19" s="78">
        <f t="shared" si="1"/>
        <v>0.68627450980392157</v>
      </c>
      <c r="D19" s="8">
        <f>IF(CUANTILES!G19=" "," ",CUANTILES!G19)</f>
        <v>156</v>
      </c>
      <c r="E19" s="14">
        <f t="shared" si="3"/>
        <v>2.1931245983544616</v>
      </c>
      <c r="F19" s="111">
        <f t="shared" si="2"/>
        <v>167.63974761798136</v>
      </c>
      <c r="G19" s="111">
        <f t="shared" si="4"/>
        <v>135.48372461030266</v>
      </c>
      <c r="H19" s="112">
        <f t="shared" si="5"/>
        <v>158.10314816200039</v>
      </c>
      <c r="I19" s="112">
        <f t="shared" si="6"/>
        <v>4.4232321913256376</v>
      </c>
      <c r="J19" s="111">
        <f t="shared" si="7"/>
        <v>-0.97689680526987777</v>
      </c>
      <c r="K19" s="111">
        <f t="shared" si="8"/>
        <v>162.04359770192875</v>
      </c>
      <c r="L19" s="111">
        <f t="shared" si="9"/>
        <v>36.525073182758426</v>
      </c>
      <c r="M19" s="137">
        <f t="shared" si="10"/>
        <v>0.63470861887373875</v>
      </c>
      <c r="N19" s="26">
        <f t="shared" si="11"/>
        <v>5.1485135802271875E-2</v>
      </c>
      <c r="O19" s="14">
        <f t="shared" si="12"/>
        <v>146.75634083469046</v>
      </c>
      <c r="P19" s="112">
        <f t="shared" si="13"/>
        <v>85.445234764411012</v>
      </c>
      <c r="Q19" s="113">
        <f t="shared" si="14"/>
        <v>3.0877139628376886</v>
      </c>
      <c r="R19" s="113">
        <f t="shared" si="15"/>
        <v>0.29668498859059755</v>
      </c>
      <c r="S19" s="113">
        <f t="shared" si="16"/>
        <v>2.1765880988272786</v>
      </c>
      <c r="T19" s="113">
        <f t="shared" si="17"/>
        <v>150.17170057311532</v>
      </c>
      <c r="U19" s="111">
        <f t="shared" si="18"/>
        <v>33.969074209424328</v>
      </c>
      <c r="W19" s="72"/>
    </row>
    <row r="20" spans="1:23" x14ac:dyDescent="0.2">
      <c r="A20" s="157">
        <f>IF(CUANTILES!B20=" "," ",CUANTILES!B20)</f>
        <v>17</v>
      </c>
      <c r="B20" s="14">
        <f t="shared" si="0"/>
        <v>3</v>
      </c>
      <c r="C20" s="78">
        <f t="shared" si="1"/>
        <v>0.66666666666666674</v>
      </c>
      <c r="D20" s="8">
        <f>IF(CUANTILES!G20=" "," ",CUANTILES!G20)</f>
        <v>147</v>
      </c>
      <c r="E20" s="14">
        <f t="shared" si="3"/>
        <v>2.167317334748176</v>
      </c>
      <c r="F20" s="111">
        <f t="shared" si="2"/>
        <v>165.01192713888454</v>
      </c>
      <c r="G20" s="111">
        <f t="shared" si="4"/>
        <v>324.42951925648561</v>
      </c>
      <c r="H20" s="112">
        <f t="shared" si="5"/>
        <v>155.76565799394066</v>
      </c>
      <c r="I20" s="112">
        <f t="shared" si="6"/>
        <v>76.836760066735863</v>
      </c>
      <c r="J20" s="111">
        <f t="shared" si="7"/>
        <v>-0.90272045571787995</v>
      </c>
      <c r="K20" s="111">
        <f t="shared" si="8"/>
        <v>158.96722032464351</v>
      </c>
      <c r="L20" s="111">
        <f t="shared" si="9"/>
        <v>143.21436229856062</v>
      </c>
      <c r="M20" s="137">
        <f t="shared" si="10"/>
        <v>0.59020822769866288</v>
      </c>
      <c r="N20" s="26">
        <f t="shared" si="11"/>
        <v>-6.2057410701603644E-3</v>
      </c>
      <c r="O20" s="14">
        <f t="shared" si="12"/>
        <v>143.9792741393407</v>
      </c>
      <c r="P20" s="112">
        <f t="shared" si="13"/>
        <v>9.1247847252558518</v>
      </c>
      <c r="Q20" s="113">
        <f t="shared" si="14"/>
        <v>2.9891651536844042</v>
      </c>
      <c r="R20" s="113">
        <f t="shared" si="15"/>
        <v>0.23566772546189041</v>
      </c>
      <c r="S20" s="113">
        <f t="shared" si="16"/>
        <v>2.1693577346110344</v>
      </c>
      <c r="T20" s="113">
        <f t="shared" si="17"/>
        <v>147.69225947467783</v>
      </c>
      <c r="U20" s="111">
        <f t="shared" si="18"/>
        <v>0.47922318028121946</v>
      </c>
      <c r="W20" s="72"/>
    </row>
    <row r="21" spans="1:23" x14ac:dyDescent="0.2">
      <c r="A21" s="157">
        <f>IF(CUANTILES!B21=" "," ",CUANTILES!B21)</f>
        <v>18</v>
      </c>
      <c r="B21" s="14">
        <f t="shared" si="0"/>
        <v>2.8333333333333335</v>
      </c>
      <c r="C21" s="78">
        <f t="shared" si="1"/>
        <v>0.6470588235294118</v>
      </c>
      <c r="D21" s="8">
        <f>IF(CUANTILES!G21=" "," ",CUANTILES!G21)</f>
        <v>143</v>
      </c>
      <c r="E21" s="14">
        <f t="shared" si="3"/>
        <v>2.1553360374650619</v>
      </c>
      <c r="F21" s="111">
        <f t="shared" si="2"/>
        <v>162.44452224955864</v>
      </c>
      <c r="G21" s="111">
        <f t="shared" si="4"/>
        <v>378.08944551358121</v>
      </c>
      <c r="H21" s="112">
        <f t="shared" si="5"/>
        <v>153.51528846284302</v>
      </c>
      <c r="I21" s="112">
        <f t="shared" si="6"/>
        <v>110.57129145679946</v>
      </c>
      <c r="J21" s="111">
        <f t="shared" si="7"/>
        <v>-0.83167831679478721</v>
      </c>
      <c r="K21" s="111">
        <f t="shared" si="8"/>
        <v>156.02083066895204</v>
      </c>
      <c r="L21" s="111">
        <f t="shared" si="9"/>
        <v>169.54203130952214</v>
      </c>
      <c r="M21" s="137">
        <f t="shared" si="10"/>
        <v>0.54881468465288841</v>
      </c>
      <c r="N21" s="26">
        <f t="shared" si="11"/>
        <v>-5.9868860249773559E-2</v>
      </c>
      <c r="O21" s="14">
        <f t="shared" si="12"/>
        <v>141.39609168274848</v>
      </c>
      <c r="P21" s="112">
        <f t="shared" si="13"/>
        <v>2.5725218901486135</v>
      </c>
      <c r="Q21" s="113">
        <f t="shared" si="14"/>
        <v>2.8949083091354351</v>
      </c>
      <c r="R21" s="113">
        <f t="shared" si="15"/>
        <v>0.17730786566307288</v>
      </c>
      <c r="S21" s="113">
        <f t="shared" si="16"/>
        <v>2.1624422647863009</v>
      </c>
      <c r="T21" s="113">
        <f t="shared" si="17"/>
        <v>145.35911320049109</v>
      </c>
      <c r="U21" s="111">
        <f t="shared" si="18"/>
        <v>5.5654150927313353</v>
      </c>
      <c r="W21" s="72"/>
    </row>
    <row r="22" spans="1:23" x14ac:dyDescent="0.2">
      <c r="A22" s="157">
        <f>IF(CUANTILES!B22=" "," ",CUANTILES!B22)</f>
        <v>19</v>
      </c>
      <c r="B22" s="14">
        <f t="shared" si="0"/>
        <v>2.6842105263157894</v>
      </c>
      <c r="C22" s="78">
        <f t="shared" si="1"/>
        <v>0.62745098039215685</v>
      </c>
      <c r="D22" s="8">
        <f>IF(CUANTILES!G22=" "," ",CUANTILES!G22)</f>
        <v>141</v>
      </c>
      <c r="E22" s="14">
        <f t="shared" si="3"/>
        <v>2.1492191126553797</v>
      </c>
      <c r="F22" s="111">
        <f t="shared" si="2"/>
        <v>159.92781156258619</v>
      </c>
      <c r="G22" s="111">
        <f t="shared" si="4"/>
        <v>358.2620505487713</v>
      </c>
      <c r="H22" s="112">
        <f t="shared" si="5"/>
        <v>151.34091102219224</v>
      </c>
      <c r="I22" s="112">
        <f t="shared" si="6"/>
        <v>106.93444076889705</v>
      </c>
      <c r="J22" s="111">
        <f t="shared" si="7"/>
        <v>-0.76337710990626984</v>
      </c>
      <c r="K22" s="111">
        <f t="shared" si="8"/>
        <v>153.18811796494091</v>
      </c>
      <c r="L22" s="111">
        <f t="shared" si="9"/>
        <v>148.55021952731548</v>
      </c>
      <c r="M22" s="137">
        <f t="shared" si="10"/>
        <v>0.51019978298980129</v>
      </c>
      <c r="N22" s="26">
        <f t="shared" si="11"/>
        <v>-0.10992971316501632</v>
      </c>
      <c r="O22" s="14">
        <f t="shared" si="12"/>
        <v>138.98631157697656</v>
      </c>
      <c r="P22" s="112">
        <f t="shared" si="13"/>
        <v>4.0549410650186228</v>
      </c>
      <c r="Q22" s="113">
        <f t="shared" si="14"/>
        <v>2.8044418045899171</v>
      </c>
      <c r="R22" s="113">
        <f t="shared" si="15"/>
        <v>0.12129482441361095</v>
      </c>
      <c r="S22" s="113">
        <f t="shared" si="16"/>
        <v>2.1558048859802597</v>
      </c>
      <c r="T22" s="113">
        <f t="shared" si="17"/>
        <v>143.15446095529248</v>
      </c>
      <c r="U22" s="111">
        <f t="shared" si="18"/>
        <v>4.6417020078797782</v>
      </c>
      <c r="W22" s="72"/>
    </row>
    <row r="23" spans="1:23" x14ac:dyDescent="0.2">
      <c r="A23" s="157">
        <f>IF(CUANTILES!B23=" "," ",CUANTILES!B23)</f>
        <v>20</v>
      </c>
      <c r="B23" s="14">
        <f t="shared" si="0"/>
        <v>2.5499999999999998</v>
      </c>
      <c r="C23" s="78">
        <f t="shared" si="1"/>
        <v>0.60784313725490191</v>
      </c>
      <c r="D23" s="8">
        <f>IF(CUANTILES!G23=" "," ",CUANTILES!G23)</f>
        <v>140</v>
      </c>
      <c r="E23" s="14">
        <f t="shared" si="3"/>
        <v>2.1461280356782382</v>
      </c>
      <c r="F23" s="111">
        <f t="shared" si="2"/>
        <v>157.45319239271134</v>
      </c>
      <c r="G23" s="111">
        <f t="shared" si="4"/>
        <v>304.61392469699712</v>
      </c>
      <c r="H23" s="112">
        <f t="shared" si="5"/>
        <v>149.23293139391023</v>
      </c>
      <c r="I23" s="112">
        <f t="shared" si="6"/>
        <v>85.247022124653199</v>
      </c>
      <c r="J23" s="111">
        <f t="shared" si="7"/>
        <v>-0.69747969588673298</v>
      </c>
      <c r="K23" s="111">
        <f t="shared" si="8"/>
        <v>150.45509975987017</v>
      </c>
      <c r="L23" s="111">
        <f t="shared" si="9"/>
        <v>109.30911098883719</v>
      </c>
      <c r="M23" s="137">
        <f t="shared" si="10"/>
        <v>0.47408691568976435</v>
      </c>
      <c r="N23" s="26">
        <f t="shared" si="11"/>
        <v>-0.15674689669763642</v>
      </c>
      <c r="O23" s="14">
        <f t="shared" si="12"/>
        <v>136.73267203799003</v>
      </c>
      <c r="P23" s="112">
        <f t="shared" si="13"/>
        <v>10.675432011332237</v>
      </c>
      <c r="Q23" s="113">
        <f t="shared" si="14"/>
        <v>2.7173366257900424</v>
      </c>
      <c r="R23" s="113">
        <f t="shared" si="15"/>
        <v>6.7362974192690217E-2</v>
      </c>
      <c r="S23" s="113">
        <f t="shared" si="16"/>
        <v>2.1494141221216667</v>
      </c>
      <c r="T23" s="113">
        <f t="shared" si="17"/>
        <v>141.0633268671366</v>
      </c>
      <c r="U23" s="111">
        <f t="shared" si="18"/>
        <v>1.1306640263745269</v>
      </c>
      <c r="W23" s="72"/>
    </row>
    <row r="24" spans="1:23" x14ac:dyDescent="0.2">
      <c r="A24" s="157">
        <f>IF(CUANTILES!B24=" "," ",CUANTILES!B24)</f>
        <v>21</v>
      </c>
      <c r="B24" s="14">
        <f t="shared" si="0"/>
        <v>2.4285714285714284</v>
      </c>
      <c r="C24" s="78">
        <f t="shared" si="1"/>
        <v>0.58823529411764697</v>
      </c>
      <c r="D24" s="8">
        <f>IF(CUANTILES!G24=" "," ",CUANTILES!G24)</f>
        <v>136</v>
      </c>
      <c r="E24" s="14">
        <f t="shared" si="3"/>
        <v>2.1335389083702174</v>
      </c>
      <c r="F24" s="111">
        <f t="shared" si="2"/>
        <v>155.01293165091104</v>
      </c>
      <c r="G24" s="111">
        <f t="shared" si="4"/>
        <v>361.4915699622149</v>
      </c>
      <c r="H24" s="112">
        <f t="shared" si="5"/>
        <v>147.1829742257562</v>
      </c>
      <c r="I24" s="112">
        <f t="shared" si="6"/>
        <v>125.05891253392743</v>
      </c>
      <c r="J24" s="111">
        <f t="shared" si="7"/>
        <v>-0.63369359508079171</v>
      </c>
      <c r="K24" s="111">
        <f t="shared" si="8"/>
        <v>147.80964580197383</v>
      </c>
      <c r="L24" s="111">
        <f t="shared" si="9"/>
        <v>139.46773396807808</v>
      </c>
      <c r="M24" s="137">
        <f t="shared" si="10"/>
        <v>0.44024098312994947</v>
      </c>
      <c r="N24" s="26">
        <f t="shared" si="11"/>
        <v>-0.20062519700872583</v>
      </c>
      <c r="O24" s="14">
        <f t="shared" si="12"/>
        <v>134.62050156930522</v>
      </c>
      <c r="P24" s="112">
        <f t="shared" si="13"/>
        <v>1.9030159202893637</v>
      </c>
      <c r="Q24" s="113">
        <f t="shared" si="14"/>
        <v>2.633221907925432</v>
      </c>
      <c r="R24" s="113">
        <f t="shared" si="15"/>
        <v>1.5282691163000628E-2</v>
      </c>
      <c r="S24" s="113">
        <f t="shared" si="16"/>
        <v>2.1432427634686992</v>
      </c>
      <c r="T24" s="113">
        <f t="shared" si="17"/>
        <v>139.07298090559269</v>
      </c>
      <c r="U24" s="111">
        <f t="shared" si="18"/>
        <v>9.4432116461372466</v>
      </c>
      <c r="W24" s="72"/>
    </row>
    <row r="25" spans="1:23" x14ac:dyDescent="0.2">
      <c r="A25" s="157">
        <f>IF(CUANTILES!B25=" "," ",CUANTILES!B25)</f>
        <v>22</v>
      </c>
      <c r="B25" s="14">
        <f t="shared" si="0"/>
        <v>2.3181818181818183</v>
      </c>
      <c r="C25" s="78">
        <f t="shared" si="1"/>
        <v>0.56862745098039214</v>
      </c>
      <c r="D25" s="8">
        <f>IF(CUANTILES!G25=" "," ",CUANTILES!G25)</f>
        <v>135.19999999999999</v>
      </c>
      <c r="E25" s="14">
        <f t="shared" si="3"/>
        <v>2.1309766916056172</v>
      </c>
      <c r="F25" s="111">
        <f t="shared" si="2"/>
        <v>152.59996750897207</v>
      </c>
      <c r="G25" s="111">
        <f t="shared" si="4"/>
        <v>302.75886931328415</v>
      </c>
      <c r="H25" s="112">
        <f t="shared" si="5"/>
        <v>145.18363794386326</v>
      </c>
      <c r="I25" s="112">
        <f t="shared" si="6"/>
        <v>99.673026594146464</v>
      </c>
      <c r="J25" s="111">
        <f t="shared" si="7"/>
        <v>-0.57176210185625975</v>
      </c>
      <c r="K25" s="111">
        <f t="shared" si="8"/>
        <v>145.24110952527437</v>
      </c>
      <c r="L25" s="111">
        <f t="shared" si="9"/>
        <v>100.82388049855587</v>
      </c>
      <c r="M25" s="137">
        <f t="shared" si="10"/>
        <v>0.40846066492452227</v>
      </c>
      <c r="N25" s="26">
        <f t="shared" si="11"/>
        <v>-0.24182560842405065</v>
      </c>
      <c r="O25" s="14">
        <f t="shared" si="12"/>
        <v>132.63723668274079</v>
      </c>
      <c r="P25" s="112">
        <f t="shared" si="13"/>
        <v>6.5677558202893636</v>
      </c>
      <c r="Q25" s="113">
        <f t="shared" si="14"/>
        <v>2.5517737609859013</v>
      </c>
      <c r="R25" s="113">
        <f t="shared" si="15"/>
        <v>-3.5146563699175681E-2</v>
      </c>
      <c r="S25" s="113">
        <f t="shared" si="16"/>
        <v>2.1372670467434469</v>
      </c>
      <c r="T25" s="113">
        <f t="shared" si="17"/>
        <v>137.17249776341788</v>
      </c>
      <c r="U25" s="111">
        <f t="shared" si="18"/>
        <v>3.8907474266885833</v>
      </c>
      <c r="W25" s="72"/>
    </row>
    <row r="26" spans="1:23" x14ac:dyDescent="0.2">
      <c r="A26" s="157">
        <f>IF(CUANTILES!B26=" "," ",CUANTILES!B26)</f>
        <v>23</v>
      </c>
      <c r="B26" s="14">
        <f t="shared" si="0"/>
        <v>2.2173913043478262</v>
      </c>
      <c r="C26" s="78">
        <f t="shared" si="1"/>
        <v>0.5490196078431373</v>
      </c>
      <c r="D26" s="8">
        <f>IF(CUANTILES!G26=" "," ",CUANTILES!G26)</f>
        <v>135</v>
      </c>
      <c r="E26" s="14">
        <f t="shared" si="3"/>
        <v>2.1303337684950061</v>
      </c>
      <c r="F26" s="111">
        <f t="shared" si="2"/>
        <v>150.20774738491414</v>
      </c>
      <c r="G26" s="111">
        <f t="shared" si="4"/>
        <v>231.27558052336295</v>
      </c>
      <c r="H26" s="112">
        <f t="shared" si="5"/>
        <v>143.22830060857561</v>
      </c>
      <c r="I26" s="112">
        <f t="shared" si="6"/>
        <v>67.704930905085732</v>
      </c>
      <c r="J26" s="111">
        <f t="shared" si="7"/>
        <v>-0.51145728564048432</v>
      </c>
      <c r="K26" s="111">
        <f t="shared" si="8"/>
        <v>142.74003777574717</v>
      </c>
      <c r="L26" s="111">
        <f t="shared" si="9"/>
        <v>59.908184769993177</v>
      </c>
      <c r="M26" s="137">
        <f t="shared" si="10"/>
        <v>0.37857242322815227</v>
      </c>
      <c r="N26" s="26">
        <f t="shared" si="11"/>
        <v>-0.2805731076281594</v>
      </c>
      <c r="O26" s="14">
        <f t="shared" si="12"/>
        <v>130.77204767190705</v>
      </c>
      <c r="P26" s="112">
        <f t="shared" si="13"/>
        <v>17.875580888626629</v>
      </c>
      <c r="Q26" s="113">
        <f t="shared" si="14"/>
        <v>2.4727064973484816</v>
      </c>
      <c r="R26" s="113">
        <f t="shared" si="15"/>
        <v>-8.4101676111820289E-2</v>
      </c>
      <c r="S26" s="113">
        <f t="shared" si="16"/>
        <v>2.1314660115143846</v>
      </c>
      <c r="T26" s="113">
        <f t="shared" si="17"/>
        <v>135.35241578574065</v>
      </c>
      <c r="U26" s="111">
        <f t="shared" si="18"/>
        <v>0.12419688603919724</v>
      </c>
      <c r="W26" s="72"/>
    </row>
    <row r="27" spans="1:23" x14ac:dyDescent="0.2">
      <c r="A27" s="157">
        <f>IF(CUANTILES!B27=" "," ",CUANTILES!B27)</f>
        <v>24</v>
      </c>
      <c r="B27" s="14">
        <f t="shared" si="0"/>
        <v>2.125</v>
      </c>
      <c r="C27" s="78">
        <f t="shared" si="1"/>
        <v>0.52941176470588236</v>
      </c>
      <c r="D27" s="8">
        <f>IF(CUANTILES!G27=" "," ",CUANTILES!G27)</f>
        <v>131</v>
      </c>
      <c r="E27" s="14">
        <f t="shared" si="3"/>
        <v>2.1172712956557644</v>
      </c>
      <c r="F27" s="111">
        <f t="shared" si="2"/>
        <v>147.83009176926748</v>
      </c>
      <c r="G27" s="111">
        <f t="shared" si="4"/>
        <v>283.25198896196508</v>
      </c>
      <c r="H27" s="112">
        <f t="shared" si="5"/>
        <v>141.31096316056727</v>
      </c>
      <c r="I27" s="112">
        <f t="shared" si="6"/>
        <v>106.31596129857536</v>
      </c>
      <c r="J27" s="111">
        <f t="shared" si="7"/>
        <v>-0.45257437818793905</v>
      </c>
      <c r="K27" s="111">
        <f t="shared" si="8"/>
        <v>140.29793802980583</v>
      </c>
      <c r="L27" s="111">
        <f t="shared" si="9"/>
        <v>86.451651606109607</v>
      </c>
      <c r="M27" s="137">
        <f t="shared" si="10"/>
        <v>0.35042579411619768</v>
      </c>
      <c r="N27" s="26">
        <f t="shared" si="11"/>
        <v>-0.31706275797939637</v>
      </c>
      <c r="O27" s="14">
        <f t="shared" si="12"/>
        <v>129.01554476869325</v>
      </c>
      <c r="P27" s="112">
        <f t="shared" si="13"/>
        <v>3.9380625650607417</v>
      </c>
      <c r="Q27" s="113">
        <f t="shared" si="14"/>
        <v>2.395765637713605</v>
      </c>
      <c r="R27" s="113">
        <f t="shared" si="15"/>
        <v>-0.13174020891629024</v>
      </c>
      <c r="S27" s="113">
        <f t="shared" si="16"/>
        <v>2.1258209870534013</v>
      </c>
      <c r="T27" s="113">
        <f t="shared" si="17"/>
        <v>133.60446953724517</v>
      </c>
      <c r="U27" s="111">
        <f t="shared" si="18"/>
        <v>6.7832615704380474</v>
      </c>
      <c r="W27" s="72"/>
    </row>
    <row r="28" spans="1:23" x14ac:dyDescent="0.2">
      <c r="A28" s="157">
        <f>IF(CUANTILES!B28=" "," ",CUANTILES!B28)</f>
        <v>25</v>
      </c>
      <c r="B28" s="14">
        <f t="shared" si="0"/>
        <v>2.04</v>
      </c>
      <c r="C28" s="78">
        <f t="shared" si="1"/>
        <v>0.50980392156862742</v>
      </c>
      <c r="D28" s="8">
        <f>IF(CUANTILES!G28=" "," ",CUANTILES!G28)</f>
        <v>129</v>
      </c>
      <c r="E28" s="14">
        <f t="shared" si="3"/>
        <v>2.1105897102992488</v>
      </c>
      <c r="F28" s="111">
        <f t="shared" si="2"/>
        <v>145.46107602283024</v>
      </c>
      <c r="G28" s="111">
        <f t="shared" si="4"/>
        <v>270.96702382939668</v>
      </c>
      <c r="H28" s="112">
        <f t="shared" si="5"/>
        <v>139.42612016889311</v>
      </c>
      <c r="I28" s="112">
        <f t="shared" si="6"/>
        <v>108.70398177619963</v>
      </c>
      <c r="J28" s="111">
        <f t="shared" si="7"/>
        <v>-0.39492718551067874</v>
      </c>
      <c r="K28" s="111">
        <f t="shared" si="8"/>
        <v>137.90708810948172</v>
      </c>
      <c r="L28" s="111">
        <f t="shared" si="9"/>
        <v>79.336218590070629</v>
      </c>
      <c r="M28" s="137">
        <f t="shared" si="10"/>
        <v>0.3238896509543171</v>
      </c>
      <c r="N28" s="26">
        <f t="shared" si="11"/>
        <v>-0.35146455372537905</v>
      </c>
      <c r="O28" s="14">
        <f t="shared" si="12"/>
        <v>127.35954495718671</v>
      </c>
      <c r="P28" s="112">
        <f t="shared" si="13"/>
        <v>2.6910927474915414</v>
      </c>
      <c r="Q28" s="113">
        <f t="shared" si="14"/>
        <v>2.3207222461770329</v>
      </c>
      <c r="R28" s="113">
        <f t="shared" si="15"/>
        <v>-0.17820390956167764</v>
      </c>
      <c r="S28" s="113">
        <f t="shared" si="16"/>
        <v>2.120315176709334</v>
      </c>
      <c r="T28" s="113">
        <f t="shared" si="17"/>
        <v>131.92137726367815</v>
      </c>
      <c r="U28" s="111">
        <f t="shared" si="18"/>
        <v>8.5344451167356521</v>
      </c>
      <c r="W28" s="72"/>
    </row>
    <row r="29" spans="1:23" x14ac:dyDescent="0.2">
      <c r="A29" s="157">
        <f>IF(CUANTILES!B29=" "," ",CUANTILES!B29)</f>
        <v>26</v>
      </c>
      <c r="B29" s="14">
        <f t="shared" si="0"/>
        <v>1.9615384615384615</v>
      </c>
      <c r="C29" s="78">
        <f t="shared" si="1"/>
        <v>0.49019607843137247</v>
      </c>
      <c r="D29" s="8">
        <f>IF(CUANTILES!G29=" "," ",CUANTILES!G29)</f>
        <v>126</v>
      </c>
      <c r="E29" s="14">
        <f t="shared" si="3"/>
        <v>2.1003705451175629</v>
      </c>
      <c r="F29" s="111">
        <f t="shared" si="2"/>
        <v>143.09492397716971</v>
      </c>
      <c r="G29" s="111">
        <f t="shared" si="4"/>
        <v>292.23642578521196</v>
      </c>
      <c r="H29" s="112">
        <f t="shared" si="5"/>
        <v>137.5686507054449</v>
      </c>
      <c r="I29" s="112">
        <f t="shared" si="6"/>
        <v>133.83367914459066</v>
      </c>
      <c r="J29" s="111">
        <f t="shared" si="7"/>
        <v>-0.33834425675944524</v>
      </c>
      <c r="K29" s="111">
        <f t="shared" si="8"/>
        <v>135.56037729124694</v>
      </c>
      <c r="L29" s="111">
        <f t="shared" si="9"/>
        <v>91.400813950990113</v>
      </c>
      <c r="M29" s="137">
        <f t="shared" si="10"/>
        <v>0.29884921091759475</v>
      </c>
      <c r="N29" s="26">
        <f t="shared" si="11"/>
        <v>-0.3839273007899302</v>
      </c>
      <c r="O29" s="14">
        <f t="shared" si="12"/>
        <v>125.79688516416824</v>
      </c>
      <c r="P29" s="112">
        <f t="shared" si="13"/>
        <v>4.1255636534960852E-2</v>
      </c>
      <c r="Q29" s="113">
        <f t="shared" si="14"/>
        <v>2.247368264342529</v>
      </c>
      <c r="R29" s="113">
        <f t="shared" si="15"/>
        <v>-0.22362159902530698</v>
      </c>
      <c r="S29" s="113">
        <f t="shared" si="16"/>
        <v>2.1149333155794827</v>
      </c>
      <c r="T29" s="113">
        <f t="shared" si="17"/>
        <v>130.29666970472809</v>
      </c>
      <c r="U29" s="111">
        <f t="shared" si="18"/>
        <v>18.461370551528162</v>
      </c>
      <c r="W29" s="72"/>
    </row>
    <row r="30" spans="1:23" x14ac:dyDescent="0.2">
      <c r="A30" s="157">
        <f>IF(CUANTILES!B30=" "," ",CUANTILES!B30)</f>
        <v>27</v>
      </c>
      <c r="B30" s="14">
        <f t="shared" si="0"/>
        <v>1.8888888888888888</v>
      </c>
      <c r="C30" s="78">
        <f t="shared" si="1"/>
        <v>0.47058823529411764</v>
      </c>
      <c r="D30" s="8">
        <f>IF(CUANTILES!G30=" "," ",CUANTILES!G30)</f>
        <v>125</v>
      </c>
      <c r="E30" s="14">
        <f t="shared" si="3"/>
        <v>2.0969100130080562</v>
      </c>
      <c r="F30" s="111">
        <f t="shared" si="2"/>
        <v>140.7259082307325</v>
      </c>
      <c r="G30" s="111">
        <f t="shared" si="4"/>
        <v>247.30418968142018</v>
      </c>
      <c r="H30" s="112">
        <f t="shared" si="5"/>
        <v>135.73372366682878</v>
      </c>
      <c r="I30" s="112">
        <f t="shared" si="6"/>
        <v>115.21282375584028</v>
      </c>
      <c r="J30" s="111">
        <f t="shared" si="7"/>
        <v>-0.28266560614993969</v>
      </c>
      <c r="K30" s="111">
        <f t="shared" si="8"/>
        <v>133.25117035173881</v>
      </c>
      <c r="L30" s="111">
        <f t="shared" si="9"/>
        <v>68.08181217341351</v>
      </c>
      <c r="M30" s="137">
        <f t="shared" si="10"/>
        <v>0.27520361666876253</v>
      </c>
      <c r="N30" s="26">
        <f t="shared" si="11"/>
        <v>-0.41458175191639374</v>
      </c>
      <c r="O30" s="14">
        <f t="shared" si="12"/>
        <v>124.32127134266628</v>
      </c>
      <c r="P30" s="112">
        <f t="shared" si="13"/>
        <v>0.46067259028603597</v>
      </c>
      <c r="Q30" s="113">
        <f t="shared" si="14"/>
        <v>2.1755125964928821</v>
      </c>
      <c r="R30" s="113">
        <f t="shared" si="15"/>
        <v>-0.26811159570960252</v>
      </c>
      <c r="S30" s="113">
        <f t="shared" si="16"/>
        <v>2.1096613832850362</v>
      </c>
      <c r="T30" s="113">
        <f t="shared" si="17"/>
        <v>128.72455029808231</v>
      </c>
      <c r="U30" s="111">
        <f t="shared" si="18"/>
        <v>13.872274922944996</v>
      </c>
      <c r="W30" s="72"/>
    </row>
    <row r="31" spans="1:23" x14ac:dyDescent="0.2">
      <c r="A31" s="157">
        <f>IF(CUANTILES!B31=" "," ",CUANTILES!B31)</f>
        <v>28</v>
      </c>
      <c r="B31" s="14">
        <f t="shared" si="0"/>
        <v>1.8214285714285714</v>
      </c>
      <c r="C31" s="78">
        <f t="shared" si="1"/>
        <v>0.4509803921568627</v>
      </c>
      <c r="D31" s="8">
        <f>IF(CUANTILES!G31=" "," ",CUANTILES!G31)</f>
        <v>125</v>
      </c>
      <c r="E31" s="14">
        <f t="shared" si="3"/>
        <v>2.0969100130080562</v>
      </c>
      <c r="F31" s="111">
        <f t="shared" si="2"/>
        <v>138.34825261508584</v>
      </c>
      <c r="G31" s="111">
        <f t="shared" si="4"/>
        <v>178.17584787614598</v>
      </c>
      <c r="H31" s="112">
        <f t="shared" si="5"/>
        <v>133.91671299059888</v>
      </c>
      <c r="I31" s="112">
        <f t="shared" si="6"/>
        <v>79.507770556714846</v>
      </c>
      <c r="J31" s="111">
        <f t="shared" si="7"/>
        <v>-0.22773982703075379</v>
      </c>
      <c r="K31" s="111">
        <f t="shared" si="8"/>
        <v>130.9731878771014</v>
      </c>
      <c r="L31" s="111">
        <f t="shared" si="9"/>
        <v>35.678973415151077</v>
      </c>
      <c r="M31" s="137">
        <f t="shared" si="10"/>
        <v>0.2528639683329108</v>
      </c>
      <c r="N31" s="26">
        <f t="shared" si="11"/>
        <v>-0.44354315804081668</v>
      </c>
      <c r="O31" s="14">
        <f t="shared" si="12"/>
        <v>122.9271556564638</v>
      </c>
      <c r="P31" s="112">
        <f t="shared" si="13"/>
        <v>4.2966836725300359</v>
      </c>
      <c r="Q31" s="113">
        <f t="shared" si="14"/>
        <v>2.1049777546403208</v>
      </c>
      <c r="R31" s="113">
        <f t="shared" si="15"/>
        <v>-0.31178379268526779</v>
      </c>
      <c r="S31" s="113">
        <f t="shared" si="16"/>
        <v>2.1044863578239377</v>
      </c>
      <c r="T31" s="113">
        <f t="shared" si="17"/>
        <v>127.19977931184346</v>
      </c>
      <c r="U31" s="111">
        <f t="shared" si="18"/>
        <v>4.8390290208144737</v>
      </c>
      <c r="W31" s="72"/>
    </row>
    <row r="32" spans="1:23" x14ac:dyDescent="0.2">
      <c r="A32" s="157">
        <f>IF(CUANTILES!B32=" "," ",CUANTILES!B32)</f>
        <v>29</v>
      </c>
      <c r="B32" s="14">
        <f t="shared" si="0"/>
        <v>1.7586206896551724</v>
      </c>
      <c r="C32" s="78">
        <f t="shared" si="1"/>
        <v>0.43137254901960786</v>
      </c>
      <c r="D32" s="8">
        <f>IF(CUANTILES!G32=" "," ",CUANTILES!G32)</f>
        <v>124</v>
      </c>
      <c r="E32" s="14">
        <f t="shared" si="3"/>
        <v>2.0934216851622351</v>
      </c>
      <c r="F32" s="111">
        <f t="shared" si="2"/>
        <v>135.95603249102791</v>
      </c>
      <c r="G32" s="111">
        <f t="shared" si="4"/>
        <v>142.94671292651509</v>
      </c>
      <c r="H32" s="112">
        <f t="shared" si="5"/>
        <v>132.11311891871892</v>
      </c>
      <c r="I32" s="112">
        <f t="shared" si="6"/>
        <v>65.822698589274935</v>
      </c>
      <c r="J32" s="111">
        <f t="shared" si="7"/>
        <v>-0.17342146513091442</v>
      </c>
      <c r="K32" s="111">
        <f t="shared" si="8"/>
        <v>128.72039732149824</v>
      </c>
      <c r="L32" s="111">
        <f t="shared" si="9"/>
        <v>22.282150872807755</v>
      </c>
      <c r="M32" s="137">
        <f t="shared" si="10"/>
        <v>0.2317517119380394</v>
      </c>
      <c r="N32" s="26">
        <f t="shared" si="11"/>
        <v>-0.47091335753825225</v>
      </c>
      <c r="O32" s="14">
        <f t="shared" si="12"/>
        <v>121.60963591001445</v>
      </c>
      <c r="P32" s="112">
        <f t="shared" si="13"/>
        <v>5.7138404826924614</v>
      </c>
      <c r="Q32" s="113">
        <f t="shared" si="14"/>
        <v>2.0355969112085641</v>
      </c>
      <c r="R32" s="113">
        <f t="shared" si="15"/>
        <v>-0.354741482546161</v>
      </c>
      <c r="S32" s="113">
        <f t="shared" si="16"/>
        <v>2.099395999331005</v>
      </c>
      <c r="T32" s="113">
        <f t="shared" si="17"/>
        <v>125.71757619476142</v>
      </c>
      <c r="U32" s="111">
        <f t="shared" si="18"/>
        <v>2.9500679848111213</v>
      </c>
      <c r="W32" s="72"/>
    </row>
    <row r="33" spans="1:23" x14ac:dyDescent="0.2">
      <c r="A33" s="157">
        <f>IF(CUANTILES!B33=" "," ",CUANTILES!B33)</f>
        <v>30</v>
      </c>
      <c r="B33" s="14">
        <f t="shared" si="0"/>
        <v>1.7</v>
      </c>
      <c r="C33" s="78">
        <f t="shared" si="1"/>
        <v>0.41176470588235292</v>
      </c>
      <c r="D33" s="8">
        <f>IF(CUANTILES!G33=" "," ",CUANTILES!G33)</f>
        <v>124</v>
      </c>
      <c r="E33" s="14">
        <f t="shared" si="3"/>
        <v>2.0934216851622351</v>
      </c>
      <c r="F33" s="111">
        <f t="shared" si="2"/>
        <v>133.54306834908894</v>
      </c>
      <c r="G33" s="111">
        <f t="shared" si="4"/>
        <v>91.070153515383126</v>
      </c>
      <c r="H33" s="112">
        <f t="shared" si="5"/>
        <v>130.31849183391031</v>
      </c>
      <c r="I33" s="112">
        <f t="shared" si="6"/>
        <v>39.923339055191335</v>
      </c>
      <c r="J33" s="111">
        <f t="shared" si="7"/>
        <v>-0.11956853433485978</v>
      </c>
      <c r="K33" s="111">
        <f t="shared" si="8"/>
        <v>126.48690997678395</v>
      </c>
      <c r="L33" s="111">
        <f t="shared" si="9"/>
        <v>6.18472123262754</v>
      </c>
      <c r="M33" s="137">
        <f t="shared" si="10"/>
        <v>0.21179731314434239</v>
      </c>
      <c r="N33" s="26">
        <f t="shared" si="11"/>
        <v>-0.49678249561709575</v>
      </c>
      <c r="O33" s="14">
        <f t="shared" si="12"/>
        <v>120.36437278192895</v>
      </c>
      <c r="P33" s="112">
        <f t="shared" si="13"/>
        <v>13.217785268779046</v>
      </c>
      <c r="Q33" s="113">
        <f t="shared" si="14"/>
        <v>1.9672112328460032</v>
      </c>
      <c r="R33" s="113">
        <f t="shared" si="15"/>
        <v>-0.39708300819963926</v>
      </c>
      <c r="S33" s="113">
        <f t="shared" si="16"/>
        <v>2.0943786544641871</v>
      </c>
      <c r="T33" s="113">
        <f t="shared" si="17"/>
        <v>124.27353566057266</v>
      </c>
      <c r="U33" s="111">
        <f t="shared" si="18"/>
        <v>7.482175760492267E-2</v>
      </c>
      <c r="W33" s="72"/>
    </row>
    <row r="34" spans="1:23" x14ac:dyDescent="0.2">
      <c r="A34" s="157">
        <f>IF(CUANTILES!B34=" "," ",CUANTILES!B34)</f>
        <v>31</v>
      </c>
      <c r="B34" s="14">
        <f t="shared" si="0"/>
        <v>1.6451612903225807</v>
      </c>
      <c r="C34" s="78">
        <f t="shared" si="1"/>
        <v>0.39215686274509809</v>
      </c>
      <c r="D34" s="8">
        <f>IF(CUANTILES!G34=" "," ",CUANTILES!G34)</f>
        <v>123</v>
      </c>
      <c r="E34" s="14">
        <f t="shared" si="3"/>
        <v>2.0899051114393981</v>
      </c>
      <c r="F34" s="111">
        <f t="shared" si="2"/>
        <v>131.10280760728864</v>
      </c>
      <c r="G34" s="111">
        <f t="shared" si="4"/>
        <v>65.655491120734638</v>
      </c>
      <c r="H34" s="112">
        <f t="shared" si="5"/>
        <v>128.52835527368435</v>
      </c>
      <c r="I34" s="112">
        <f t="shared" si="6"/>
        <v>30.562712032073616</v>
      </c>
      <c r="J34" s="111">
        <f t="shared" si="7"/>
        <v>-6.6040064775168592E-2</v>
      </c>
      <c r="K34" s="111">
        <f t="shared" si="8"/>
        <v>124.26687928251664</v>
      </c>
      <c r="L34" s="111">
        <f t="shared" si="9"/>
        <v>1.604983116469878</v>
      </c>
      <c r="M34" s="137">
        <f t="shared" si="10"/>
        <v>0.19293916186117704</v>
      </c>
      <c r="N34" s="26">
        <f t="shared" si="11"/>
        <v>-0.52123044438767052</v>
      </c>
      <c r="O34" s="14">
        <f t="shared" si="12"/>
        <v>119.18752146710997</v>
      </c>
      <c r="P34" s="112">
        <f t="shared" si="13"/>
        <v>14.534992563747284</v>
      </c>
      <c r="Q34" s="113">
        <f t="shared" si="14"/>
        <v>1.8996673842483669</v>
      </c>
      <c r="R34" s="113">
        <f t="shared" si="15"/>
        <v>-0.4389033083942071</v>
      </c>
      <c r="S34" s="113">
        <f t="shared" si="16"/>
        <v>2.0894230732641326</v>
      </c>
      <c r="T34" s="113">
        <f t="shared" si="17"/>
        <v>122.86355386536005</v>
      </c>
      <c r="U34" s="111">
        <f t="shared" si="18"/>
        <v>1.8617547658184373E-2</v>
      </c>
      <c r="W34" s="72"/>
    </row>
    <row r="35" spans="1:23" x14ac:dyDescent="0.2">
      <c r="A35" s="157">
        <f>IF(CUANTILES!B35=" "," ",CUANTILES!B35)</f>
        <v>32</v>
      </c>
      <c r="B35" s="14">
        <f t="shared" si="0"/>
        <v>1.59375</v>
      </c>
      <c r="C35" s="78">
        <f t="shared" si="1"/>
        <v>0.37254901960784315</v>
      </c>
      <c r="D35" s="8">
        <f>IF(CUANTILES!G35=" "," ",CUANTILES!G35)</f>
        <v>121</v>
      </c>
      <c r="E35" s="14">
        <f t="shared" si="3"/>
        <v>2.0827853703164503</v>
      </c>
      <c r="F35" s="111">
        <f t="shared" si="2"/>
        <v>128.6281884374138</v>
      </c>
      <c r="G35" s="111">
        <f t="shared" si="4"/>
        <v>58.189258836693554</v>
      </c>
      <c r="H35" s="112">
        <f t="shared" si="5"/>
        <v>126.73812451094109</v>
      </c>
      <c r="I35" s="112">
        <f t="shared" si="6"/>
        <v>32.926072903062938</v>
      </c>
      <c r="J35" s="111">
        <f t="shared" si="7"/>
        <v>-1.2693570001931815E-2</v>
      </c>
      <c r="K35" s="111">
        <f t="shared" si="8"/>
        <v>122.05439577976881</v>
      </c>
      <c r="L35" s="111">
        <f t="shared" si="9"/>
        <v>1.1117504603942787</v>
      </c>
      <c r="M35" s="137">
        <f t="shared" si="10"/>
        <v>0.17512266596218273</v>
      </c>
      <c r="N35" s="26">
        <f t="shared" si="11"/>
        <v>-0.5443279777815514</v>
      </c>
      <c r="O35" s="14">
        <f t="shared" si="12"/>
        <v>118.07567511964136</v>
      </c>
      <c r="P35" s="112">
        <f t="shared" si="13"/>
        <v>8.5516760058845716</v>
      </c>
      <c r="Q35" s="113">
        <f t="shared" si="14"/>
        <v>1.8328150972995481</v>
      </c>
      <c r="R35" s="113">
        <f t="shared" si="15"/>
        <v>-0.48029542280491655</v>
      </c>
      <c r="S35" s="113">
        <f t="shared" si="16"/>
        <v>2.0845182308060468</v>
      </c>
      <c r="T35" s="113">
        <f t="shared" si="17"/>
        <v>121.48376158327324</v>
      </c>
      <c r="U35" s="111">
        <f t="shared" si="18"/>
        <v>0.23402526945102745</v>
      </c>
      <c r="W35" s="72"/>
    </row>
    <row r="36" spans="1:23" x14ac:dyDescent="0.2">
      <c r="A36" s="157">
        <f>IF(CUANTILES!B36=" "," ",CUANTILES!B36)</f>
        <v>33</v>
      </c>
      <c r="B36" s="14">
        <f t="shared" si="0"/>
        <v>1.5454545454545454</v>
      </c>
      <c r="C36" s="78">
        <f t="shared" si="1"/>
        <v>0.3529411764705882</v>
      </c>
      <c r="D36" s="8">
        <f>IF(CUANTILES!G36=" "," ",CUANTILES!G36)</f>
        <v>119</v>
      </c>
      <c r="E36" s="14">
        <f t="shared" si="3"/>
        <v>2.0755469613925306</v>
      </c>
      <c r="F36" s="111">
        <f t="shared" si="2"/>
        <v>126.11147775044132</v>
      </c>
      <c r="G36" s="111">
        <f t="shared" si="4"/>
        <v>50.573115795021991</v>
      </c>
      <c r="H36" s="112">
        <f t="shared" si="5"/>
        <v>124.94301653461928</v>
      </c>
      <c r="I36" s="112">
        <f t="shared" si="6"/>
        <v>35.319445530758095</v>
      </c>
      <c r="J36" s="111">
        <f t="shared" si="7"/>
        <v>4.061769348725499E-2</v>
      </c>
      <c r="K36" s="111">
        <f t="shared" si="8"/>
        <v>119.84337345333768</v>
      </c>
      <c r="L36" s="111">
        <f t="shared" si="9"/>
        <v>0.71127878179471793</v>
      </c>
      <c r="M36" s="137">
        <f t="shared" si="10"/>
        <v>0.15829950195207479</v>
      </c>
      <c r="N36" s="26">
        <f t="shared" si="11"/>
        <v>-0.56613774299672692</v>
      </c>
      <c r="O36" s="14">
        <f t="shared" si="12"/>
        <v>117.02581809031608</v>
      </c>
      <c r="P36" s="112">
        <f t="shared" si="13"/>
        <v>3.8973942125232526</v>
      </c>
      <c r="Q36" s="113">
        <f t="shared" si="14"/>
        <v>1.7665046985400987</v>
      </c>
      <c r="R36" s="113">
        <f t="shared" si="15"/>
        <v>-0.52135202292051486</v>
      </c>
      <c r="S36" s="113">
        <f t="shared" si="16"/>
        <v>2.0796531457941168</v>
      </c>
      <c r="T36" s="113">
        <f t="shared" si="17"/>
        <v>120.13046158484568</v>
      </c>
      <c r="U36" s="111">
        <f t="shared" si="18"/>
        <v>1.2779433948117982</v>
      </c>
      <c r="W36" s="72"/>
    </row>
    <row r="37" spans="1:23" x14ac:dyDescent="0.2">
      <c r="A37" s="157">
        <f>IF(CUANTILES!B37=" "," ",CUANTILES!B37)</f>
        <v>34</v>
      </c>
      <c r="B37" s="14">
        <f t="shared" si="0"/>
        <v>1.5</v>
      </c>
      <c r="C37" s="78">
        <f t="shared" si="1"/>
        <v>0.33333333333333337</v>
      </c>
      <c r="D37" s="8">
        <f>IF(CUANTILES!G37=" "," ",CUANTILES!G37)</f>
        <v>119</v>
      </c>
      <c r="E37" s="14">
        <f t="shared" si="3"/>
        <v>2.0755469613925306</v>
      </c>
      <c r="F37" s="111">
        <f t="shared" si="2"/>
        <v>123.54407286111547</v>
      </c>
      <c r="G37" s="111">
        <f t="shared" si="4"/>
        <v>20.648598167126103</v>
      </c>
      <c r="H37" s="112">
        <f t="shared" si="5"/>
        <v>123.1379462697482</v>
      </c>
      <c r="I37" s="112">
        <f t="shared" si="6"/>
        <v>17.12259933132303</v>
      </c>
      <c r="J37" s="111">
        <f t="shared" si="7"/>
        <v>9.4047827616699095E-2</v>
      </c>
      <c r="K37" s="111">
        <f t="shared" si="8"/>
        <v>117.62742110607483</v>
      </c>
      <c r="L37" s="111">
        <f t="shared" si="9"/>
        <v>1.8839728200488315</v>
      </c>
      <c r="M37" s="137">
        <f t="shared" si="10"/>
        <v>0.142426997968471</v>
      </c>
      <c r="N37" s="26">
        <f t="shared" si="11"/>
        <v>-0.58671506038193111</v>
      </c>
      <c r="O37" s="14">
        <f t="shared" si="12"/>
        <v>116.03528742259107</v>
      </c>
      <c r="P37" s="112">
        <f t="shared" si="13"/>
        <v>8.7895206666467107</v>
      </c>
      <c r="Q37" s="113">
        <f t="shared" si="14"/>
        <v>1.7005844759112045</v>
      </c>
      <c r="R37" s="113">
        <f t="shared" si="15"/>
        <v>-0.56216704244443316</v>
      </c>
      <c r="S37" s="113">
        <f t="shared" si="16"/>
        <v>2.0748166873638434</v>
      </c>
      <c r="T37" s="113">
        <f t="shared" si="17"/>
        <v>118.8000674891978</v>
      </c>
      <c r="U37" s="111">
        <f t="shared" si="18"/>
        <v>3.9973008875671498E-2</v>
      </c>
      <c r="W37" s="72"/>
    </row>
    <row r="38" spans="1:23" x14ac:dyDescent="0.2">
      <c r="A38" s="157">
        <f>IF(CUANTILES!B38=" "," ",CUANTILES!B38)</f>
        <v>35</v>
      </c>
      <c r="B38" s="14">
        <f t="shared" si="0"/>
        <v>1.4571428571428571</v>
      </c>
      <c r="C38" s="78">
        <f t="shared" si="1"/>
        <v>0.31372549019607843</v>
      </c>
      <c r="D38" s="8">
        <f>IF(CUANTILES!G38=" "," ",CUANTILES!G38)</f>
        <v>118</v>
      </c>
      <c r="E38" s="14">
        <f t="shared" si="3"/>
        <v>2.0718820073061255</v>
      </c>
      <c r="F38" s="111">
        <f t="shared" si="2"/>
        <v>120.91625238201861</v>
      </c>
      <c r="G38" s="111">
        <f t="shared" si="4"/>
        <v>8.5045279556292304</v>
      </c>
      <c r="H38" s="112">
        <f t="shared" si="5"/>
        <v>121.31740226371947</v>
      </c>
      <c r="I38" s="112">
        <f t="shared" si="6"/>
        <v>11.00515777933108</v>
      </c>
      <c r="J38" s="111">
        <f t="shared" si="7"/>
        <v>0.14776195286018559</v>
      </c>
      <c r="K38" s="111">
        <f t="shared" si="8"/>
        <v>115.39969055937422</v>
      </c>
      <c r="L38" s="111">
        <f t="shared" si="9"/>
        <v>6.7616091870075499</v>
      </c>
      <c r="M38" s="137">
        <f t="shared" si="10"/>
        <v>0.12746763055060645</v>
      </c>
      <c r="N38" s="26">
        <f t="shared" si="11"/>
        <v>-0.60610857583212485</v>
      </c>
      <c r="O38" s="14">
        <f t="shared" si="12"/>
        <v>115.10174144821499</v>
      </c>
      <c r="P38" s="112">
        <f t="shared" si="13"/>
        <v>8.3999026329949178</v>
      </c>
      <c r="Q38" s="113">
        <f t="shared" si="14"/>
        <v>1.6348977412787593</v>
      </c>
      <c r="R38" s="113">
        <f t="shared" si="15"/>
        <v>-0.60283749605589532</v>
      </c>
      <c r="S38" s="113">
        <f t="shared" si="16"/>
        <v>2.0699973595642587</v>
      </c>
      <c r="T38" s="113">
        <f t="shared" si="17"/>
        <v>117.48904117862202</v>
      </c>
      <c r="U38" s="111">
        <f t="shared" si="18"/>
        <v>0.26107891714397752</v>
      </c>
      <c r="W38" s="72"/>
    </row>
    <row r="39" spans="1:23" x14ac:dyDescent="0.2">
      <c r="A39" s="157">
        <f>IF(CUANTILES!B39=" "," ",CUANTILES!B39)</f>
        <v>36</v>
      </c>
      <c r="B39" s="14">
        <f t="shared" si="0"/>
        <v>1.4166666666666667</v>
      </c>
      <c r="C39" s="78">
        <f t="shared" si="1"/>
        <v>0.29411764705882359</v>
      </c>
      <c r="D39" s="8">
        <f>IF(CUANTILES!G39=" "," ",CUANTILES!G39)</f>
        <v>117</v>
      </c>
      <c r="E39" s="14">
        <f t="shared" si="3"/>
        <v>2.0681858617461617</v>
      </c>
      <c r="F39" s="111">
        <f t="shared" si="2"/>
        <v>118.21685582182073</v>
      </c>
      <c r="G39" s="111">
        <f t="shared" si="4"/>
        <v>1.4807380910990029</v>
      </c>
      <c r="H39" s="112">
        <f t="shared" si="5"/>
        <v>119.47529252590643</v>
      </c>
      <c r="I39" s="112">
        <f t="shared" si="6"/>
        <v>6.1270730888082126</v>
      </c>
      <c r="J39" s="111">
        <f t="shared" si="7"/>
        <v>0.20194069636032588</v>
      </c>
      <c r="K39" s="111">
        <f t="shared" si="8"/>
        <v>113.15269051366919</v>
      </c>
      <c r="L39" s="111">
        <f t="shared" si="9"/>
        <v>14.801790283611078</v>
      </c>
      <c r="M39" s="137">
        <f t="shared" si="10"/>
        <v>0.11338862166613307</v>
      </c>
      <c r="N39" s="26">
        <f t="shared" si="11"/>
        <v>-0.62436078320811195</v>
      </c>
      <c r="O39" s="14">
        <f t="shared" si="12"/>
        <v>114.2231346395067</v>
      </c>
      <c r="P39" s="112">
        <f t="shared" si="13"/>
        <v>7.7109812303076044</v>
      </c>
      <c r="Q39" s="113">
        <f t="shared" si="14"/>
        <v>1.569279403463071</v>
      </c>
      <c r="R39" s="113">
        <f t="shared" si="15"/>
        <v>-0.64346560124528007</v>
      </c>
      <c r="S39" s="113">
        <f t="shared" si="16"/>
        <v>2.0651830499267469</v>
      </c>
      <c r="T39" s="113">
        <f t="shared" si="17"/>
        <v>116.1938253712983</v>
      </c>
      <c r="U39" s="111">
        <f t="shared" si="18"/>
        <v>0.64991753196231949</v>
      </c>
      <c r="W39" s="72"/>
    </row>
    <row r="40" spans="1:23" x14ac:dyDescent="0.2">
      <c r="A40" s="157">
        <f>IF(CUANTILES!B40=" "," ",CUANTILES!B40)</f>
        <v>37</v>
      </c>
      <c r="B40" s="14">
        <f t="shared" si="0"/>
        <v>1.3783783783783783</v>
      </c>
      <c r="C40" s="78">
        <f t="shared" si="1"/>
        <v>0.27450980392156854</v>
      </c>
      <c r="D40" s="8">
        <f>IF(CUANTILES!G40=" "," ",CUANTILES!G40)</f>
        <v>116</v>
      </c>
      <c r="E40" s="14">
        <f t="shared" si="3"/>
        <v>2.0644579892269186</v>
      </c>
      <c r="F40" s="111">
        <f t="shared" si="2"/>
        <v>115.43286191625691</v>
      </c>
      <c r="G40" s="111">
        <f t="shared" si="4"/>
        <v>0.32164560603178283</v>
      </c>
      <c r="H40" s="112">
        <f t="shared" si="5"/>
        <v>117.60474721239325</v>
      </c>
      <c r="I40" s="112">
        <f t="shared" si="6"/>
        <v>2.5752136156839045</v>
      </c>
      <c r="J40" s="111">
        <f t="shared" si="7"/>
        <v>0.25678589046824007</v>
      </c>
      <c r="K40" s="111">
        <f t="shared" si="8"/>
        <v>110.87805020816144</v>
      </c>
      <c r="L40" s="111">
        <f t="shared" si="9"/>
        <v>26.234369670115068</v>
      </c>
      <c r="M40" s="137">
        <f t="shared" si="10"/>
        <v>0.10016162697434003</v>
      </c>
      <c r="N40" s="26">
        <f t="shared" si="11"/>
        <v>-0.64150842847609202</v>
      </c>
      <c r="O40" s="14">
        <f t="shared" si="12"/>
        <v>113.39769815528271</v>
      </c>
      <c r="P40" s="112">
        <f t="shared" si="13"/>
        <v>6.7719748910190036</v>
      </c>
      <c r="Q40" s="113">
        <f t="shared" si="14"/>
        <v>1.5035517986376266</v>
      </c>
      <c r="R40" s="113">
        <f t="shared" si="15"/>
        <v>-0.68416135995521854</v>
      </c>
      <c r="S40" s="113">
        <f t="shared" si="16"/>
        <v>2.06036072354825</v>
      </c>
      <c r="T40" s="113">
        <f t="shared" si="17"/>
        <v>114.910767022568</v>
      </c>
      <c r="U40" s="111">
        <f t="shared" si="18"/>
        <v>1.1864284791253898</v>
      </c>
      <c r="W40" s="72"/>
    </row>
    <row r="41" spans="1:23" x14ac:dyDescent="0.2">
      <c r="A41" s="157">
        <f>IF(CUANTILES!B41=" "," ",CUANTILES!B41)</f>
        <v>38</v>
      </c>
      <c r="B41" s="14">
        <f t="shared" si="0"/>
        <v>1.3421052631578947</v>
      </c>
      <c r="C41" s="78">
        <f t="shared" si="1"/>
        <v>0.25490196078431371</v>
      </c>
      <c r="D41" s="8">
        <f>IF(CUANTILES!G41=" "," ",CUANTILES!G41)</f>
        <v>115</v>
      </c>
      <c r="E41" s="14">
        <f t="shared" si="3"/>
        <v>2.0606978403536118</v>
      </c>
      <c r="F41" s="111">
        <f t="shared" si="2"/>
        <v>112.54882070729475</v>
      </c>
      <c r="G41" s="111">
        <f t="shared" si="4"/>
        <v>6.0082799249870007</v>
      </c>
      <c r="H41" s="112">
        <f t="shared" si="5"/>
        <v>115.69785847675431</v>
      </c>
      <c r="I41" s="112">
        <f t="shared" si="6"/>
        <v>0.4870064535778395</v>
      </c>
      <c r="J41" s="111">
        <f t="shared" si="7"/>
        <v>0.31252804542535195</v>
      </c>
      <c r="K41" s="111">
        <f t="shared" si="8"/>
        <v>108.56620950007999</v>
      </c>
      <c r="L41" s="111">
        <f t="shared" si="9"/>
        <v>41.393660196860942</v>
      </c>
      <c r="M41" s="137">
        <f t="shared" si="10"/>
        <v>8.7762510621090584E-2</v>
      </c>
      <c r="N41" s="26">
        <f t="shared" si="11"/>
        <v>-0.65758280166638694</v>
      </c>
      <c r="O41" s="14">
        <f t="shared" si="12"/>
        <v>112.62392578683527</v>
      </c>
      <c r="P41" s="112">
        <f t="shared" si="13"/>
        <v>5.6457286664663799</v>
      </c>
      <c r="Q41" s="113">
        <f t="shared" si="14"/>
        <v>1.4375194156956459</v>
      </c>
      <c r="R41" s="113">
        <f t="shared" si="15"/>
        <v>-0.72504582441099341</v>
      </c>
      <c r="S41" s="113">
        <f t="shared" si="16"/>
        <v>2.0555160361000797</v>
      </c>
      <c r="T41" s="113">
        <f t="shared" si="17"/>
        <v>113.63602564098881</v>
      </c>
      <c r="U41" s="111">
        <f t="shared" si="18"/>
        <v>1.8604260520399998</v>
      </c>
      <c r="W41" s="72"/>
    </row>
    <row r="42" spans="1:23" x14ac:dyDescent="0.2">
      <c r="A42" s="157">
        <f>IF(CUANTILES!B42=" "," ",CUANTILES!B42)</f>
        <v>39</v>
      </c>
      <c r="B42" s="14">
        <f t="shared" si="0"/>
        <v>1.3076923076923077</v>
      </c>
      <c r="C42" s="78">
        <f t="shared" si="1"/>
        <v>0.23529411764705888</v>
      </c>
      <c r="D42" s="8">
        <f>IF(CUANTILES!G42=" "," ",CUANTILES!G42)</f>
        <v>115</v>
      </c>
      <c r="E42" s="14">
        <f t="shared" si="3"/>
        <v>2.0606978403536118</v>
      </c>
      <c r="F42" s="111">
        <f t="shared" si="2"/>
        <v>109.54606986777578</v>
      </c>
      <c r="G42" s="111">
        <f t="shared" si="4"/>
        <v>29.745353887183246</v>
      </c>
      <c r="H42" s="112">
        <f t="shared" si="5"/>
        <v>113.74532741624049</v>
      </c>
      <c r="I42" s="112">
        <f t="shared" si="6"/>
        <v>1.5742032924377765</v>
      </c>
      <c r="J42" s="111">
        <f t="shared" si="7"/>
        <v>0.36943645640413675</v>
      </c>
      <c r="K42" s="111">
        <f t="shared" si="8"/>
        <v>106.20599968698235</v>
      </c>
      <c r="L42" s="111">
        <f t="shared" si="9"/>
        <v>77.334441505354491</v>
      </c>
      <c r="M42" s="137">
        <f t="shared" si="10"/>
        <v>7.6171206463861135E-2</v>
      </c>
      <c r="N42" s="26">
        <f t="shared" si="11"/>
        <v>-0.67260991678307769</v>
      </c>
      <c r="O42" s="14">
        <f t="shared" si="12"/>
        <v>111.90056529761915</v>
      </c>
      <c r="P42" s="112">
        <f t="shared" si="13"/>
        <v>9.6064954743226512</v>
      </c>
      <c r="Q42" s="113">
        <f t="shared" si="14"/>
        <v>1.3709619762312619</v>
      </c>
      <c r="R42" s="113">
        <f t="shared" si="15"/>
        <v>-0.76625538170411633</v>
      </c>
      <c r="S42" s="113">
        <f t="shared" si="16"/>
        <v>2.0506328261175057</v>
      </c>
      <c r="T42" s="113">
        <f t="shared" si="17"/>
        <v>112.36545795061056</v>
      </c>
      <c r="U42" s="111">
        <f t="shared" si="18"/>
        <v>6.9408118100011</v>
      </c>
      <c r="W42" s="72"/>
    </row>
    <row r="43" spans="1:23" x14ac:dyDescent="0.2">
      <c r="A43" s="157">
        <f>IF(CUANTILES!B43=" "," ",CUANTILES!B43)</f>
        <v>40</v>
      </c>
      <c r="B43" s="14">
        <f t="shared" si="0"/>
        <v>1.2749999999999999</v>
      </c>
      <c r="C43" s="78">
        <f t="shared" si="1"/>
        <v>0.21568627450980382</v>
      </c>
      <c r="D43" s="8">
        <f>IF(CUANTILES!G43=" "," ",CUANTILES!G43)</f>
        <v>115</v>
      </c>
      <c r="E43" s="14">
        <f t="shared" si="3"/>
        <v>2.0606978403536118</v>
      </c>
      <c r="F43" s="111">
        <f t="shared" si="2"/>
        <v>106.40162441764443</v>
      </c>
      <c r="G43" s="111">
        <f t="shared" si="4"/>
        <v>73.932062655248529</v>
      </c>
      <c r="H43" s="112">
        <f t="shared" si="5"/>
        <v>111.73597058222457</v>
      </c>
      <c r="I43" s="112">
        <f t="shared" si="6"/>
        <v>10.65388804010343</v>
      </c>
      <c r="J43" s="111">
        <f t="shared" si="7"/>
        <v>0.42783330421309446</v>
      </c>
      <c r="K43" s="111">
        <f t="shared" si="8"/>
        <v>103.78405869650113</v>
      </c>
      <c r="L43" s="111">
        <f t="shared" si="9"/>
        <v>125.79733932353184</v>
      </c>
      <c r="M43" s="137">
        <f t="shared" si="10"/>
        <v>6.5371671127198078E-2</v>
      </c>
      <c r="N43" s="26">
        <f t="shared" si="11"/>
        <v>-0.686610572663511</v>
      </c>
      <c r="O43" s="14">
        <f t="shared" si="12"/>
        <v>111.2266154936566</v>
      </c>
      <c r="P43" s="112">
        <f t="shared" si="13"/>
        <v>14.238430632712459</v>
      </c>
      <c r="Q43" s="113">
        <f t="shared" si="14"/>
        <v>1.3036250320732317</v>
      </c>
      <c r="R43" s="113">
        <f t="shared" si="15"/>
        <v>-0.80794757540259965</v>
      </c>
      <c r="S43" s="113">
        <f t="shared" si="16"/>
        <v>2.04569242515625</v>
      </c>
      <c r="T43" s="113">
        <f t="shared" si="17"/>
        <v>111.09446584355027</v>
      </c>
      <c r="U43" s="111">
        <f t="shared" si="18"/>
        <v>15.253197047195524</v>
      </c>
      <c r="W43" s="72"/>
    </row>
    <row r="44" spans="1:23" x14ac:dyDescent="0.2">
      <c r="A44" s="157">
        <f>IF(CUANTILES!B44=" "," ",CUANTILES!B44)</f>
        <v>41</v>
      </c>
      <c r="B44" s="14">
        <f t="shared" si="0"/>
        <v>1.2439024390243902</v>
      </c>
      <c r="C44" s="78">
        <f t="shared" si="1"/>
        <v>0.19607843137254899</v>
      </c>
      <c r="D44" s="8">
        <f>IF(CUANTILES!G44=" "," ",CUANTILES!G44)</f>
        <v>114.5</v>
      </c>
      <c r="E44" s="14">
        <f t="shared" si="3"/>
        <v>2.0588054866759067</v>
      </c>
      <c r="F44" s="111">
        <f t="shared" si="2"/>
        <v>103.08655655823625</v>
      </c>
      <c r="G44" s="111">
        <f t="shared" si="4"/>
        <v>130.26669119833988</v>
      </c>
      <c r="H44" s="112">
        <f t="shared" si="5"/>
        <v>109.65600810523132</v>
      </c>
      <c r="I44" s="112">
        <f t="shared" si="6"/>
        <v>23.464257476584645</v>
      </c>
      <c r="J44" s="111">
        <f t="shared" si="7"/>
        <v>0.48811397969533016</v>
      </c>
      <c r="K44" s="111">
        <f t="shared" si="8"/>
        <v>101.28398815567429</v>
      </c>
      <c r="L44" s="111">
        <f t="shared" si="9"/>
        <v>174.66296906935736</v>
      </c>
      <c r="M44" s="137">
        <f t="shared" si="10"/>
        <v>5.5351941634044326E-2</v>
      </c>
      <c r="N44" s="26">
        <f t="shared" si="11"/>
        <v>-0.69960027826430959</v>
      </c>
      <c r="O44" s="14">
        <f t="shared" si="12"/>
        <v>110.60132982004581</v>
      </c>
      <c r="P44" s="112">
        <f t="shared" si="13"/>
        <v>15.199629172064073</v>
      </c>
      <c r="Q44" s="113">
        <f t="shared" si="14"/>
        <v>1.2352067323020812</v>
      </c>
      <c r="R44" s="113">
        <f t="shared" si="15"/>
        <v>-0.8503092988554084</v>
      </c>
      <c r="S44" s="113">
        <f t="shared" si="16"/>
        <v>2.0406726869102796</v>
      </c>
      <c r="T44" s="113">
        <f t="shared" si="17"/>
        <v>109.81778678788304</v>
      </c>
      <c r="U44" s="111">
        <f t="shared" si="18"/>
        <v>21.923120563722648</v>
      </c>
      <c r="W44" s="72"/>
    </row>
    <row r="45" spans="1:23" x14ac:dyDescent="0.2">
      <c r="A45" s="157">
        <f>IF(CUANTILES!B45=" "," ",CUANTILES!B45)</f>
        <v>42</v>
      </c>
      <c r="B45" s="14">
        <f t="shared" si="0"/>
        <v>1.2142857142857142</v>
      </c>
      <c r="C45" s="78">
        <f t="shared" si="1"/>
        <v>0.17647058823529405</v>
      </c>
      <c r="D45" s="8">
        <f>IF(CUANTILES!G45=" "," ",CUANTILES!G45)</f>
        <v>114</v>
      </c>
      <c r="E45" s="14">
        <f t="shared" si="3"/>
        <v>2.0569048513364727</v>
      </c>
      <c r="F45" s="111">
        <f t="shared" si="2"/>
        <v>99.5635497883124</v>
      </c>
      <c r="G45" s="111">
        <f t="shared" si="4"/>
        <v>208.41109471453495</v>
      </c>
      <c r="H45" s="112">
        <f t="shared" si="5"/>
        <v>107.48800015568621</v>
      </c>
      <c r="I45" s="112">
        <f t="shared" si="6"/>
        <v>42.406141972342844</v>
      </c>
      <c r="J45" s="111">
        <f t="shared" si="7"/>
        <v>0.55077744770116299</v>
      </c>
      <c r="K45" s="111">
        <f t="shared" si="8"/>
        <v>98.685094080680145</v>
      </c>
      <c r="L45" s="111">
        <f t="shared" si="9"/>
        <v>234.54634331761835</v>
      </c>
      <c r="M45" s="137">
        <f t="shared" si="10"/>
        <v>4.6104321161675933E-2</v>
      </c>
      <c r="N45" s="26">
        <f t="shared" si="11"/>
        <v>-0.71158901184499779</v>
      </c>
      <c r="O45" s="14">
        <f t="shared" si="12"/>
        <v>110.02422795314283</v>
      </c>
      <c r="P45" s="112">
        <f t="shared" si="13"/>
        <v>15.806763368570877</v>
      </c>
      <c r="Q45" s="113">
        <f t="shared" si="14"/>
        <v>1.1653384952467361</v>
      </c>
      <c r="R45" s="113">
        <f t="shared" si="15"/>
        <v>-0.8935687622763604</v>
      </c>
      <c r="S45" s="113">
        <f t="shared" si="16"/>
        <v>2.0355465691479506</v>
      </c>
      <c r="T45" s="113">
        <f t="shared" si="17"/>
        <v>108.52919186229092</v>
      </c>
      <c r="U45" s="111">
        <f t="shared" si="18"/>
        <v>29.929741679623945</v>
      </c>
      <c r="W45" s="72"/>
    </row>
    <row r="46" spans="1:23" x14ac:dyDescent="0.2">
      <c r="A46" s="157">
        <f>IF(CUANTILES!B46=" "," ",CUANTILES!B46)</f>
        <v>43</v>
      </c>
      <c r="B46" s="14">
        <f t="shared" si="0"/>
        <v>1.1860465116279071</v>
      </c>
      <c r="C46" s="78">
        <f t="shared" si="1"/>
        <v>0.15686274509803932</v>
      </c>
      <c r="D46" s="8">
        <f>IF(CUANTILES!G46=" "," ",CUANTILES!G46)</f>
        <v>113</v>
      </c>
      <c r="E46" s="14">
        <f t="shared" si="3"/>
        <v>2.0530784434834195</v>
      </c>
      <c r="F46" s="111">
        <f t="shared" si="2"/>
        <v>95.783055778038474</v>
      </c>
      <c r="G46" s="111">
        <f t="shared" si="4"/>
        <v>296.42316834213437</v>
      </c>
      <c r="H46" s="112">
        <f t="shared" si="5"/>
        <v>105.20919250970181</v>
      </c>
      <c r="I46" s="112">
        <f t="shared" si="6"/>
        <v>60.696681350886415</v>
      </c>
      <c r="J46" s="111">
        <f t="shared" si="7"/>
        <v>0.6164735072937394</v>
      </c>
      <c r="K46" s="111">
        <f t="shared" si="8"/>
        <v>95.960426815061879</v>
      </c>
      <c r="L46" s="111">
        <f t="shared" si="9"/>
        <v>290.34705432486226</v>
      </c>
      <c r="M46" s="137">
        <f t="shared" si="10"/>
        <v>3.7625733725701153E-2</v>
      </c>
      <c r="N46" s="26">
        <f t="shared" si="11"/>
        <v>-0.72258076115112368</v>
      </c>
      <c r="O46" s="14">
        <f t="shared" si="12"/>
        <v>109.49511793477416</v>
      </c>
      <c r="P46" s="112">
        <f t="shared" si="13"/>
        <v>12.284198291141768</v>
      </c>
      <c r="Q46" s="113">
        <f t="shared" si="14"/>
        <v>1.0935555945805981</v>
      </c>
      <c r="R46" s="113">
        <f t="shared" si="15"/>
        <v>-0.93801370459194822</v>
      </c>
      <c r="S46" s="113">
        <f t="shared" si="16"/>
        <v>2.030279975662205</v>
      </c>
      <c r="T46" s="113">
        <f t="shared" si="17"/>
        <v>107.22103019236995</v>
      </c>
      <c r="U46" s="111">
        <f t="shared" si="18"/>
        <v>33.396492037499677</v>
      </c>
      <c r="W46" s="72"/>
    </row>
    <row r="47" spans="1:23" x14ac:dyDescent="0.2">
      <c r="A47" s="157">
        <f>IF(CUANTILES!B47=" "," ",CUANTILES!B47)</f>
        <v>44</v>
      </c>
      <c r="B47" s="14">
        <f t="shared" si="0"/>
        <v>1.1590909090909092</v>
      </c>
      <c r="C47" s="78">
        <f t="shared" si="1"/>
        <v>0.13725490196078438</v>
      </c>
      <c r="D47" s="8">
        <f>IF(CUANTILES!G47=" "," ",CUANTILES!G47)</f>
        <v>111</v>
      </c>
      <c r="E47" s="14">
        <f t="shared" si="3"/>
        <v>2.0453229787866576</v>
      </c>
      <c r="F47" s="111">
        <f t="shared" si="2"/>
        <v>91.676957317292462</v>
      </c>
      <c r="G47" s="111">
        <f t="shared" si="4"/>
        <v>373.3799785177373</v>
      </c>
      <c r="H47" s="112">
        <f t="shared" si="5"/>
        <v>102.78881612799498</v>
      </c>
      <c r="I47" s="112">
        <f t="shared" si="6"/>
        <v>67.423540579875407</v>
      </c>
      <c r="J47" s="111">
        <f t="shared" si="7"/>
        <v>0.68608000865954688</v>
      </c>
      <c r="K47" s="111">
        <f t="shared" si="8"/>
        <v>93.073578548639233</v>
      </c>
      <c r="L47" s="111">
        <f t="shared" si="9"/>
        <v>321.35658605180748</v>
      </c>
      <c r="M47" s="137">
        <f t="shared" si="10"/>
        <v>2.9918318268005645E-2</v>
      </c>
      <c r="N47" s="26">
        <f t="shared" si="11"/>
        <v>-0.73257275323104132</v>
      </c>
      <c r="O47" s="14">
        <f t="shared" si="12"/>
        <v>109.01413324655914</v>
      </c>
      <c r="P47" s="112">
        <f t="shared" si="13"/>
        <v>3.9436667624217399</v>
      </c>
      <c r="Q47" s="113">
        <f t="shared" si="14"/>
        <v>1.0192502164379995</v>
      </c>
      <c r="R47" s="113">
        <f t="shared" si="15"/>
        <v>-0.98402045849348863</v>
      </c>
      <c r="S47" s="113">
        <f t="shared" si="16"/>
        <v>2.0248283121483306</v>
      </c>
      <c r="T47" s="113">
        <f t="shared" si="17"/>
        <v>105.88350575184047</v>
      </c>
      <c r="U47" s="111">
        <f t="shared" si="18"/>
        <v>26.178513391449513</v>
      </c>
      <c r="W47" s="72"/>
    </row>
    <row r="48" spans="1:23" x14ac:dyDescent="0.2">
      <c r="A48" s="157">
        <f>IF(CUANTILES!B48=" "," ",CUANTILES!B48)</f>
        <v>45</v>
      </c>
      <c r="B48" s="14">
        <f t="shared" si="0"/>
        <v>1.1333333333333333</v>
      </c>
      <c r="C48" s="78">
        <f t="shared" si="1"/>
        <v>0.11764705882352944</v>
      </c>
      <c r="D48" s="8">
        <f>IF(CUANTILES!G48=" "," ",CUANTILES!G48)</f>
        <v>105.5</v>
      </c>
      <c r="E48" s="14">
        <f t="shared" si="3"/>
        <v>2.0232524596337114</v>
      </c>
      <c r="F48" s="111">
        <f t="shared" si="2"/>
        <v>87.147475667904132</v>
      </c>
      <c r="G48" s="111">
        <f t="shared" si="4"/>
        <v>336.81514936017089</v>
      </c>
      <c r="H48" s="112">
        <f t="shared" si="5"/>
        <v>100.18341113510478</v>
      </c>
      <c r="I48" s="112">
        <f t="shared" si="6"/>
        <v>28.26611715832788</v>
      </c>
      <c r="J48" s="111">
        <f t="shared" si="7"/>
        <v>0.76083674607744523</v>
      </c>
      <c r="K48" s="111">
        <f t="shared" si="8"/>
        <v>89.973130263153593</v>
      </c>
      <c r="L48" s="111">
        <f t="shared" si="9"/>
        <v>241.08368382499683</v>
      </c>
      <c r="M48" s="137">
        <f t="shared" si="10"/>
        <v>2.2990387547331174E-2</v>
      </c>
      <c r="N48" s="26">
        <f t="shared" si="11"/>
        <v>-0.74155421131788679</v>
      </c>
      <c r="O48" s="14">
        <f t="shared" si="12"/>
        <v>108.58179264990275</v>
      </c>
      <c r="P48" s="112">
        <f t="shared" si="13"/>
        <v>9.4974459369946267</v>
      </c>
      <c r="Q48" s="113">
        <f t="shared" si="14"/>
        <v>0.94159211528945075</v>
      </c>
      <c r="R48" s="113">
        <f t="shared" si="15"/>
        <v>-1.0321030769702522</v>
      </c>
      <c r="S48" s="113">
        <f t="shared" si="16"/>
        <v>2.0191306648558851</v>
      </c>
      <c r="T48" s="113">
        <f t="shared" si="17"/>
        <v>104.50345882953312</v>
      </c>
      <c r="U48" s="111">
        <f t="shared" si="18"/>
        <v>0.99309430443550684</v>
      </c>
      <c r="W48" s="72"/>
    </row>
    <row r="49" spans="1:23" x14ac:dyDescent="0.2">
      <c r="A49" s="157">
        <f>IF(CUANTILES!B49=" "," ",CUANTILES!B49)</f>
        <v>46</v>
      </c>
      <c r="B49" s="14">
        <f t="shared" si="0"/>
        <v>1.1086956521739131</v>
      </c>
      <c r="C49" s="78">
        <f t="shared" si="1"/>
        <v>9.8039215686274495E-2</v>
      </c>
      <c r="D49" s="8">
        <f>IF(CUANTILES!G49=" "," ",CUANTILES!G49)</f>
        <v>101</v>
      </c>
      <c r="E49" s="14">
        <f t="shared" si="3"/>
        <v>2.0043213737826426</v>
      </c>
      <c r="F49" s="111">
        <f t="shared" si="2"/>
        <v>82.046213273608288</v>
      </c>
      <c r="G49" s="111">
        <f t="shared" si="4"/>
        <v>359.24603126954264</v>
      </c>
      <c r="H49" s="112">
        <f t="shared" si="5"/>
        <v>97.32809771531339</v>
      </c>
      <c r="I49" s="112">
        <f t="shared" si="6"/>
        <v>13.482866388286743</v>
      </c>
      <c r="J49" s="111">
        <f t="shared" si="7"/>
        <v>0.84259584620578931</v>
      </c>
      <c r="K49" s="111">
        <f t="shared" si="8"/>
        <v>86.582267170791241</v>
      </c>
      <c r="L49" s="111">
        <f t="shared" si="9"/>
        <v>207.87101993444401</v>
      </c>
      <c r="M49" s="137">
        <f t="shared" si="10"/>
        <v>1.685798756652623E-2</v>
      </c>
      <c r="N49" s="26">
        <f t="shared" si="11"/>
        <v>-0.74950433316812504</v>
      </c>
      <c r="O49" s="14">
        <f t="shared" si="12"/>
        <v>108.19909750274648</v>
      </c>
      <c r="P49" s="112">
        <f t="shared" si="13"/>
        <v>51.827004854050642</v>
      </c>
      <c r="Q49" s="113">
        <f t="shared" si="14"/>
        <v>0.85938446051416639</v>
      </c>
      <c r="R49" s="113">
        <f t="shared" si="15"/>
        <v>-1.0830025870273992</v>
      </c>
      <c r="S49" s="113">
        <f t="shared" si="16"/>
        <v>2.013099224288561</v>
      </c>
      <c r="T49" s="113">
        <f t="shared" si="17"/>
        <v>103.06215620931341</v>
      </c>
      <c r="U49" s="111">
        <f t="shared" si="18"/>
        <v>4.2524882316098713</v>
      </c>
      <c r="W49" s="72"/>
    </row>
    <row r="50" spans="1:23" x14ac:dyDescent="0.2">
      <c r="A50" s="157">
        <f>IF(CUANTILES!B50=" "," ",CUANTILES!B50)</f>
        <v>47</v>
      </c>
      <c r="B50" s="14">
        <f>IF(A50="", " ",($B$59+1)/A50)</f>
        <v>1.0851063829787233</v>
      </c>
      <c r="C50" s="78">
        <f t="shared" si="1"/>
        <v>7.8431372549019551E-2</v>
      </c>
      <c r="D50" s="8">
        <f>IF(CUANTILES!G50=" "," ",CUANTILES!G50)</f>
        <v>100</v>
      </c>
      <c r="E50" s="14">
        <f t="shared" si="3"/>
        <v>2</v>
      </c>
      <c r="F50" s="111">
        <f t="shared" si="2"/>
        <v>76.130324867174835</v>
      </c>
      <c r="G50" s="111">
        <f t="shared" si="4"/>
        <v>569.7613909466121</v>
      </c>
      <c r="H50" s="112">
        <f t="shared" si="5"/>
        <v>94.118570460024557</v>
      </c>
      <c r="I50" s="112">
        <f t="shared" si="6"/>
        <v>34.591213433695749</v>
      </c>
      <c r="J50" s="111">
        <f t="shared" si="7"/>
        <v>0.93433937933858846</v>
      </c>
      <c r="K50" s="111">
        <f t="shared" si="8"/>
        <v>82.777311392479263</v>
      </c>
      <c r="L50" s="111">
        <f t="shared" si="9"/>
        <v>296.62100287162463</v>
      </c>
      <c r="M50" s="137">
        <f t="shared" si="10"/>
        <v>1.1547538229992053E-2</v>
      </c>
      <c r="N50" s="26">
        <f t="shared" si="11"/>
        <v>-0.75638886767942781</v>
      </c>
      <c r="O50" s="14">
        <f t="shared" si="12"/>
        <v>107.86769655097032</v>
      </c>
      <c r="P50" s="112">
        <f t="shared" si="13"/>
        <v>61.900649018150304</v>
      </c>
      <c r="Q50" s="113">
        <f t="shared" si="14"/>
        <v>0.77077577604071001</v>
      </c>
      <c r="R50" s="113">
        <f t="shared" si="15"/>
        <v>-1.1378653445021838</v>
      </c>
      <c r="S50" s="113">
        <f t="shared" si="16"/>
        <v>2.006598150688891</v>
      </c>
      <c r="T50" s="113">
        <f t="shared" si="17"/>
        <v>101.53088007524877</v>
      </c>
      <c r="U50" s="111">
        <f t="shared" si="18"/>
        <v>2.3435938047936924</v>
      </c>
      <c r="W50" s="72"/>
    </row>
    <row r="51" spans="1:23" x14ac:dyDescent="0.2">
      <c r="A51" s="157">
        <f>IF(CUANTILES!B51=" "," ",CUANTILES!B51)</f>
        <v>48</v>
      </c>
      <c r="B51" s="14">
        <f>IF(A51="", " ",($B$59+1)/A51)</f>
        <v>1.0625</v>
      </c>
      <c r="C51" s="78">
        <f t="shared" si="1"/>
        <v>5.8823529411764719E-2</v>
      </c>
      <c r="D51" s="8">
        <f>IF(CUANTILES!G51=" "," ",CUANTILES!G51)</f>
        <v>95</v>
      </c>
      <c r="E51" s="14">
        <f t="shared" si="3"/>
        <v>1.9777236052888478</v>
      </c>
      <c r="F51" s="111">
        <f t="shared" si="2"/>
        <v>68.956735936713415</v>
      </c>
      <c r="G51" s="111">
        <f t="shared" si="4"/>
        <v>678.25160307007457</v>
      </c>
      <c r="H51" s="112">
        <f t="shared" si="5"/>
        <v>90.36835497177637</v>
      </c>
      <c r="I51" s="112">
        <f t="shared" si="6"/>
        <v>21.452135667468674</v>
      </c>
      <c r="J51" s="111">
        <f t="shared" si="7"/>
        <v>1.0414115247747806</v>
      </c>
      <c r="K51" s="111">
        <f t="shared" si="8"/>
        <v>78.336619339732835</v>
      </c>
      <c r="L51" s="111">
        <f t="shared" si="9"/>
        <v>277.6682550289658</v>
      </c>
      <c r="M51" s="137">
        <f t="shared" si="10"/>
        <v>7.1006565498775501E-3</v>
      </c>
      <c r="N51" s="26">
        <f t="shared" si="11"/>
        <v>-0.76215386202440905</v>
      </c>
      <c r="O51" s="14">
        <f t="shared" si="12"/>
        <v>107.5901869227196</v>
      </c>
      <c r="P51" s="112">
        <f t="shared" si="13"/>
        <v>158.51280674901952</v>
      </c>
      <c r="Q51" s="113">
        <f t="shared" si="14"/>
        <v>0.67260222623371202</v>
      </c>
      <c r="R51" s="113">
        <f t="shared" si="15"/>
        <v>-1.1986502628824298</v>
      </c>
      <c r="S51" s="113">
        <f t="shared" si="16"/>
        <v>1.9993953186343492</v>
      </c>
      <c r="T51" s="113">
        <f t="shared" si="17"/>
        <v>99.860863854356978</v>
      </c>
      <c r="U51" s="111">
        <f t="shared" si="18"/>
        <v>23.62799741059418</v>
      </c>
      <c r="W51" s="72"/>
    </row>
    <row r="52" spans="1:23" x14ac:dyDescent="0.2">
      <c r="A52" s="157">
        <f>IF(CUANTILES!B52=" "," ",CUANTILES!B52)</f>
        <v>49</v>
      </c>
      <c r="B52" s="14">
        <f>IF(A52="", " ",($B$59+1)/A52)</f>
        <v>1.0408163265306123</v>
      </c>
      <c r="C52" s="78">
        <f t="shared" si="1"/>
        <v>3.9215686274509887E-2</v>
      </c>
      <c r="D52" s="8">
        <f>IF(CUANTILES!G52=" "," ",CUANTILES!G52)</f>
        <v>95</v>
      </c>
      <c r="E52" s="14">
        <f t="shared" si="3"/>
        <v>1.9777236052888478</v>
      </c>
      <c r="F52" s="111">
        <f t="shared" si="2"/>
        <v>59.563540555657283</v>
      </c>
      <c r="G52" s="111">
        <f t="shared" si="4"/>
        <v>1255.7426579505461</v>
      </c>
      <c r="H52" s="112">
        <f t="shared" si="5"/>
        <v>85.682772731678227</v>
      </c>
      <c r="I52" s="112">
        <f t="shared" si="6"/>
        <v>86.810723969558808</v>
      </c>
      <c r="J52" s="111">
        <f t="shared" si="7"/>
        <v>1.1751653614620188</v>
      </c>
      <c r="K52" s="111">
        <f t="shared" si="8"/>
        <v>72.789335336207174</v>
      </c>
      <c r="L52" s="111">
        <f t="shared" si="9"/>
        <v>493.31362480745531</v>
      </c>
      <c r="M52" s="137">
        <f t="shared" si="10"/>
        <v>3.5841659566192663E-3</v>
      </c>
      <c r="N52" s="26">
        <f t="shared" si="11"/>
        <v>-0.76671268545228832</v>
      </c>
      <c r="O52" s="14">
        <f t="shared" si="12"/>
        <v>107.37073876387919</v>
      </c>
      <c r="P52" s="112">
        <f t="shared" si="13"/>
        <v>153.0351775641432</v>
      </c>
      <c r="Q52" s="113">
        <f t="shared" si="14"/>
        <v>0.55854516330779858</v>
      </c>
      <c r="R52" s="113">
        <f t="shared" si="15"/>
        <v>-1.2692695821825053</v>
      </c>
      <c r="S52" s="113">
        <f t="shared" si="16"/>
        <v>1.9910271393181818</v>
      </c>
      <c r="T52" s="113">
        <f t="shared" si="17"/>
        <v>97.955119622780643</v>
      </c>
      <c r="U52" s="111">
        <f t="shared" si="18"/>
        <v>8.732731984943209</v>
      </c>
      <c r="W52" s="72"/>
    </row>
    <row r="53" spans="1:23" x14ac:dyDescent="0.2">
      <c r="A53" s="157">
        <f>IF(CUANTILES!B53=" "," ",CUANTILES!B53)</f>
        <v>50</v>
      </c>
      <c r="B53" s="14">
        <f>IF(A53="", " ",($B$59+1)/A53)</f>
        <v>1.02</v>
      </c>
      <c r="C53" s="78">
        <f>IF(A53=""," ",1-1/B53)</f>
        <v>1.9607843137254943E-2</v>
      </c>
      <c r="D53" s="8">
        <f>IF(CUANTILES!G53=" "," ",CUANTILES!G53)</f>
        <v>89</v>
      </c>
      <c r="E53" s="14">
        <f t="shared" si="3"/>
        <v>1.9493900066449128</v>
      </c>
      <c r="F53" s="111">
        <f>IF(C53=" ","",NORMINV(C53,$B$60,$B$61))</f>
        <v>45.023491255891742</v>
      </c>
      <c r="G53" s="111">
        <f t="shared" si="4"/>
        <v>1933.9333213206301</v>
      </c>
      <c r="H53" s="112">
        <f t="shared" si="5"/>
        <v>78.90433005841669</v>
      </c>
      <c r="I53" s="112">
        <f t="shared" si="6"/>
        <v>101.92255156938876</v>
      </c>
      <c r="J53" s="111">
        <f t="shared" si="7"/>
        <v>1.3691038556058741</v>
      </c>
      <c r="K53" s="111">
        <f t="shared" si="8"/>
        <v>64.745963027211474</v>
      </c>
      <c r="L53" s="111">
        <f t="shared" si="9"/>
        <v>588.2583094773928</v>
      </c>
      <c r="M53" s="137">
        <f t="shared" si="10"/>
        <v>1.1162965429142159E-3</v>
      </c>
      <c r="N53" s="26">
        <f t="shared" si="11"/>
        <v>-0.76991206295715486</v>
      </c>
      <c r="O53" s="14">
        <f t="shared" si="12"/>
        <v>107.21673027594682</v>
      </c>
      <c r="P53" s="112">
        <f t="shared" si="13"/>
        <v>331.84926194659732</v>
      </c>
      <c r="Q53" s="113">
        <f t="shared" si="14"/>
        <v>0.41163380848300146</v>
      </c>
      <c r="R53" s="113">
        <f t="shared" si="15"/>
        <v>-1.360230892328796</v>
      </c>
      <c r="S53" s="113">
        <f t="shared" si="16"/>
        <v>1.980248494583541</v>
      </c>
      <c r="T53" s="113">
        <f t="shared" si="17"/>
        <v>95.553916996375662</v>
      </c>
      <c r="U53" s="111">
        <f t="shared" si="18"/>
        <v>42.953827995381779</v>
      </c>
      <c r="W53" s="72"/>
    </row>
    <row r="54" spans="1:23" x14ac:dyDescent="0.2">
      <c r="A54" s="15"/>
      <c r="B54" s="16"/>
      <c r="C54" s="114"/>
      <c r="D54" s="16"/>
      <c r="E54" s="16"/>
      <c r="F54" s="115"/>
      <c r="G54" s="115"/>
      <c r="H54" s="115"/>
      <c r="I54" s="115"/>
      <c r="J54" s="116"/>
      <c r="K54" s="116"/>
      <c r="L54" s="116"/>
      <c r="M54" s="115"/>
      <c r="N54" s="117"/>
      <c r="O54" s="16"/>
      <c r="P54" s="115"/>
      <c r="Q54" s="16"/>
      <c r="R54" s="16"/>
      <c r="S54" s="16"/>
      <c r="T54" s="16"/>
      <c r="U54" s="115"/>
    </row>
    <row r="56" spans="1:23" s="71" customFormat="1" x14ac:dyDescent="0.2">
      <c r="A56" s="22" t="s">
        <v>38</v>
      </c>
      <c r="B56" s="74"/>
      <c r="C56" s="108"/>
      <c r="D56" s="74"/>
      <c r="E56" s="74"/>
      <c r="F56" s="109"/>
      <c r="G56" s="109">
        <f>SUM(G4:G53)</f>
        <v>29852.893291783581</v>
      </c>
      <c r="H56" s="109"/>
      <c r="I56" s="109">
        <f>SUM(I4:I53)</f>
        <v>20421.333859066002</v>
      </c>
      <c r="J56" s="109"/>
      <c r="K56" s="109"/>
      <c r="L56" s="109">
        <f>SUM(L4:L53)</f>
        <v>15527.403805950677</v>
      </c>
      <c r="M56" s="109"/>
      <c r="N56" s="110"/>
      <c r="O56" s="74"/>
      <c r="P56" s="109">
        <f>SUM(P4:P53)</f>
        <v>8616.8749352818013</v>
      </c>
      <c r="Q56" s="74"/>
      <c r="R56" s="74"/>
      <c r="S56" s="74"/>
      <c r="T56" s="74"/>
      <c r="U56" s="109">
        <f>SUM(U4:U53)</f>
        <v>8692.8260575522036</v>
      </c>
    </row>
    <row r="57" spans="1:23" ht="16.5" thickBot="1" x14ac:dyDescent="0.25">
      <c r="B57" s="72"/>
      <c r="C57" s="119"/>
      <c r="E57" s="119"/>
      <c r="F57" s="120"/>
      <c r="G57" s="121"/>
      <c r="H57" s="120"/>
      <c r="I57" s="121"/>
      <c r="J57" s="122"/>
      <c r="K57" s="121"/>
      <c r="L57" s="121"/>
      <c r="M57" s="121"/>
      <c r="N57" s="43"/>
      <c r="O57" s="72"/>
      <c r="P57" s="121"/>
      <c r="Q57" s="119"/>
      <c r="R57" s="119"/>
      <c r="S57" s="72"/>
      <c r="T57" s="72"/>
      <c r="U57" s="121"/>
    </row>
    <row r="58" spans="1:23" x14ac:dyDescent="0.2">
      <c r="A58" s="431" t="s">
        <v>28</v>
      </c>
      <c r="B58" s="431"/>
      <c r="C58" s="431"/>
      <c r="D58" s="123"/>
      <c r="E58" s="261" t="s">
        <v>35</v>
      </c>
      <c r="F58" s="262"/>
      <c r="G58" s="262"/>
      <c r="H58" s="262"/>
      <c r="I58" s="263"/>
      <c r="J58" s="122"/>
      <c r="K58" s="121"/>
      <c r="L58" s="121"/>
      <c r="M58" s="121"/>
      <c r="N58" s="43"/>
      <c r="O58" s="72"/>
      <c r="P58" s="121"/>
      <c r="Q58" s="119"/>
      <c r="R58" s="119"/>
      <c r="S58" s="72"/>
      <c r="T58" s="72"/>
      <c r="U58" s="121"/>
    </row>
    <row r="59" spans="1:23" ht="18" x14ac:dyDescent="0.2">
      <c r="A59" s="13" t="s">
        <v>25</v>
      </c>
      <c r="B59" s="414">
        <f>CUANTILES!D56</f>
        <v>50</v>
      </c>
      <c r="C59" s="414"/>
      <c r="E59" s="24" t="s">
        <v>37</v>
      </c>
      <c r="F59" s="4" t="s">
        <v>125</v>
      </c>
      <c r="G59" s="156" t="s">
        <v>36</v>
      </c>
      <c r="H59" s="156" t="s">
        <v>27</v>
      </c>
      <c r="I59" s="25" t="s">
        <v>37</v>
      </c>
      <c r="M59" s="72"/>
      <c r="V59" s="72" t="s">
        <v>6</v>
      </c>
    </row>
    <row r="60" spans="1:23" x14ac:dyDescent="0.2">
      <c r="A60" s="124"/>
      <c r="B60" s="118">
        <f>AVERAGE(D4:D53)</f>
        <v>144.27799999999999</v>
      </c>
      <c r="C60" s="118">
        <f>AVERAGE(E4:E53)</f>
        <v>2.1414318100163987</v>
      </c>
      <c r="D60" s="125"/>
      <c r="E60" s="165" t="s">
        <v>14</v>
      </c>
      <c r="F60" s="14">
        <f>G56</f>
        <v>29852.893291783581</v>
      </c>
      <c r="G60" s="14">
        <f>SQRT(F60/($B$59-2))</f>
        <v>24.938630213228592</v>
      </c>
      <c r="H60" s="157" t="str">
        <f>IF(G60&lt;=MIN($G$60:$G$64),"Es la mejor", "")</f>
        <v/>
      </c>
      <c r="I60" s="167" t="s">
        <v>14</v>
      </c>
    </row>
    <row r="61" spans="1:23" x14ac:dyDescent="0.2">
      <c r="A61" s="126" t="s">
        <v>41</v>
      </c>
      <c r="B61" s="14">
        <f>STDEV(D4:D53)</f>
        <v>48.137016559663401</v>
      </c>
      <c r="C61" s="14">
        <f>STDEV(E4:E53)</f>
        <v>0.1184970260136515</v>
      </c>
      <c r="D61" s="125"/>
      <c r="E61" s="165" t="s">
        <v>15</v>
      </c>
      <c r="F61" s="14">
        <f>I56</f>
        <v>20421.333859066002</v>
      </c>
      <c r="G61" s="14">
        <f>SQRT(F61/($B$59-2))</f>
        <v>20.626304938044729</v>
      </c>
      <c r="H61" s="157" t="str">
        <f>IF(G61&lt;=MIN($G$60:$G$64),"Es la mejor", "")</f>
        <v/>
      </c>
      <c r="I61" s="167" t="s">
        <v>15</v>
      </c>
    </row>
    <row r="62" spans="1:23" x14ac:dyDescent="0.2">
      <c r="A62" s="124"/>
      <c r="B62" s="14">
        <f>SKEW(D4:D53)</f>
        <v>2.5928256066541842</v>
      </c>
      <c r="C62" s="14">
        <f>SKEW(E4:E53)</f>
        <v>1.2383155849970751</v>
      </c>
      <c r="D62" s="125"/>
      <c r="E62" s="165" t="s">
        <v>21</v>
      </c>
      <c r="F62" s="112">
        <f>P56</f>
        <v>8616.8749352818013</v>
      </c>
      <c r="G62" s="112">
        <f>SQRT(F62/($B$59-2))</f>
        <v>13.398441245845387</v>
      </c>
      <c r="H62" s="157" t="str">
        <f>IF(G62&lt;=MIN($G$60:$G$64),"Es la mejor", "")</f>
        <v>Es la mejor</v>
      </c>
      <c r="I62" s="167" t="s">
        <v>21</v>
      </c>
    </row>
    <row r="63" spans="1:23" x14ac:dyDescent="0.2">
      <c r="A63" s="431" t="s">
        <v>32</v>
      </c>
      <c r="B63" s="431"/>
      <c r="C63" s="431"/>
      <c r="D63" s="125"/>
      <c r="E63" s="165" t="s">
        <v>22</v>
      </c>
      <c r="F63" s="112">
        <f>U56</f>
        <v>8692.8260575522036</v>
      </c>
      <c r="G63" s="112">
        <f>SQRT(F63/($B$59-3))</f>
        <v>13.599770068106521</v>
      </c>
      <c r="H63" s="157" t="str">
        <f>IF(G63&lt;=MIN($G$60:$G$64),"Es la mejor", "")</f>
        <v/>
      </c>
      <c r="I63" s="167" t="s">
        <v>22</v>
      </c>
    </row>
    <row r="64" spans="1:23" ht="16.5" thickBot="1" x14ac:dyDescent="0.25">
      <c r="A64" s="124"/>
      <c r="B64" s="54">
        <f>CUANTILES!D65</f>
        <v>1.16066</v>
      </c>
      <c r="C64" s="54"/>
      <c r="D64" s="125"/>
      <c r="E64" s="166" t="s">
        <v>16</v>
      </c>
      <c r="F64" s="127">
        <f>L56</f>
        <v>15527.403805950677</v>
      </c>
      <c r="G64" s="127">
        <f>SQRT(F64/($B$59-3))</f>
        <v>18.176091266926214</v>
      </c>
      <c r="H64" s="168" t="str">
        <f>IF(G64&lt;=MIN($G$60:$G$64),"Es la mejor", "")</f>
        <v/>
      </c>
      <c r="I64" s="169" t="s">
        <v>16</v>
      </c>
    </row>
    <row r="65" spans="1:7" x14ac:dyDescent="0.2">
      <c r="A65" s="124"/>
      <c r="B65" s="54">
        <f>CUANTILES!D66</f>
        <v>0.54854000000000003</v>
      </c>
      <c r="C65" s="54"/>
    </row>
    <row r="66" spans="1:7" x14ac:dyDescent="0.2">
      <c r="A66" s="13" t="s">
        <v>39</v>
      </c>
      <c r="B66" s="76">
        <f>B64/B61</f>
        <v>2.4111589852300476E-2</v>
      </c>
      <c r="C66" s="54"/>
    </row>
    <row r="67" spans="1:7" x14ac:dyDescent="0.2">
      <c r="A67" s="13" t="s">
        <v>40</v>
      </c>
      <c r="B67" s="76">
        <f>B60-B65/B66</f>
        <v>121.52794480413061</v>
      </c>
      <c r="C67" s="54"/>
    </row>
    <row r="68" spans="1:7" x14ac:dyDescent="0.2">
      <c r="A68" s="431" t="s">
        <v>33</v>
      </c>
      <c r="B68" s="431"/>
      <c r="C68" s="431"/>
      <c r="E68" s="128" t="s">
        <v>119</v>
      </c>
      <c r="F68" s="128"/>
      <c r="G68" s="128" t="str">
        <f>VLOOKUP((MIN(G60:G64)),G60:I64,3,FALSE)</f>
        <v>PEARSON III</v>
      </c>
    </row>
    <row r="69" spans="1:7" x14ac:dyDescent="0.2">
      <c r="A69" s="13" t="s">
        <v>39</v>
      </c>
      <c r="B69" s="77">
        <f>4/(B62*B62)</f>
        <v>0.59499508343954577</v>
      </c>
      <c r="C69" s="77">
        <f>4/(C62*C62)</f>
        <v>2.6085388766397735</v>
      </c>
    </row>
  </sheetData>
  <mergeCells count="9">
    <mergeCell ref="Q2:U2"/>
    <mergeCell ref="M2:P2"/>
    <mergeCell ref="A58:C58"/>
    <mergeCell ref="A63:C63"/>
    <mergeCell ref="A68:C68"/>
    <mergeCell ref="B59:C59"/>
    <mergeCell ref="F2:G2"/>
    <mergeCell ref="H2:I2"/>
    <mergeCell ref="J2:L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tabColor rgb="FF00B050"/>
  </sheetPr>
  <dimension ref="A1:L55"/>
  <sheetViews>
    <sheetView topLeftCell="A4" zoomScale="85" zoomScaleNormal="85" workbookViewId="0">
      <selection activeCell="E21" sqref="E21"/>
    </sheetView>
  </sheetViews>
  <sheetFormatPr defaultColWidth="0" defaultRowHeight="15.75" zeroHeight="1" x14ac:dyDescent="0.2"/>
  <cols>
    <col min="1" max="1" width="3.765625" style="3" customWidth="1"/>
    <col min="2" max="2" width="39.546875" style="3" bestFit="1" customWidth="1"/>
    <col min="3" max="3" width="34.30078125" style="3" bestFit="1" customWidth="1"/>
    <col min="4" max="4" width="25.55859375" style="3" bestFit="1" customWidth="1"/>
    <col min="5" max="5" width="7.53125" style="3" customWidth="1"/>
    <col min="6" max="16384" width="11.43359375" style="3" hidden="1"/>
  </cols>
  <sheetData>
    <row r="1" spans="1:5" x14ac:dyDescent="0.2">
      <c r="A1" s="133"/>
      <c r="B1" s="133"/>
      <c r="C1" s="133"/>
      <c r="D1" s="133"/>
      <c r="E1" s="133"/>
    </row>
    <row r="2" spans="1:5" ht="18" customHeight="1" x14ac:dyDescent="0.2">
      <c r="A2" s="133"/>
      <c r="B2" s="406" t="s">
        <v>358</v>
      </c>
      <c r="C2" s="406"/>
      <c r="D2" s="406"/>
      <c r="E2" s="133"/>
    </row>
    <row r="3" spans="1:5" ht="18" customHeight="1" x14ac:dyDescent="0.2">
      <c r="A3" s="133"/>
      <c r="B3" s="442" t="s">
        <v>150</v>
      </c>
      <c r="C3" s="443"/>
      <c r="D3" s="443"/>
      <c r="E3" s="133"/>
    </row>
    <row r="4" spans="1:5" x14ac:dyDescent="0.2">
      <c r="A4" s="133"/>
      <c r="B4" s="264" t="s">
        <v>144</v>
      </c>
      <c r="C4" s="438">
        <f>'COEFICIENTE DE ESCURRIMIENTO'!E18</f>
        <v>398</v>
      </c>
      <c r="D4" s="439"/>
      <c r="E4" s="133"/>
    </row>
    <row r="5" spans="1:5" x14ac:dyDescent="0.2">
      <c r="A5" s="133"/>
      <c r="B5" s="264" t="s">
        <v>145</v>
      </c>
      <c r="C5" s="440">
        <f>'COEFICIENTE DE ESCURRIMIENTO'!G22</f>
        <v>0.10153190954773872</v>
      </c>
      <c r="D5" s="441"/>
      <c r="E5" s="133"/>
    </row>
    <row r="6" spans="1:5" x14ac:dyDescent="0.2">
      <c r="A6" s="133"/>
      <c r="B6" s="435"/>
      <c r="C6" s="436"/>
      <c r="D6" s="437"/>
      <c r="E6" s="133"/>
    </row>
    <row r="7" spans="1:5" x14ac:dyDescent="0.2">
      <c r="A7" s="133"/>
      <c r="B7" s="444" t="str">
        <f>'ERROR ESTANDAR'!E58</f>
        <v>RESULTADOS DE LA PRUEBA DEL ERROR ESTANDAR</v>
      </c>
      <c r="C7" s="445"/>
      <c r="D7" s="445"/>
      <c r="E7" s="133"/>
    </row>
    <row r="8" spans="1:5" x14ac:dyDescent="0.2">
      <c r="A8" s="133"/>
      <c r="B8" s="265" t="str">
        <f>'ERROR ESTANDAR'!E59</f>
        <v>DISTRIBUCIÓN</v>
      </c>
      <c r="C8" s="266" t="str">
        <f>'ERROR ESTANDAR'!G59</f>
        <v>ERROR ESTANDAR</v>
      </c>
      <c r="D8" s="266" t="str">
        <f>'ERROR ESTANDAR'!H59</f>
        <v>CONCLUSIÓN</v>
      </c>
      <c r="E8" s="133"/>
    </row>
    <row r="9" spans="1:5" x14ac:dyDescent="0.2">
      <c r="A9" s="133"/>
      <c r="B9" s="264" t="str">
        <f>'ERROR ESTANDAR'!E60</f>
        <v>NORMAL</v>
      </c>
      <c r="C9" s="266">
        <f>'ERROR ESTANDAR'!G60</f>
        <v>24.938630213228592</v>
      </c>
      <c r="D9" s="267" t="str">
        <f>'ERROR ESTANDAR'!H60</f>
        <v/>
      </c>
      <c r="E9" s="133"/>
    </row>
    <row r="10" spans="1:5" x14ac:dyDescent="0.2">
      <c r="A10" s="133"/>
      <c r="B10" s="264" t="str">
        <f>'ERROR ESTANDAR'!E61</f>
        <v>LOG-NORMAL</v>
      </c>
      <c r="C10" s="266">
        <f>'ERROR ESTANDAR'!G61</f>
        <v>20.626304938044729</v>
      </c>
      <c r="D10" s="267" t="str">
        <f>'ERROR ESTANDAR'!H61</f>
        <v/>
      </c>
      <c r="E10" s="133"/>
    </row>
    <row r="11" spans="1:5" x14ac:dyDescent="0.2">
      <c r="A11" s="133"/>
      <c r="B11" s="264" t="str">
        <f>'ERROR ESTANDAR'!E62</f>
        <v>PEARSON III</v>
      </c>
      <c r="C11" s="266">
        <f>'ERROR ESTANDAR'!G62</f>
        <v>13.398441245845387</v>
      </c>
      <c r="D11" s="267" t="str">
        <f>'ERROR ESTANDAR'!H62</f>
        <v>Es la mejor</v>
      </c>
      <c r="E11" s="133"/>
    </row>
    <row r="12" spans="1:5" x14ac:dyDescent="0.2">
      <c r="A12" s="133"/>
      <c r="B12" s="264" t="str">
        <f>'ERROR ESTANDAR'!E63</f>
        <v>LOG-PEARSON III</v>
      </c>
      <c r="C12" s="266">
        <f>'ERROR ESTANDAR'!G63</f>
        <v>13.599770068106521</v>
      </c>
      <c r="D12" s="267" t="str">
        <f>'ERROR ESTANDAR'!H63</f>
        <v/>
      </c>
      <c r="E12" s="133"/>
    </row>
    <row r="13" spans="1:5" x14ac:dyDescent="0.2">
      <c r="A13" s="133"/>
      <c r="B13" s="264" t="str">
        <f>'ERROR ESTANDAR'!E64</f>
        <v>GUMBEL</v>
      </c>
      <c r="C13" s="266">
        <f>'ERROR ESTANDAR'!G64</f>
        <v>18.176091266926214</v>
      </c>
      <c r="D13" s="267" t="str">
        <f>'ERROR ESTANDAR'!H64</f>
        <v/>
      </c>
      <c r="E13" s="133" t="str">
        <f>'ERROR ESTANDAR'!H64</f>
        <v/>
      </c>
    </row>
    <row r="14" spans="1:5" x14ac:dyDescent="0.2">
      <c r="A14" s="133"/>
      <c r="B14" s="272"/>
      <c r="C14" s="273"/>
      <c r="D14" s="274"/>
      <c r="E14" s="133"/>
    </row>
    <row r="15" spans="1:5" ht="36" customHeight="1" x14ac:dyDescent="0.2">
      <c r="A15" s="133"/>
      <c r="B15" s="432" t="str">
        <f>CONCATENATE("Para la función de probabilidad  ",VLOOKUP(MIN('ERROR ESTANDAR'!$G$60:$I$64),'ERROR ESTANDAR'!$G$60:$I$64,3,FALSE),"  Se tiene el siguiente análisis para diferentes periodos de retorno:")</f>
        <v>Para la función de probabilidad  PEARSON III  Se tiene el siguiente análisis para diferentes periodos de retorno:</v>
      </c>
      <c r="C15" s="433"/>
      <c r="D15" s="434"/>
      <c r="E15" s="133"/>
    </row>
    <row r="16" spans="1:5" ht="18" x14ac:dyDescent="0.2">
      <c r="A16" s="133"/>
      <c r="B16" s="268" t="s">
        <v>126</v>
      </c>
      <c r="C16" s="268" t="s">
        <v>127</v>
      </c>
      <c r="D16" s="268" t="s">
        <v>360</v>
      </c>
      <c r="E16" s="133"/>
    </row>
    <row r="17" spans="1:12" x14ac:dyDescent="0.2">
      <c r="A17" s="133"/>
      <c r="B17" s="269">
        <v>2</v>
      </c>
      <c r="C17" s="270">
        <f>IF('ERROR ESTANDAR'!$G$68=CUANTILES!$E$69,VLOOKUP(B17,CUANTILES!$C$71:$Q$78,3,FALSE),(IF('ERROR ESTANDAR'!$G$68=CUANTILES!$F$69,VLOOKUP(B17,CUANTILES!$C$71:$Q$78,5,FALSE),(IF('ERROR ESTANDAR'!$G$68=CUANTILES!$H$69,VLOOKUP(B17,CUANTILES!$C$71:$Q$78,8,FALSE),(IF('ERROR ESTANDAR'!$G$68=CUANTILES!$K$69,VLOOKUP(B17,CUANTILES!$C$71:$Q$78,12,FALSE),(IF('ERROR ESTANDAR'!$G$68=CUANTILES!$O$69,VLOOKUP(B17,CUANTILES!$C$71:$Q$78,15,FALSE))))))))))</f>
        <v>126.5669597436894</v>
      </c>
      <c r="D17" s="271">
        <f>0.028*$C$5*(C17/10)*$C$4</f>
        <v>14.320692044832787</v>
      </c>
      <c r="E17" s="133"/>
    </row>
    <row r="18" spans="1:12" x14ac:dyDescent="0.2">
      <c r="A18" s="133"/>
      <c r="B18" s="269">
        <v>5</v>
      </c>
      <c r="C18" s="270">
        <f>IF('ERROR ESTANDAR'!$G$68=CUANTILES!$E$69,VLOOKUP(B18,CUANTILES!$C$71:$Q$78,3,FALSE),(IF('ERROR ESTANDAR'!$G$68=CUANTILES!$F$69,VLOOKUP(B18,CUANTILES!$C$71:$Q$78,5,FALSE),(IF('ERROR ESTANDAR'!$G$68=CUANTILES!$H$69,VLOOKUP(B18,CUANTILES!$C$71:$Q$78,8,FALSE),(IF('ERROR ESTANDAR'!$G$68=CUANTILES!$K$69,VLOOKUP(B18,CUANTILES!$C$71:$Q$78,12,FALSE),(IF('ERROR ESTANDAR'!$G$68=CUANTILES!$O$69,VLOOKUP(B18,CUANTILES!$C$71:$Q$78,15,FALSE))))))))))</f>
        <v>168.35129691245285</v>
      </c>
      <c r="D18" s="271">
        <f t="shared" ref="D18:D24" si="0">0.028*$C$5*(C18/10)*$C$4</f>
        <v>19.048471127960813</v>
      </c>
      <c r="E18" s="133"/>
    </row>
    <row r="19" spans="1:12" x14ac:dyDescent="0.2">
      <c r="A19" s="133"/>
      <c r="B19" s="269">
        <v>10</v>
      </c>
      <c r="C19" s="270">
        <f>IF('ERROR ESTANDAR'!$G$68=CUANTILES!$E$69,VLOOKUP(B19,CUANTILES!$C$71:$Q$78,3,FALSE),(IF('ERROR ESTANDAR'!$G$68=CUANTILES!$F$69,VLOOKUP(B19,CUANTILES!$C$71:$Q$78,5,FALSE),(IF('ERROR ESTANDAR'!$G$68=CUANTILES!$H$69,VLOOKUP(B19,CUANTILES!$C$71:$Q$78,8,FALSE),(IF('ERROR ESTANDAR'!$G$68=CUANTILES!$K$69,VLOOKUP(B19,CUANTILES!$C$71:$Q$78,12,FALSE),(IF('ERROR ESTANDAR'!$G$68=CUANTILES!$O$69,VLOOKUP(B19,CUANTILES!$C$71:$Q$78,15,FALSE))))))))))</f>
        <v>203.90029644143678</v>
      </c>
      <c r="D19" s="271">
        <f t="shared" si="0"/>
        <v>23.070739465506684</v>
      </c>
      <c r="E19" s="133"/>
    </row>
    <row r="20" spans="1:12" x14ac:dyDescent="0.2">
      <c r="A20" s="133"/>
      <c r="B20" s="269">
        <v>25</v>
      </c>
      <c r="C20" s="270">
        <f>IF('ERROR ESTANDAR'!$G$68=CUANTILES!$E$69,VLOOKUP(B20,CUANTILES!$C$71:$Q$78,3,FALSE),(IF('ERROR ESTANDAR'!$G$68=CUANTILES!$F$69,VLOOKUP(B20,CUANTILES!$C$71:$Q$78,5,FALSE),(IF('ERROR ESTANDAR'!$G$68=CUANTILES!$H$69,VLOOKUP(B20,CUANTILES!$C$71:$Q$78,8,FALSE),(IF('ERROR ESTANDAR'!$G$68=CUANTILES!$K$69,VLOOKUP(B20,CUANTILES!$C$71:$Q$78,12,FALSE),(IF('ERROR ESTANDAR'!$G$68=CUANTILES!$O$69,VLOOKUP(B20,CUANTILES!$C$71:$Q$78,15,FALSE))))))))))</f>
        <v>253.40885826209475</v>
      </c>
      <c r="D20" s="271">
        <f t="shared" si="0"/>
        <v>28.672492631198566</v>
      </c>
      <c r="E20" s="133"/>
    </row>
    <row r="21" spans="1:12" x14ac:dyDescent="0.2">
      <c r="A21" s="133"/>
      <c r="B21" s="269">
        <v>50</v>
      </c>
      <c r="C21" s="270">
        <f>IF('ERROR ESTANDAR'!$G$68=CUANTILES!$E$69,VLOOKUP(B21,CUANTILES!$C$71:$Q$78,3,FALSE),(IF('ERROR ESTANDAR'!$G$68=CUANTILES!$F$69,VLOOKUP(B21,CUANTILES!$C$71:$Q$78,5,FALSE),(IF('ERROR ESTANDAR'!$G$68=CUANTILES!$H$69,VLOOKUP(B21,CUANTILES!$C$71:$Q$78,8,FALSE),(IF('ERROR ESTANDAR'!$G$68=CUANTILES!$K$69,VLOOKUP(B21,CUANTILES!$C$71:$Q$78,12,FALSE),(IF('ERROR ESTANDAR'!$G$68=CUANTILES!$O$69,VLOOKUP(B21,CUANTILES!$C$71:$Q$78,15,FALSE))))))))))</f>
        <v>292.03625452850775</v>
      </c>
      <c r="D21" s="271">
        <f t="shared" si="0"/>
        <v>33.043072816937801</v>
      </c>
      <c r="E21" s="133"/>
    </row>
    <row r="22" spans="1:12" x14ac:dyDescent="0.2">
      <c r="A22" s="133"/>
      <c r="B22" s="269">
        <v>100</v>
      </c>
      <c r="C22" s="270">
        <f>IF('ERROR ESTANDAR'!$G$68=CUANTILES!$E$69,VLOOKUP(B22,CUANTILES!$C$71:$Q$78,3,FALSE),(IF('ERROR ESTANDAR'!$G$68=CUANTILES!$F$69,VLOOKUP(B22,CUANTILES!$C$71:$Q$78,5,FALSE),(IF('ERROR ESTANDAR'!$G$68=CUANTILES!$H$69,VLOOKUP(B22,CUANTILES!$C$71:$Q$78,8,FALSE),(IF('ERROR ESTANDAR'!$G$68=CUANTILES!$K$69,VLOOKUP(B22,CUANTILES!$C$71:$Q$78,12,FALSE),(IF('ERROR ESTANDAR'!$G$68=CUANTILES!$O$69,VLOOKUP(B22,CUANTILES!$C$71:$Q$78,15,FALSE))))))))))</f>
        <v>331.34767275909769</v>
      </c>
      <c r="D22" s="271">
        <f t="shared" si="0"/>
        <v>37.491048145301278</v>
      </c>
      <c r="E22" s="133"/>
    </row>
    <row r="23" spans="1:12" x14ac:dyDescent="0.2">
      <c r="A23" s="133"/>
      <c r="B23" s="269">
        <v>200</v>
      </c>
      <c r="C23" s="270">
        <f>IF('ERROR ESTANDAR'!$G$68=CUANTILES!$E$69,VLOOKUP(B23,CUANTILES!$C$71:$Q$78,3,FALSE),(IF('ERROR ESTANDAR'!$G$68=CUANTILES!$F$69,VLOOKUP(B23,CUANTILES!$C$71:$Q$78,5,FALSE),(IF('ERROR ESTANDAR'!$G$68=CUANTILES!$H$69,VLOOKUP(B23,CUANTILES!$C$71:$Q$78,8,FALSE),(IF('ERROR ESTANDAR'!$G$68=CUANTILES!$K$69,VLOOKUP(B23,CUANTILES!$C$71:$Q$78,12,FALSE),(IF('ERROR ESTANDAR'!$G$68=CUANTILES!$O$69,VLOOKUP(B23,CUANTILES!$C$71:$Q$78,15,FALSE))))))))))</f>
        <v>371.16885908675096</v>
      </c>
      <c r="D23" s="271">
        <f t="shared" si="0"/>
        <v>41.996702286106078</v>
      </c>
      <c r="E23" s="133"/>
    </row>
    <row r="24" spans="1:12" x14ac:dyDescent="0.2">
      <c r="A24" s="133"/>
      <c r="B24" s="269">
        <v>500</v>
      </c>
      <c r="C24" s="270">
        <f>IF('ERROR ESTANDAR'!$G$68=CUANTILES!$E$69,VLOOKUP(B24,CUANTILES!$C$71:$Q$78,3,FALSE),(IF('ERROR ESTANDAR'!$G$68=CUANTILES!$F$69,VLOOKUP(B24,CUANTILES!$C$71:$Q$78,5,FALSE),(IF('ERROR ESTANDAR'!$G$68=CUANTILES!$H$69,VLOOKUP(B24,CUANTILES!$C$71:$Q$78,8,FALSE),(IF('ERROR ESTANDAR'!$G$68=CUANTILES!$K$69,VLOOKUP(B24,CUANTILES!$C$71:$Q$78,12,FALSE),(IF('ERROR ESTANDAR'!$G$68=CUANTILES!$O$69,VLOOKUP(B24,CUANTILES!$C$71:$Q$78,15,FALSE))))))))))</f>
        <v>424.40095060150679</v>
      </c>
      <c r="D24" s="271">
        <f t="shared" si="0"/>
        <v>48.019762261860805</v>
      </c>
      <c r="E24" s="133"/>
    </row>
    <row r="25" spans="1:12" x14ac:dyDescent="0.2">
      <c r="A25" s="133"/>
      <c r="B25" s="133"/>
      <c r="C25" s="133"/>
      <c r="D25" s="133"/>
      <c r="E25" s="133"/>
    </row>
    <row r="26" spans="1:12" hidden="1" x14ac:dyDescent="0.2"/>
    <row r="27" spans="1:12" hidden="1" x14ac:dyDescent="0.2">
      <c r="B27" s="75"/>
      <c r="C27" s="75"/>
      <c r="D27" s="75"/>
      <c r="E27" s="75"/>
      <c r="F27" s="75"/>
      <c r="G27" s="75"/>
      <c r="H27" s="75"/>
      <c r="I27" s="75"/>
      <c r="J27" s="75"/>
      <c r="K27" s="75"/>
      <c r="L27" s="75"/>
    </row>
    <row r="28" spans="1:12" hidden="1" x14ac:dyDescent="0.2">
      <c r="B28" s="75"/>
      <c r="C28" s="75"/>
      <c r="D28" s="75"/>
      <c r="E28" s="75"/>
      <c r="F28" s="75"/>
      <c r="G28" s="75"/>
      <c r="H28" s="75"/>
      <c r="I28" s="75"/>
      <c r="J28" s="75"/>
      <c r="K28" s="75"/>
      <c r="L28" s="75"/>
    </row>
    <row r="29" spans="1:12" hidden="1" x14ac:dyDescent="0.2">
      <c r="B29" s="75"/>
      <c r="C29" s="75"/>
      <c r="D29" s="75"/>
      <c r="E29" s="75"/>
      <c r="F29" s="75"/>
      <c r="G29" s="75"/>
      <c r="H29" s="75"/>
      <c r="I29" s="75"/>
      <c r="J29" s="75"/>
      <c r="K29" s="75"/>
      <c r="L29" s="75"/>
    </row>
    <row r="30" spans="1:12" hidden="1" x14ac:dyDescent="0.2">
      <c r="B30" s="75"/>
      <c r="C30" s="75"/>
      <c r="D30" s="75"/>
      <c r="E30" s="75"/>
      <c r="F30" s="75"/>
      <c r="G30" s="75"/>
      <c r="H30" s="75"/>
      <c r="I30" s="75"/>
      <c r="J30" s="75"/>
      <c r="K30" s="75"/>
      <c r="L30" s="75"/>
    </row>
    <row r="31" spans="1:12" hidden="1" x14ac:dyDescent="0.2">
      <c r="B31" s="75"/>
      <c r="C31" s="75"/>
      <c r="D31" s="75"/>
      <c r="E31" s="75"/>
      <c r="F31" s="75"/>
      <c r="G31" s="75"/>
      <c r="H31" s="75"/>
      <c r="I31" s="75"/>
      <c r="J31" s="75"/>
      <c r="K31" s="75"/>
      <c r="L31" s="75"/>
    </row>
    <row r="32" spans="1:12" hidden="1" x14ac:dyDescent="0.2">
      <c r="B32" s="75"/>
      <c r="C32" s="75"/>
      <c r="D32" s="75"/>
      <c r="E32" s="75"/>
      <c r="F32" s="75"/>
      <c r="G32" s="75"/>
      <c r="H32" s="75"/>
      <c r="I32" s="75"/>
      <c r="J32" s="75"/>
      <c r="K32" s="75"/>
      <c r="L32" s="75"/>
    </row>
    <row r="33" spans="2:12" ht="60.75" hidden="1" customHeight="1" x14ac:dyDescent="0.2">
      <c r="B33" s="132"/>
      <c r="C33" s="132"/>
      <c r="D33" s="132"/>
      <c r="E33" s="132"/>
      <c r="F33" s="132"/>
      <c r="G33" s="132"/>
      <c r="H33" s="132"/>
      <c r="I33" s="132"/>
      <c r="J33" s="132"/>
      <c r="K33" s="132"/>
      <c r="L33" s="132"/>
    </row>
    <row r="34" spans="2:12" ht="58.5" hidden="1" customHeight="1" x14ac:dyDescent="0.2">
      <c r="B34" s="132"/>
      <c r="C34" s="132"/>
      <c r="D34" s="132"/>
      <c r="E34" s="132"/>
      <c r="F34" s="132"/>
      <c r="G34" s="132"/>
      <c r="H34" s="132"/>
      <c r="I34" s="132"/>
      <c r="J34" s="132"/>
      <c r="K34" s="132"/>
      <c r="L34" s="132"/>
    </row>
    <row r="35" spans="2:12" hidden="1" x14ac:dyDescent="0.2">
      <c r="B35" s="15"/>
      <c r="C35" s="75"/>
      <c r="D35" s="75"/>
      <c r="E35" s="75"/>
      <c r="F35" s="131"/>
      <c r="G35" s="75"/>
      <c r="H35" s="131"/>
      <c r="I35" s="75"/>
      <c r="J35" s="75"/>
      <c r="K35" s="75"/>
      <c r="L35" s="75"/>
    </row>
    <row r="36" spans="2:12" hidden="1" x14ac:dyDescent="0.2">
      <c r="B36" s="15"/>
      <c r="C36" s="75"/>
      <c r="D36" s="75"/>
      <c r="E36" s="75"/>
      <c r="F36" s="131"/>
      <c r="G36" s="75"/>
      <c r="H36" s="75"/>
      <c r="I36" s="75"/>
      <c r="J36" s="75"/>
      <c r="K36" s="75"/>
      <c r="L36" s="75"/>
    </row>
    <row r="37" spans="2:12" hidden="1" x14ac:dyDescent="0.2">
      <c r="B37" s="15"/>
      <c r="C37" s="75"/>
      <c r="D37" s="75"/>
      <c r="E37" s="75"/>
      <c r="F37" s="131"/>
      <c r="G37" s="75"/>
      <c r="H37" s="75"/>
      <c r="I37" s="75"/>
      <c r="J37" s="75"/>
      <c r="K37" s="75"/>
      <c r="L37" s="75"/>
    </row>
    <row r="38" spans="2:12" hidden="1" x14ac:dyDescent="0.2">
      <c r="B38" s="15"/>
      <c r="C38" s="75"/>
      <c r="D38" s="75"/>
      <c r="E38" s="75"/>
      <c r="F38" s="131"/>
      <c r="G38" s="75"/>
      <c r="H38" s="75"/>
      <c r="I38" s="75"/>
      <c r="J38" s="75"/>
      <c r="K38" s="75"/>
      <c r="L38" s="75"/>
    </row>
    <row r="39" spans="2:12" hidden="1" x14ac:dyDescent="0.2">
      <c r="B39" s="15"/>
      <c r="C39" s="75"/>
      <c r="D39" s="75"/>
      <c r="E39" s="75"/>
      <c r="F39" s="131"/>
      <c r="G39" s="75"/>
      <c r="H39" s="75"/>
      <c r="I39" s="75"/>
      <c r="J39" s="75"/>
      <c r="K39" s="75"/>
      <c r="L39" s="75"/>
    </row>
    <row r="40" spans="2:12" hidden="1" x14ac:dyDescent="0.2">
      <c r="B40" s="75"/>
      <c r="C40" s="75"/>
      <c r="D40" s="75"/>
      <c r="E40" s="75"/>
      <c r="F40" s="75"/>
      <c r="G40" s="75"/>
      <c r="H40" s="75"/>
      <c r="I40" s="75"/>
      <c r="J40" s="75"/>
      <c r="K40" s="75"/>
      <c r="L40" s="75"/>
    </row>
    <row r="41" spans="2:12" hidden="1" x14ac:dyDescent="0.2">
      <c r="B41" s="75"/>
      <c r="C41" s="75"/>
      <c r="D41" s="75"/>
      <c r="E41" s="75"/>
      <c r="F41" s="75"/>
      <c r="G41" s="75"/>
      <c r="H41" s="75"/>
      <c r="I41" s="75"/>
      <c r="J41" s="75"/>
      <c r="K41" s="75"/>
      <c r="L41" s="75"/>
    </row>
    <row r="42" spans="2:12" hidden="1" x14ac:dyDescent="0.2">
      <c r="B42" s="75"/>
      <c r="C42" s="75"/>
      <c r="D42" s="75"/>
      <c r="E42" s="75"/>
      <c r="F42" s="75"/>
      <c r="G42" s="75"/>
      <c r="H42" s="75"/>
      <c r="I42" s="75"/>
      <c r="J42" s="75"/>
      <c r="K42" s="75"/>
      <c r="L42" s="75"/>
    </row>
    <row r="43" spans="2:12" hidden="1" x14ac:dyDescent="0.2">
      <c r="B43" s="75"/>
      <c r="C43" s="75"/>
      <c r="D43" s="75"/>
      <c r="E43" s="75"/>
      <c r="F43" s="75"/>
      <c r="G43" s="75"/>
      <c r="H43" s="75"/>
      <c r="I43" s="75"/>
      <c r="J43" s="75"/>
      <c r="K43" s="75"/>
      <c r="L43" s="75"/>
    </row>
    <row r="44" spans="2:12" hidden="1" x14ac:dyDescent="0.2">
      <c r="B44" s="75"/>
      <c r="C44" s="75"/>
      <c r="D44" s="75"/>
      <c r="E44" s="75"/>
      <c r="F44" s="75"/>
      <c r="G44" s="75"/>
      <c r="H44" s="75"/>
      <c r="I44" s="75"/>
      <c r="J44" s="75"/>
      <c r="K44" s="75"/>
      <c r="L44" s="75"/>
    </row>
    <row r="45" spans="2:12" hidden="1" x14ac:dyDescent="0.2">
      <c r="B45" s="75"/>
      <c r="C45" s="75"/>
      <c r="D45" s="75"/>
      <c r="E45" s="75"/>
      <c r="F45" s="75"/>
      <c r="G45" s="75"/>
      <c r="H45" s="75"/>
      <c r="I45" s="75"/>
      <c r="J45" s="75"/>
      <c r="K45" s="75"/>
      <c r="L45" s="75"/>
    </row>
    <row r="46" spans="2:12" hidden="1" x14ac:dyDescent="0.2">
      <c r="B46" s="75"/>
      <c r="C46" s="75"/>
      <c r="D46" s="75"/>
      <c r="E46" s="75"/>
      <c r="F46" s="75"/>
      <c r="G46" s="75"/>
      <c r="H46" s="75"/>
      <c r="I46" s="75"/>
      <c r="J46" s="75"/>
      <c r="K46" s="75"/>
      <c r="L46" s="75"/>
    </row>
    <row r="47" spans="2:12" hidden="1" x14ac:dyDescent="0.2">
      <c r="B47" s="75"/>
      <c r="C47" s="75"/>
      <c r="D47" s="75"/>
      <c r="E47" s="75"/>
      <c r="F47" s="75"/>
      <c r="G47" s="75"/>
      <c r="H47" s="75"/>
      <c r="I47" s="75"/>
      <c r="J47" s="75"/>
      <c r="K47" s="75"/>
      <c r="L47" s="75"/>
    </row>
    <row r="48" spans="2:12" hidden="1" x14ac:dyDescent="0.2">
      <c r="B48" s="75"/>
      <c r="C48" s="75"/>
      <c r="D48" s="75"/>
      <c r="E48" s="75"/>
      <c r="F48" s="75"/>
      <c r="G48" s="75"/>
      <c r="H48" s="75"/>
      <c r="I48" s="75"/>
      <c r="J48" s="75"/>
      <c r="K48" s="75"/>
      <c r="L48" s="75"/>
    </row>
    <row r="49" spans="2:12" hidden="1" x14ac:dyDescent="0.2">
      <c r="B49" s="75"/>
      <c r="C49" s="75"/>
      <c r="D49" s="75"/>
      <c r="E49" s="75"/>
      <c r="F49" s="75"/>
      <c r="G49" s="75"/>
      <c r="H49" s="75"/>
      <c r="I49" s="75"/>
      <c r="J49" s="75"/>
      <c r="K49" s="75"/>
      <c r="L49" s="75"/>
    </row>
    <row r="50" spans="2:12" hidden="1" x14ac:dyDescent="0.2">
      <c r="B50" s="75"/>
      <c r="C50" s="75"/>
      <c r="D50" s="75"/>
      <c r="E50" s="75"/>
      <c r="F50" s="75"/>
      <c r="G50" s="75"/>
      <c r="H50" s="75"/>
      <c r="I50" s="75"/>
      <c r="J50" s="75"/>
      <c r="K50" s="75"/>
      <c r="L50" s="75"/>
    </row>
    <row r="51" spans="2:12" hidden="1" x14ac:dyDescent="0.2">
      <c r="B51" s="75"/>
      <c r="C51" s="75"/>
      <c r="D51" s="75"/>
      <c r="E51" s="75"/>
      <c r="F51" s="75"/>
      <c r="G51" s="75"/>
      <c r="H51" s="75"/>
      <c r="I51" s="75"/>
      <c r="J51" s="75"/>
      <c r="K51" s="75"/>
      <c r="L51" s="75"/>
    </row>
    <row r="52" spans="2:12" hidden="1" x14ac:dyDescent="0.2">
      <c r="B52" s="75"/>
      <c r="C52" s="75"/>
      <c r="D52" s="75"/>
      <c r="E52" s="75"/>
      <c r="F52" s="75"/>
      <c r="G52" s="75"/>
      <c r="H52" s="75"/>
      <c r="I52" s="75"/>
      <c r="J52" s="75"/>
      <c r="K52" s="75"/>
      <c r="L52" s="75"/>
    </row>
    <row r="53" spans="2:12" hidden="1" x14ac:dyDescent="0.2">
      <c r="B53" s="75"/>
      <c r="C53" s="75"/>
      <c r="D53" s="75"/>
      <c r="E53" s="75"/>
      <c r="F53" s="75"/>
      <c r="G53" s="75"/>
      <c r="H53" s="75"/>
      <c r="I53" s="75"/>
      <c r="J53" s="75"/>
      <c r="K53" s="75"/>
      <c r="L53" s="75"/>
    </row>
    <row r="54" spans="2:12" hidden="1" x14ac:dyDescent="0.2">
      <c r="B54" s="75"/>
      <c r="C54" s="75"/>
      <c r="D54" s="75"/>
      <c r="E54" s="75"/>
      <c r="F54" s="75"/>
      <c r="G54" s="75"/>
      <c r="H54" s="75"/>
      <c r="I54" s="75"/>
      <c r="J54" s="75"/>
      <c r="K54" s="75"/>
      <c r="L54" s="75"/>
    </row>
    <row r="55" spans="2:12" hidden="1" x14ac:dyDescent="0.2">
      <c r="B55" s="75"/>
      <c r="C55" s="75"/>
      <c r="D55" s="75"/>
      <c r="E55" s="75"/>
      <c r="F55" s="75"/>
      <c r="G55" s="75"/>
      <c r="H55" s="75"/>
      <c r="I55" s="75"/>
      <c r="J55" s="75"/>
      <c r="K55" s="75"/>
      <c r="L55" s="75"/>
    </row>
  </sheetData>
  <sheetProtection selectLockedCells="1"/>
  <mergeCells count="7">
    <mergeCell ref="B15:D15"/>
    <mergeCell ref="B6:D6"/>
    <mergeCell ref="B2:D2"/>
    <mergeCell ref="C4:D4"/>
    <mergeCell ref="C5:D5"/>
    <mergeCell ref="B3:D3"/>
    <mergeCell ref="B7:D7"/>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Hojas de cálculo</vt:lpstr>
      </vt:variant>
      <vt:variant>
        <vt:i4>15</vt:i4>
      </vt:variant>
      <vt:variant>
        <vt:lpstr>Rangos con nombre</vt:lpstr>
      </vt:variant>
      <vt:variant>
        <vt:i4>2</vt:i4>
      </vt:variant>
    </vt:vector>
  </HeadingPairs>
  <TitlesOfParts>
    <vt:vector size="17" baseType="lpstr">
      <vt:lpstr>PRESENTACIÓN</vt:lpstr>
      <vt:lpstr>INSTRUCTIVO</vt:lpstr>
      <vt:lpstr>DATOS DE PRECIPITACIÓN</vt:lpstr>
      <vt:lpstr>COEFICIENTE DE ESCURRIMIENTO</vt:lpstr>
      <vt:lpstr>RESULTADOS</vt:lpstr>
      <vt:lpstr>MÉTODO RACIONAL</vt:lpstr>
      <vt:lpstr>CUANTILES</vt:lpstr>
      <vt:lpstr>ERROR ESTANDAR</vt:lpstr>
      <vt:lpstr>RACIONAL MODIFICADO</vt:lpstr>
      <vt:lpstr>SECCIÓN TRANSVERSAL</vt:lpstr>
      <vt:lpstr>RESULT SECCIÓN TRANSVERSAL</vt:lpstr>
      <vt:lpstr>CREAGER</vt:lpstr>
      <vt:lpstr>LOWRY)</vt:lpstr>
      <vt:lpstr>RESUMEN GASTOS MÁXIMOS</vt:lpstr>
      <vt:lpstr>EUPS</vt:lpstr>
      <vt:lpstr>INSTRUCTIVO!Área_de_impresión</vt:lpstr>
      <vt:lpstr>PRESENTACIÓN!Área_de_impresión</vt:lpstr>
    </vt:vector>
  </TitlesOfParts>
  <Company>RevolucionUnattended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dc:creator>
  <cp:lastModifiedBy>X</cp:lastModifiedBy>
  <cp:lastPrinted>2011-07-01T17:35:39Z</cp:lastPrinted>
  <dcterms:created xsi:type="dcterms:W3CDTF">2010-09-28T11:04:31Z</dcterms:created>
  <dcterms:modified xsi:type="dcterms:W3CDTF">2020-03-03T03:49:10Z</dcterms:modified>
</cp:coreProperties>
</file>