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embeddings/oleObject9.bin" ContentType="application/vnd.openxmlformats-officedocument.oleObject"/>
  <Override PartName="/xl/embeddings/oleObject10.bin" ContentType="application/vnd.openxmlformats-officedocument.oleObject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 codeName="ThisWorkbook"/>
  <xr:revisionPtr revIDLastSave="0" documentId="8_{2C25362B-C2C8-884A-B93F-B9146B157EF1}" xr6:coauthVersionLast="45" xr6:coauthVersionMax="45" xr10:uidLastSave="{00000000-0000-0000-0000-000000000000}"/>
  <bookViews>
    <workbookView xWindow="0" yWindow="0" windowWidth="22260" windowHeight="12645" tabRatio="734" firstSheet="3" xr2:uid="{00000000-000D-0000-FFFF-FFFF00000000}"/>
  </bookViews>
  <sheets>
    <sheet name="BULLDOZER" sheetId="2" r:id="rId1"/>
    <sheet name="DESGARADORES" sheetId="12" r:id="rId2"/>
    <sheet name="COMPACT MAT GRANULAR" sheetId="5" r:id="rId3"/>
    <sheet name="CARGADOR FRONTAL" sheetId="6" r:id="rId4"/>
    <sheet name="RETROEXCAVADORA" sheetId="4" r:id="rId5"/>
    <sheet name="MOTONIVELADORA" sheetId="13" r:id="rId6"/>
    <sheet name="VOLQUETA" sheetId="15" r:id="rId7"/>
    <sheet name="CARROTANQUE" sheetId="16" r:id="rId8"/>
    <sheet name="DATOS FINAL" sheetId="8" r:id="rId9"/>
  </sheets>
  <definedNames>
    <definedName name="____APERTURA_DE_ZANJAS_C">'DATOS FINAL'!$C$642</definedName>
    <definedName name="____APERTURA_DE_ZANJAS_D">'DATOS FINAL'!$C$643:$C$644</definedName>
    <definedName name="____EXCAVACION_DE_GRAN_VOLUMEN_C">'DATOS FINAL'!$C$621:$C$622</definedName>
    <definedName name="____EXCAVACION_DE_GRAN_VOLUMEN_D">'DATOS FINAL'!$C$623:$C$624</definedName>
    <definedName name="____EXCAVACION_DE_SERVICIO_EXTREMADO_C">'DATOS FINAL'!$C$595:$C$608</definedName>
    <definedName name="____EXCAVACION_DE_SERVICIO_EXTREMADO_D">'DATOS FINAL'!$C$609:$C$620</definedName>
    <definedName name="____FRACTURA_DE_ROCAS_C">'DATOS FINAL'!$C$657</definedName>
    <definedName name="____FRACTURA_DE_ROCAS_D">'DATOS FINAL'!$C$658</definedName>
    <definedName name="____LIMPIEZA_DE_ZANJAS_C">'DATOS FINAL'!$C$659:$C$663</definedName>
    <definedName name="____LIMPIEZA_DE_ZANJAS_D">'DATOS FINAL'!$C$664:$C$668</definedName>
    <definedName name="____ROCAS_C">'DATOS FINAL'!$C$645:$C$647</definedName>
    <definedName name="____ROCAS_D">'DATOS FINAL'!$C$648:$C$650</definedName>
    <definedName name="____ROCAS_D____">'DATOS FINAL'!$C$738:$C$740</definedName>
    <definedName name="____SERVICIO_PESADO_C">'DATOS FINAL'!$C$625:$C$632</definedName>
    <definedName name="____SERVICIO_PESADO_D">'DATOS FINAL'!$C$633:$C$641</definedName>
    <definedName name="___EXCAVACION">'DATOS FINAL'!$C$107:$C$113</definedName>
    <definedName name="___EXCAVACION_">'DATOS FINAL'!$C$304:$C$310</definedName>
    <definedName name="___EXCAVACION_DE_SERVICIO_EXTREMADO_Y_EXCAVACION_EXTREMADA_CON_ACOPLADOR_RAPIDO">'DATOS FINAL'!$C$278:$C$282</definedName>
    <definedName name="___LIMPIEZA_DE_ZANJAS">'DATOS FINAL'!$C$347:$C$351</definedName>
    <definedName name="___SERVICIO_PESADO_ROCAS_B___">'DATOS FINAL'!$C$416:$C$419</definedName>
    <definedName name="___USO_GENERAL">'DATOS FINAL'!$C$157:$C$168</definedName>
    <definedName name="___ZANJEO">'DATOS FINAL'!$C$114:$C$116</definedName>
    <definedName name="__EXCAVACION">'DATOS FINAL'!$C$83:$C$88</definedName>
    <definedName name="__EXCAVACION__">'DATOS FINAL'!$C$293</definedName>
    <definedName name="__EXCAVACION___">'DATOS FINAL'!$C$294:$C$301</definedName>
    <definedName name="__EXCAVACION_B">'DATOS FINAL'!$C$465</definedName>
    <definedName name="__EXCAVACION_D">'DATOS FINAL'!$C$691:$C$700</definedName>
    <definedName name="__EXCAVACION_DE_SERVICIO_EXTREMADO">'DATOS FINAL'!$C$229:$C$239</definedName>
    <definedName name="__EXCAVACION_Y_EXCAVACION_CON_ACOPLADOR_RAPIDO">'DATOS FINAL'!$C$272:$C$277</definedName>
    <definedName name="__LIMPIEZA_DE_ZANJAS">'DATOS FINAL'!$C$287:$C$288</definedName>
    <definedName name="__LIMPIEZA_DE_ZANJAS_B">'DATOS FINAL'!$C$544:$C$545</definedName>
    <definedName name="__SERVICIO_PESADO">'DATOS FINAL'!$C$268:$C$271</definedName>
    <definedName name="__USO_GENERAL">'DATOS FINAL'!$C$152:$C$156</definedName>
    <definedName name="__UTILITARIO_Y_UTILITARIO_LIGERO">'DATOS FINAL'!$C$283:$C$286</definedName>
    <definedName name="__ZANJEO">'DATOS FINAL'!$C$89:$C$90</definedName>
    <definedName name="_APERTURA_DE_ZANJAS_F">'DATOS FINAL'!$C$807</definedName>
    <definedName name="_EXCAVACION">'DATOS FINAL'!$C$83:$C$88</definedName>
    <definedName name="_EXCAVACION_">'DATOS FINAL'!$C$175:$C$183</definedName>
    <definedName name="_EXCAVACION__">'DATOS FINAL'!$C$213:$C$228</definedName>
    <definedName name="_EXCAVACION___">'DATOS FINAL'!$C$254:$C$261</definedName>
    <definedName name="_EXCAVACION_B">'DATOS FINAL'!$C$361:$C$369</definedName>
    <definedName name="_EXCAVACION_C">'DATOS FINAL'!$C$577:$C$585</definedName>
    <definedName name="_EXCAVACION_D">'DATOS FINAL'!$C$586:$C$594</definedName>
    <definedName name="_EXCAVACION_DE_SERVICIO_EXTREMADO">'DATOS FINAL'!$C$184:$C$190</definedName>
    <definedName name="_EXCAVACION_DE_SERVICIO_EXTREMADO_B">'DATOS FINAL'!$C$379:$C$384</definedName>
    <definedName name="_EXCAVACION_DE_SERVICIO_EXTREMADO_D">'DATOS FINAL'!$C$706:$C$719</definedName>
    <definedName name="_EXCAVACION_DE_SERVICIO_EXTREMADO_T">'DATOS FINAL'!$C$794:$C$796</definedName>
    <definedName name="_EXCAVACION_EN_V_G____">'DATOS FINAL'!$C$798:$C$799</definedName>
    <definedName name="_EXCAVACION_EN_V_U____">'DATOS FINAL'!$C$797</definedName>
    <definedName name="_EXCAVACION_F">'DATOS FINAL'!$C$790:$C$791</definedName>
    <definedName name="_EXCAVACION_G">'DATOS FINAL'!$C$792:$C$793</definedName>
    <definedName name="_EXCAVACION_T">'DATOS FINAL'!$C$788</definedName>
    <definedName name="_EXCAVACION_U">'DATOS FINAL'!$C$789</definedName>
    <definedName name="_LIMPIEZA_DE_ZANJAS">'DATOS FINAL'!$C$240:$C$244</definedName>
    <definedName name="_LIMPIEZA_DE_ZANJAS_B">'DATOS FINAL'!$C$423:$C$430</definedName>
    <definedName name="_LIMPIEZA_DE_ZANJAS_D">'DATOS FINAL'!$C$746:$C$748</definedName>
    <definedName name="_ROCAS_B">'DATOS FINAL'!$C$409:$C$412</definedName>
    <definedName name="_SERVICIO_PESADO">'DATOS FINAL'!$C$267</definedName>
    <definedName name="_SERVICIO_PESADO_B">'DATOS FINAL'!$C$498:$C$505</definedName>
    <definedName name="_SERVICIO_PESADO_D">'DATOS FINAL'!$C$726:$C$734</definedName>
    <definedName name="_SERVICIO_PESADO_ROCAS_C">'DATOS FINAL'!$C$651:$C$653</definedName>
    <definedName name="_SERVICIO_PESADO_ROCAS_D">'DATOS FINAL'!$C$654:$C$656</definedName>
    <definedName name="_USO_GENERAL">'DATOS FINAL'!$C$134:$C$140</definedName>
    <definedName name="_USO_GENERAL_B">'DATOS FINAL'!$C$449:$C$452</definedName>
    <definedName name="_USO_GENERAL_C">'DATOS FINAL'!$C$566:$C$570</definedName>
    <definedName name="_USO_GENERAL_D">'DATOS FINAL'!$C$685:$C$690</definedName>
    <definedName name="_USO_GENERAL_D_">'DATOS FINAL'!$C$571:$C$576</definedName>
    <definedName name="_UTILITARIO">'DATOS FINAL'!$C$245:$C$248</definedName>
    <definedName name="_UTILITARIO_B">'DATOS FINAL'!$C$433:$C$436</definedName>
    <definedName name="_UTILITARIO_D">'DATOS FINAL'!$C$749:$C$752</definedName>
    <definedName name="_UTILITARIO_LIGERO_B">'DATOS FINAL'!$C$441:$C$444</definedName>
    <definedName name="_UTILITARIO_LIGERO_D">'DATOS FINAL'!$C$753:$C$756</definedName>
    <definedName name="_ZANJEO">'DATOS FINAL'!$C$89:$C$90</definedName>
    <definedName name="APERTURA_DE_ZANJAS_D">'DATOS FINAL'!$C$737</definedName>
    <definedName name="APERTURA_DE_ZANJAS_DE_SERVICIO_EXTREMADO_H">'DATOS FINAL'!$C$894</definedName>
    <definedName name="APERTURA_DE_ZANJAS_F">'DATOS FINAL'!$C$757</definedName>
    <definedName name="APERTURA_DE_ZANJAS_H">'DATOS FINAL'!$C$890:$C$892</definedName>
    <definedName name="APERTURA_DE_ZANJAS_J">'DATOS FINAL'!$C$893</definedName>
    <definedName name="ARCILLA_100">'DATOS FINAL'!$I$49:$K$49</definedName>
    <definedName name="ARENA_100">'DATOS FINAL'!$I$47:$L$47</definedName>
    <definedName name="ARENA_ARCILLA_50">'DATOS FINAL'!$I$48:$M$48</definedName>
    <definedName name="CORTE_DE_MALEZA">'DATOS FINAL'!$C$253</definedName>
    <definedName name="D10R">'DATOS FINAL'!$D$39:$E$39</definedName>
    <definedName name="D10R_">'DATOS FINAL'!$BA$26:$BB$26</definedName>
    <definedName name="D11R">'DATOS FINAL'!$D$40:$E$40</definedName>
    <definedName name="D11R_">'DATOS FINAL'!$BA$27</definedName>
    <definedName name="D11R_CD">'DATOS FINAL'!$D$41</definedName>
    <definedName name="D11R_CD_">'DATOS FINAL'!$BA$28:$BB$28</definedName>
    <definedName name="D3C_LGP_SERIE_III">'DATOS FINAL'!$D$14</definedName>
    <definedName name="D3C_SERIE_III">'DATOS FINAL'!$D$12</definedName>
    <definedName name="D3C_SERIE_III_">'DATOS FINAL'!$BA$12</definedName>
    <definedName name="D3C_XL_SERIE_III">'DATOS FINAL'!$D$13</definedName>
    <definedName name="D4C_LGP_SERIE_III">'DATOS FINAL'!$D$17</definedName>
    <definedName name="D4C_SERIE_III">'DATOS FINAL'!$D$15</definedName>
    <definedName name="D4C_SERIE_III_">'DATOS FINAL'!$BA$13</definedName>
    <definedName name="D4C_XL_SERIE_III">'DATOS FINAL'!$D$16</definedName>
    <definedName name="D5C_LGP_SERIE_III">'DATOS FINAL'!$D$20</definedName>
    <definedName name="D5C_SERIE_III">'DATOS FINAL'!$D$18</definedName>
    <definedName name="D5C_SERIE_III_">'DATOS FINAL'!$BA$14</definedName>
    <definedName name="D5C_XL_SERIE_III">'DATOS FINAL'!$D$19</definedName>
    <definedName name="D5E">'DATOS FINAL'!$D$23</definedName>
    <definedName name="D5M_LGP">'DATOS FINAL'!$D$22</definedName>
    <definedName name="D5M_LGP_">'DATOS FINAL'!$BA$16</definedName>
    <definedName name="D5M_XL">'DATOS FINAL'!$D$21</definedName>
    <definedName name="D5M_XL_">'DATOS FINAL'!$BA$15</definedName>
    <definedName name="D6G">'DATOS FINAL'!$D$26:$F$26</definedName>
    <definedName name="D6G_">'DATOS FINAL'!$BA$19</definedName>
    <definedName name="D6M_LGP">'DATOS FINAL'!$D$25</definedName>
    <definedName name="D6M_LGP_">'DATOS FINAL'!$BA$18</definedName>
    <definedName name="D6M_XL">'DATOS FINAL'!$D$24:$E$24</definedName>
    <definedName name="D6M_XL_">'DATOS FINAL'!$BA$17</definedName>
    <definedName name="D6R">'DATOS FINAL'!$D$27:$G$27</definedName>
    <definedName name="D6R_">'DATOS FINAL'!$BA$20</definedName>
    <definedName name="D6R_LGP">'DATOS FINAL'!$D$31</definedName>
    <definedName name="D6R_XL">'DATOS FINAL'!$D$28:$G$28</definedName>
    <definedName name="D6R_XL_">'DATOS FINAL'!$BA$21</definedName>
    <definedName name="D6R_XL_IG">'DATOS FINAL'!$D$29:$E$29</definedName>
    <definedName name="D6R_XR">'DATOS FINAL'!$D$30:$G$30</definedName>
    <definedName name="D7G">'DATOS FINAL'!$D$32:$E$32</definedName>
    <definedName name="D7G_">'DATOS FINAL'!$BA$22</definedName>
    <definedName name="D7R">'DATOS FINAL'!$D$33:$G$33</definedName>
    <definedName name="D7R_">'DATOS FINAL'!$BA$23</definedName>
    <definedName name="D7R_LGP">'DATOS FINAL'!$D$35</definedName>
    <definedName name="D7R_XR">'DATOS FINAL'!$D$34:$G$34</definedName>
    <definedName name="D8R">'DATOS FINAL'!$D$36:$F$36</definedName>
    <definedName name="D8R_">'DATOS FINAL'!$BA$24:$BB$24</definedName>
    <definedName name="D8R_LGP">'DATOS FINAL'!$D$37:$E$37</definedName>
    <definedName name="D9R">'DATOS FINAL'!$D$38:$E$38</definedName>
    <definedName name="D9R_">'DATOS FINAL'!$BA$25:$BB$25</definedName>
    <definedName name="E_301.5">'DATOS FINAL'!$I$83:$J$83</definedName>
    <definedName name="E_301.6">'DATOS FINAL'!$I$84:$J$84</definedName>
    <definedName name="E_301.8">'DATOS FINAL'!$I$85:$J$85</definedName>
    <definedName name="E_302.5">'DATOS FINAL'!$I$86:$J$86</definedName>
    <definedName name="E_303.5">'DATOS FINAL'!$I$87:$J$87</definedName>
    <definedName name="E_304.5">'DATOS FINAL'!$I$88:$J$88</definedName>
    <definedName name="E_307B">'DATOS FINAL'!$I$89</definedName>
    <definedName name="E_307B_SB">'DATOS FINAL'!$I$90:$K$90</definedName>
    <definedName name="E_311B">'DATOS FINAL'!$I$91</definedName>
    <definedName name="E_312B">'DATOS FINAL'!$I$92:$O$92</definedName>
    <definedName name="E_313B_CR">'DATOS FINAL'!$I$93</definedName>
    <definedName name="E_315B">'DATOS FINAL'!$I$94</definedName>
    <definedName name="E_315B_L">'DATOS FINAL'!$I$95:$O$95</definedName>
    <definedName name="E_317B_L">'DATOS FINAL'!$I$96:$J$96</definedName>
    <definedName name="E_318B_L">'DATOS FINAL'!$I$97</definedName>
    <definedName name="E_318B_LN">'DATOS FINAL'!$I$98:$N$98</definedName>
    <definedName name="E_320C">'DATOS FINAL'!$I$103:$Z$103</definedName>
    <definedName name="E_322B">'DATOS FINAL'!$I$104:$AG$104</definedName>
    <definedName name="E_325B">'DATOS FINAL'!$I$105:$AF$105</definedName>
    <definedName name="E_330B">'DATOS FINAL'!$I$106:$Y$106</definedName>
    <definedName name="E_345B">'DATOS FINAL'!$I$107:$Q$107</definedName>
    <definedName name="E_345B_SERIE_II">'DATOS FINAL'!$I$108:$V$108</definedName>
    <definedName name="E_365B_L">'DATOS FINAL'!$I$109:$S$109</definedName>
    <definedName name="E_375">'DATOS FINAL'!$I$110:$V$110</definedName>
    <definedName name="E_M312">'DATOS FINAL'!$I$99</definedName>
    <definedName name="E_M315">'DATOS FINAL'!$I$100:$J$100</definedName>
    <definedName name="E_M318">'DATOS FINAL'!$I$101:$P$101</definedName>
    <definedName name="E_M320">'DATOS FINAL'!$I$102:$K$102</definedName>
    <definedName name="EXCAVACION">'DATOS FINAL'!$C$83:$C$88</definedName>
    <definedName name="EXCAVACION_">'DATOS FINAL'!$C$117:$C$121</definedName>
    <definedName name="EXCAVACION__">'DATOS FINAL'!$C$125:$C$129</definedName>
    <definedName name="EXCAVACION___">'DATOS FINAL'!$C$141:$C$146</definedName>
    <definedName name="EXCAVACION_B">'DATOS FINAL'!$C$312:$C$317</definedName>
    <definedName name="EXCAVACION_C">'DATOS FINAL'!$C$370:$C$378</definedName>
    <definedName name="EXCAVACION_D">'DATOS FINAL'!$C$475:$C$484</definedName>
    <definedName name="EXCAVACION_DE_GRAN_VOLUMEN_C">'DATOS FINAL'!$C$408</definedName>
    <definedName name="EXCAVACION_DE_GRAN_VOLUMEN_D">'DATOS FINAL'!$C$723:$C$724</definedName>
    <definedName name="EXCAVACION_DE_GRAN_VOLUMEN_E">'DATOS FINAL'!$C$725</definedName>
    <definedName name="EXCAVACION_DE_GRAN_VOLUMEN_J">'DATOS FINAL'!$C$886:$C$888</definedName>
    <definedName name="EXCAVACION_DE_SERVICIO_EXTREMADO">'DATOS FINAL'!$C$147:$C$151</definedName>
    <definedName name="EXCAVACION_DE_SERVICIO_EXTREMADO_">'DATOS FINAL'!$C$302:$C$303</definedName>
    <definedName name="EXCAVACION_DE_SERVICIO_EXTREMADO__">'DATOS FINAL'!$C$311</definedName>
    <definedName name="EXCAVACION_DE_SERVICIO_EXTREMADO___">'DATOS FINAL'!$C$345:$C$346</definedName>
    <definedName name="EXCAVACION_DE_SERVICIO_EXTREMADO_B">'DATOS FINAL'!$C$318:$C$322</definedName>
    <definedName name="EXCAVACION_DE_SERVICIO_EXTREMADO_C">'DATOS FINAL'!$C$385:$C$391</definedName>
    <definedName name="EXCAVACION_DE_SERVICIO_EXTREMADO_D">'DATOS FINAL'!$C$492:$C$497</definedName>
    <definedName name="EXCAVACION_DE_SERVICIO_EXTREMADO_E">'DATOS FINAL'!$C$720:$C$722</definedName>
    <definedName name="EXCAVACION_DE_SERVICIO_EXTREMADO_J">'DATOS FINAL'!$C$880:$C$884</definedName>
    <definedName name="EXCAVACION_DE_SERVICIO_EXTREMADO_S">'DATOS FINAL'!$C$485:$C$491</definedName>
    <definedName name="EXCAVACION_DE_USO_SERVICIO_EXTREMADO_V">'DATOS FINAL'!$C$831:$C$836</definedName>
    <definedName name="EXCAVACION_DE_USO_SERVICIO_EXTREMADO_W">'DATOS FINAL'!$C$837:$C$842</definedName>
    <definedName name="EXCAVACION_E">'DATOS FINAL'!$C$701:$C$705</definedName>
    <definedName name="EXCAVACION_EN_V_DE_GRAN_VOLUMEN_J">'DATOS FINAL'!$C$889</definedName>
    <definedName name="EXCAVACION_EN_V_G">'DATOS FINAL'!$C$776:$C$779</definedName>
    <definedName name="EXCAVACION_EN_V_J">'DATOS FINAL'!$C$885</definedName>
    <definedName name="EXCAVACION_EN_V_U">'DATOS FINAL'!$C$774:$C$775</definedName>
    <definedName name="EXCAVACION_EN_V_W">'DATOS FINAL'!$C$843:$C$844</definedName>
    <definedName name="EXCAVACION_EXTREMADA">'DATOS FINAL'!$C$262:$C$266</definedName>
    <definedName name="EXCAVACION_EXTREMADA_T">'DATOS FINAL'!$C$768:$C$773</definedName>
    <definedName name="EXCAVACION_F">'DATOS FINAL'!$C$762:$C$765</definedName>
    <definedName name="EXCAVACION_G">'DATOS FINAL'!$C$766:$C$767</definedName>
    <definedName name="EXCAVACION_H">'DATOS FINAL'!$C$867:$C$872</definedName>
    <definedName name="EXCAVACION_J">'DATOS FINAL'!$C$873:$C$879</definedName>
    <definedName name="EXCAVACION_S">'DATOS FINAL'!$C$466:$C$474</definedName>
    <definedName name="EXCAVACION_T">'DATOS FINAL'!$C$758:$C$759</definedName>
    <definedName name="EXCAVACION_U">'DATOS FINAL'!$C$760:$C$761</definedName>
    <definedName name="EXCAVACION_V">'DATOS FINAL'!$C$822:$C$824</definedName>
    <definedName name="EXCAVACION_W">'DATOS FINAL'!$C$825:$C$830</definedName>
    <definedName name="F_902">'DATOS FINAL'!$D$61</definedName>
    <definedName name="F_906">'DATOS FINAL'!$D$62</definedName>
    <definedName name="F_908">'DATOS FINAL'!$D$63</definedName>
    <definedName name="F_914G">'DATOS FINAL'!$D$64:$F$64</definedName>
    <definedName name="F_924G_CON_PASADOR">'DATOS FINAL'!$D$66:$G$66</definedName>
    <definedName name="F_924GZ">'DATOS FINAL'!$D$65:$G$65</definedName>
    <definedName name="F_926G">'DATOS FINAL'!$D$70:$H$70</definedName>
    <definedName name="F_928G">'DATOS FINAL'!$D$67:$G$67</definedName>
    <definedName name="F_938G">'DATOS FINAL'!$D$68:$F$68</definedName>
    <definedName name="F_950G">'DATOS FINAL'!$D$69:$I$69</definedName>
    <definedName name="F_966G">'DATOS FINAL'!$D$71:$H$71</definedName>
    <definedName name="F_972G">'DATOS FINAL'!$D$72:$G$72</definedName>
    <definedName name="F_980G">'DATOS FINAL'!$D$73:$H$73</definedName>
    <definedName name="F_988G">'DATOS FINAL'!$D$74:$F$74</definedName>
    <definedName name="F_990_SERIE_II">'DATOS FINAL'!$D$75:$G$75</definedName>
    <definedName name="F_992G">'DATOS FINAL'!$D$76:$E$76</definedName>
    <definedName name="F_994D">'DATOS FINAL'!$D$77:$F$77</definedName>
    <definedName name="FRACTURA_DE_ROCAS_F">'DATOS FINAL'!$C$815</definedName>
    <definedName name="FRACTURAS_DE_ROCAS_D">'DATOS FINAL'!$C$745</definedName>
    <definedName name="LIMPIEZA_DE_ZANJAS">'DATOS FINAL'!$C$191:$C$194</definedName>
    <definedName name="LIMPIEZA_DE_ZANJAS_B">'DATOS FINAL'!$C$327:$C$329</definedName>
    <definedName name="LIMPIEZA_DE_ZANJAS_C">'DATOS FINAL'!$C$431:$C$432</definedName>
    <definedName name="LIMPIEZA_DE_ZANJAS_D">'DATOS FINAL'!$C$541:$C$543</definedName>
    <definedName name="LIMPIEZA_DE_ZANJAS_D_">'DATOS FINAL'!$C$548:$C$549</definedName>
    <definedName name="LIMPIEZA_DE_ZANJAS_S">'DATOS FINAL'!$C$538:$C$540</definedName>
    <definedName name="LIMPIEZA_DE_ZANJAS_S_">'DATOS FINAL'!$C$546:$C$547</definedName>
    <definedName name="MODELOS_2">'DATOS FINAL'!$AH$12:$AH$28</definedName>
    <definedName name="MODELOS_3">'DATOS FINAL'!$A$46:$A$56</definedName>
    <definedName name="MODELOS_4">'DATOS FINAL'!$A$61:$A$77</definedName>
    <definedName name="MODELOS_BULLDOZER">'DATOS FINAL'!$A$12:$A$41</definedName>
    <definedName name="MOTONIVELADORAS">'DATOS FINAL'!$F$126:$F$144</definedName>
    <definedName name="REDOMENDACION">'DATOS FINAL'!$H$46:$H$49</definedName>
    <definedName name="RETROEXCAVADORAS">'DATOS FINAL'!$F$83:$F$110</definedName>
    <definedName name="ROCA">'DATOS FINAL'!$I$46</definedName>
    <definedName name="ROCAS_B">'DATOS FINAL'!$C$323:$C$326</definedName>
    <definedName name="ROCAS_C">'DATOS FINAL'!$C$413:$C$415</definedName>
    <definedName name="ROCAS_D">'DATOS FINAL'!$C$526:$C$528</definedName>
    <definedName name="ROCAS_DÇ">'DATOS FINAL'!$C$526:$C$528</definedName>
    <definedName name="ROCAS_E">'DATOS FINAL'!$C$741</definedName>
    <definedName name="ROCAS_H">'DATOS FINAL'!$C$898:$C$899</definedName>
    <definedName name="ROCAS_J">'DATOS FINAL'!$C$900:$C$904</definedName>
    <definedName name="ROCAS_S">'DATOS FINAL'!$C$523:$C$525</definedName>
    <definedName name="ROCAS_V">'DATOS FINAL'!$C$851:$C$852</definedName>
    <definedName name="ROCAS_W">'DATOS FINAL'!$C$853:$C$858</definedName>
    <definedName name="ROCAS_Y_ROCAS_CON_ACOPLADOR_RAPIDO">'DATOS FINAL'!$C$289:$C$292</definedName>
    <definedName name="SERVICIO_PESADO">'DATOS FINAL'!$C$169:$C$174</definedName>
    <definedName name="SERVICIO_PESADO_B">'DATOS FINAL'!$C$392:$C$399</definedName>
    <definedName name="SERVICIO_PESADO_C">'DATOS FINAL'!$C$400:$C$407</definedName>
    <definedName name="SERVICIO_PESADO_D">'DATOS FINAL'!$C$514:$C$522</definedName>
    <definedName name="SERVICIO_PESADO_E">'DATOS FINAL'!$C$735:$C$736</definedName>
    <definedName name="SERVICIO_PESADO_F">'DATOS FINAL'!$C$800:$C$806</definedName>
    <definedName name="SERVICIO_PESADO_H">'DATOS FINAL'!$C$895:$C$897</definedName>
    <definedName name="SERVICIO_PESADO_ROCAS_B">'DATOS FINAL'!$C$529:$C$531</definedName>
    <definedName name="SERVICIO_PESADO_ROCAS_C">'DATOS FINAL'!$C$420:$C$422</definedName>
    <definedName name="SERVICIO_PESADO_ROCAS_D">'DATOS FINAL'!$C$535:$C$537</definedName>
    <definedName name="SERVICIO_PESADO_ROCAS_D____">'DATOS FINAL'!$C$742:$C$744</definedName>
    <definedName name="SERVICIO_PESADO_ROCAS_F">'DATOS FINAL'!$C$808:$C$813</definedName>
    <definedName name="SERVICIO_PESADO_ROCAS_G">'DATOS FINAL'!$C$814</definedName>
    <definedName name="SERVICIO_PESADO_ROCAS_J">'DATOS FINAL'!$C$905</definedName>
    <definedName name="SERVICIO_PESADO_ROCAS_S">'DATOS FINAL'!$C$532:$C$534</definedName>
    <definedName name="SERVICIO_PESADO_ROCAS_V">'DATOS FINAL'!$C$859:$C$864</definedName>
    <definedName name="SERVICIO_PESADO_ROCAS_W">'DATOS FINAL'!$C$865</definedName>
    <definedName name="SERVICIO_PESADO_S">'DATOS FINAL'!$C$506:$C$513</definedName>
    <definedName name="SERVICIO_PESADO_V">'DATOS FINAL'!$C$845:$C$850</definedName>
    <definedName name="TRAPEZOIDAL">'DATOS FINAL'!$C$249:$C$252</definedName>
    <definedName name="USO_GENERAL">'DATOS FINAL'!$C$133</definedName>
    <definedName name="USO_GENERAL_">'DATOS FINAL'!$C$208</definedName>
    <definedName name="USO_GENERAL__">'DATOS FINAL'!$C$209:$C$212</definedName>
    <definedName name="USO_GENERAL___">'DATOS FINAL'!$C$338:$C$344</definedName>
    <definedName name="USO_GENERAL_B">'DATOS FINAL'!$C$352:$C$355</definedName>
    <definedName name="USO_GENERAL_C">'DATOS FINAL'!$C$356:$C$360</definedName>
    <definedName name="USO_GENERAL_D">'DATOS FINAL'!$C$459:$C$464</definedName>
    <definedName name="USO_GENERAL_F">'DATOS FINAL'!$C$780:$C$786</definedName>
    <definedName name="USO_GENERAL_G">'DATOS FINAL'!$C$787</definedName>
    <definedName name="USO_GENERAL_J">'DATOS FINAL'!$C$866</definedName>
    <definedName name="USO_GENERAL_S">'DATOS FINAL'!$C$453:$C$458</definedName>
    <definedName name="USO_GENERAL_V">'DATOS FINAL'!$C$816:$C$821</definedName>
    <definedName name="UTILITARIO">'DATOS FINAL'!$C$195:$C$198</definedName>
    <definedName name="UTILITARIO_B">'DATOS FINAL'!$C$330:$C$333</definedName>
    <definedName name="UTILITARIO_C">'DATOS FINAL'!$C$437:$C$440</definedName>
    <definedName name="UTILITARIO_C____">'DATOS FINAL'!$C$669:$C$672</definedName>
    <definedName name="UTILITARIO_D">'DATOS FINAL'!$C$554:$C$557</definedName>
    <definedName name="UTILITARIO_D____">'DATOS FINAL'!$C$673:$C$676</definedName>
    <definedName name="UTILITARIO_LIGERO">'DATOS FINAL'!$C$199:$C$202</definedName>
    <definedName name="UTILITARIO_LIGERO_B">'DATOS FINAL'!$C$334:$C$337</definedName>
    <definedName name="UTILITARIO_LIGERO_C">'DATOS FINAL'!$C$445:$C$448</definedName>
    <definedName name="UTILITARIO_LIGERO_C____">'DATOS FINAL'!$C$677:$C$680</definedName>
    <definedName name="UTILITARIO_LIGERO_D">'DATOS FINAL'!$C$562:$C$565</definedName>
    <definedName name="UTILITARIO_LIGERO_D____">'DATOS FINAL'!$C$681:$C$684</definedName>
    <definedName name="UTILITARIO_LIGERO_S">'DATOS FINAL'!$C$558:$C$561</definedName>
    <definedName name="UTILITARIO_S">'DATOS FINAL'!$C$550:$C$553</definedName>
    <definedName name="XA">'DATOS FINAL'!$C$203:$C$207</definedName>
    <definedName name="ZANJEO">'DATOS FINAL'!$C$89:$C$90</definedName>
    <definedName name="ZANJEO_">'DATOS FINAL'!$C$122:$C$124</definedName>
    <definedName name="ZANJEO__">'DATOS FINAL'!$C$130:$C$132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1" i="15" l="1"/>
  <c r="P11" i="8"/>
  <c r="Q11" i="8"/>
  <c r="Q12" i="8"/>
  <c r="Q13" i="8"/>
  <c r="Q14" i="8"/>
  <c r="Q15" i="8"/>
  <c r="Q16" i="8"/>
  <c r="Q17" i="8"/>
  <c r="Q18" i="8"/>
  <c r="Q19" i="8"/>
  <c r="Q20" i="8"/>
  <c r="Q21" i="8"/>
  <c r="Q22" i="8"/>
  <c r="Q23" i="8"/>
  <c r="Q24" i="8"/>
  <c r="Q25" i="8"/>
  <c r="Q26" i="8"/>
  <c r="Q27" i="8"/>
  <c r="Q28" i="8"/>
  <c r="Q29" i="8"/>
  <c r="Q30" i="8"/>
  <c r="Q31" i="8"/>
  <c r="Q32" i="8"/>
  <c r="Q33" i="8"/>
  <c r="Q34" i="8"/>
  <c r="Q35" i="8"/>
  <c r="Q36" i="8"/>
  <c r="Q37" i="8"/>
  <c r="Q38" i="8"/>
  <c r="Q39" i="8"/>
  <c r="Q40" i="8"/>
  <c r="Q41" i="8"/>
  <c r="G14" i="2"/>
  <c r="P12" i="8"/>
  <c r="P13" i="8"/>
  <c r="P14" i="8"/>
  <c r="P15" i="8"/>
  <c r="P16" i="8"/>
  <c r="P17" i="8"/>
  <c r="P18" i="8"/>
  <c r="P19" i="8"/>
  <c r="P20" i="8"/>
  <c r="P21" i="8"/>
  <c r="P22" i="8"/>
  <c r="P23" i="8"/>
  <c r="P24" i="8"/>
  <c r="P25" i="8"/>
  <c r="P26" i="8"/>
  <c r="P27" i="8"/>
  <c r="P28" i="8"/>
  <c r="P29" i="8"/>
  <c r="P30" i="8"/>
  <c r="P31" i="8"/>
  <c r="P32" i="8"/>
  <c r="P33" i="8"/>
  <c r="P34" i="8"/>
  <c r="P35" i="8"/>
  <c r="P36" i="8"/>
  <c r="P37" i="8"/>
  <c r="P38" i="8"/>
  <c r="P39" i="8"/>
  <c r="P40" i="8"/>
  <c r="P41" i="8"/>
  <c r="F14" i="2"/>
  <c r="G7" i="8"/>
  <c r="G8" i="8"/>
  <c r="G3" i="8"/>
  <c r="G4" i="8"/>
  <c r="G5" i="8"/>
  <c r="G6" i="8"/>
  <c r="E19" i="2"/>
  <c r="X11" i="8"/>
  <c r="Y11" i="8"/>
  <c r="X12" i="8"/>
  <c r="X13" i="8"/>
  <c r="X14" i="8"/>
  <c r="X15" i="8"/>
  <c r="X16" i="8"/>
  <c r="X17" i="8"/>
  <c r="X18" i="8"/>
  <c r="X19" i="8"/>
  <c r="X20" i="8"/>
  <c r="X21" i="8"/>
  <c r="X22" i="8"/>
  <c r="X23" i="8"/>
  <c r="X24" i="8"/>
  <c r="X25" i="8"/>
  <c r="X26" i="8"/>
  <c r="X27" i="8"/>
  <c r="X28" i="8"/>
  <c r="X29" i="8"/>
  <c r="X30" i="8"/>
  <c r="X31" i="8"/>
  <c r="X32" i="8"/>
  <c r="X33" i="8"/>
  <c r="X34" i="8"/>
  <c r="X35" i="8"/>
  <c r="X36" i="8"/>
  <c r="X37" i="8"/>
  <c r="X38" i="8"/>
  <c r="X39" i="8"/>
  <c r="X40" i="8"/>
  <c r="X41" i="8"/>
  <c r="D15" i="2"/>
  <c r="D24" i="2"/>
  <c r="AF11" i="8"/>
  <c r="AG11" i="8"/>
  <c r="AF12" i="8"/>
  <c r="AF13" i="8"/>
  <c r="AF14" i="8"/>
  <c r="AF15" i="8"/>
  <c r="AF16" i="8"/>
  <c r="AF17" i="8"/>
  <c r="AF18" i="8"/>
  <c r="AF19" i="8"/>
  <c r="AF20" i="8"/>
  <c r="AF21" i="8"/>
  <c r="AF22" i="8"/>
  <c r="AF23" i="8"/>
  <c r="AF24" i="8"/>
  <c r="AF25" i="8"/>
  <c r="AF26" i="8"/>
  <c r="AF27" i="8"/>
  <c r="AF28" i="8"/>
  <c r="AF29" i="8"/>
  <c r="AF30" i="8"/>
  <c r="AF31" i="8"/>
  <c r="AF32" i="8"/>
  <c r="AF33" i="8"/>
  <c r="AF34" i="8"/>
  <c r="AF35" i="8"/>
  <c r="AF36" i="8"/>
  <c r="AF37" i="8"/>
  <c r="AF38" i="8"/>
  <c r="AF39" i="8"/>
  <c r="AF40" i="8"/>
  <c r="AF41" i="8"/>
  <c r="G15" i="2"/>
  <c r="D26" i="2"/>
  <c r="E23" i="2"/>
  <c r="F35" i="2"/>
  <c r="E7" i="2"/>
  <c r="I9" i="2"/>
  <c r="I10" i="2"/>
  <c r="D12" i="16"/>
  <c r="D10" i="16"/>
  <c r="D16" i="16"/>
  <c r="D15" i="16"/>
  <c r="N8" i="8"/>
  <c r="N7" i="8"/>
  <c r="F23" i="16"/>
  <c r="D11" i="16"/>
  <c r="D13" i="16"/>
  <c r="N3" i="8"/>
  <c r="N4" i="8"/>
  <c r="N5" i="8"/>
  <c r="N6" i="8"/>
  <c r="E20" i="16"/>
  <c r="E8" i="16"/>
  <c r="D7" i="15"/>
  <c r="M8" i="8"/>
  <c r="M7" i="8"/>
  <c r="F21" i="15"/>
  <c r="G21" i="15"/>
  <c r="F20" i="15"/>
  <c r="G20" i="15"/>
  <c r="M6" i="8"/>
  <c r="M5" i="8"/>
  <c r="M4" i="8"/>
  <c r="M3" i="8"/>
  <c r="E13" i="16"/>
  <c r="G12" i="15"/>
  <c r="G13" i="15"/>
  <c r="F29" i="15"/>
  <c r="D9" i="15"/>
  <c r="E26" i="15"/>
  <c r="D8" i="15"/>
  <c r="G14" i="15"/>
  <c r="N60" i="8"/>
  <c r="O60" i="8"/>
  <c r="N61" i="8"/>
  <c r="N62" i="8"/>
  <c r="N63" i="8"/>
  <c r="N64" i="8"/>
  <c r="N65" i="8"/>
  <c r="N66" i="8"/>
  <c r="N67" i="8"/>
  <c r="N68" i="8"/>
  <c r="N69" i="8"/>
  <c r="N70" i="8"/>
  <c r="N71" i="8"/>
  <c r="N72" i="8"/>
  <c r="N73" i="8"/>
  <c r="N74" i="8"/>
  <c r="N75" i="8"/>
  <c r="N76" i="8"/>
  <c r="N77" i="8"/>
  <c r="G21" i="6"/>
  <c r="T60" i="8"/>
  <c r="U60" i="8"/>
  <c r="T61" i="8"/>
  <c r="T62" i="8"/>
  <c r="T63" i="8"/>
  <c r="T64" i="8"/>
  <c r="T65" i="8"/>
  <c r="T66" i="8"/>
  <c r="T67" i="8"/>
  <c r="T68" i="8"/>
  <c r="T69" i="8"/>
  <c r="T70" i="8"/>
  <c r="T71" i="8"/>
  <c r="T72" i="8"/>
  <c r="T73" i="8"/>
  <c r="T74" i="8"/>
  <c r="T75" i="8"/>
  <c r="T76" i="8"/>
  <c r="T77" i="8"/>
  <c r="G22" i="6"/>
  <c r="AD61" i="8"/>
  <c r="C22" i="6"/>
  <c r="AE61" i="8"/>
  <c r="AF61" i="8"/>
  <c r="AD62" i="8"/>
  <c r="AD63" i="8"/>
  <c r="AD64" i="8"/>
  <c r="AD65" i="8"/>
  <c r="AJ61" i="8"/>
  <c r="AK61" i="8"/>
  <c r="AL61" i="8"/>
  <c r="AJ62" i="8"/>
  <c r="AJ63" i="8"/>
  <c r="AJ64" i="8"/>
  <c r="AJ65" i="8"/>
  <c r="C24" i="6"/>
  <c r="C25" i="6"/>
  <c r="C26" i="6"/>
  <c r="X60" i="8"/>
  <c r="Y60" i="8"/>
  <c r="X61" i="8"/>
  <c r="X62" i="8"/>
  <c r="X63" i="8"/>
  <c r="X64" i="8"/>
  <c r="X65" i="8"/>
  <c r="X66" i="8"/>
  <c r="X67" i="8"/>
  <c r="X68" i="8"/>
  <c r="X69" i="8"/>
  <c r="X70" i="8"/>
  <c r="X71" i="8"/>
  <c r="X72" i="8"/>
  <c r="X73" i="8"/>
  <c r="X74" i="8"/>
  <c r="X75" i="8"/>
  <c r="X76" i="8"/>
  <c r="X77" i="8"/>
  <c r="C27" i="6"/>
  <c r="C28" i="6"/>
  <c r="D24" i="6"/>
  <c r="G15" i="15"/>
  <c r="G16" i="15"/>
  <c r="F22" i="15"/>
  <c r="D6" i="15"/>
  <c r="G6" i="15"/>
  <c r="G8" i="15"/>
  <c r="D11" i="13"/>
  <c r="D6" i="13"/>
  <c r="D21" i="13"/>
  <c r="AA125" i="8"/>
  <c r="R125" i="8"/>
  <c r="R124" i="8"/>
  <c r="AA124" i="8"/>
  <c r="R138" i="8"/>
  <c r="R142" i="8"/>
  <c r="R134" i="8"/>
  <c r="AA130" i="8"/>
  <c r="R131" i="8"/>
  <c r="AA141" i="8"/>
  <c r="AA136" i="8"/>
  <c r="AA131" i="8"/>
  <c r="AA126" i="8"/>
  <c r="AA140" i="8"/>
  <c r="AA135" i="8"/>
  <c r="AA129" i="8"/>
  <c r="AA144" i="8"/>
  <c r="AA139" i="8"/>
  <c r="AA133" i="8"/>
  <c r="AA128" i="8"/>
  <c r="AA143" i="8"/>
  <c r="AA137" i="8"/>
  <c r="AA132" i="8"/>
  <c r="AA127" i="8"/>
  <c r="AA142" i="8"/>
  <c r="AA138" i="8"/>
  <c r="AA134" i="8"/>
  <c r="R126" i="8"/>
  <c r="R133" i="8"/>
  <c r="R141" i="8"/>
  <c r="R130" i="8"/>
  <c r="R127" i="8"/>
  <c r="R137" i="8"/>
  <c r="R129" i="8"/>
  <c r="R144" i="8"/>
  <c r="R140" i="8"/>
  <c r="R136" i="8"/>
  <c r="R132" i="8"/>
  <c r="R128" i="8"/>
  <c r="R143" i="8"/>
  <c r="R139" i="8"/>
  <c r="R135" i="8"/>
  <c r="I17" i="13"/>
  <c r="G17" i="13"/>
  <c r="D7" i="13"/>
  <c r="D9" i="13"/>
  <c r="E17" i="13"/>
  <c r="D23" i="13"/>
  <c r="D22" i="13"/>
  <c r="L7" i="8"/>
  <c r="L8" i="8"/>
  <c r="F31" i="13"/>
  <c r="D14" i="13"/>
  <c r="L5" i="8"/>
  <c r="E21" i="13"/>
  <c r="D12" i="13"/>
  <c r="L3" i="8"/>
  <c r="L6" i="8"/>
  <c r="L4" i="8"/>
  <c r="K113" i="8"/>
  <c r="K112" i="8"/>
  <c r="H122" i="8"/>
  <c r="H121" i="8"/>
  <c r="H119" i="8"/>
  <c r="H118" i="8"/>
  <c r="E28" i="13"/>
  <c r="D13" i="13"/>
  <c r="E5" i="13"/>
  <c r="K116" i="8"/>
  <c r="K115" i="8"/>
  <c r="K114" i="8"/>
  <c r="F17" i="4"/>
  <c r="D7" i="4"/>
  <c r="E82" i="8"/>
  <c r="E81" i="8"/>
  <c r="E80" i="8"/>
  <c r="E87" i="8"/>
  <c r="E91" i="8"/>
  <c r="E95" i="8"/>
  <c r="E99" i="8"/>
  <c r="E103" i="8"/>
  <c r="E107" i="8"/>
  <c r="E111" i="8"/>
  <c r="E115" i="8"/>
  <c r="E119" i="8"/>
  <c r="E123" i="8"/>
  <c r="E127" i="8"/>
  <c r="E131" i="8"/>
  <c r="E135" i="8"/>
  <c r="E139" i="8"/>
  <c r="E143" i="8"/>
  <c r="E147" i="8"/>
  <c r="E151" i="8"/>
  <c r="E155" i="8"/>
  <c r="E159" i="8"/>
  <c r="E163" i="8"/>
  <c r="E167" i="8"/>
  <c r="E171" i="8"/>
  <c r="E175" i="8"/>
  <c r="E179" i="8"/>
  <c r="E183" i="8"/>
  <c r="E187" i="8"/>
  <c r="E191" i="8"/>
  <c r="E195" i="8"/>
  <c r="E199" i="8"/>
  <c r="E203" i="8"/>
  <c r="E207" i="8"/>
  <c r="E211" i="8"/>
  <c r="E215" i="8"/>
  <c r="E219" i="8"/>
  <c r="E223" i="8"/>
  <c r="E227" i="8"/>
  <c r="E231" i="8"/>
  <c r="E235" i="8"/>
  <c r="E239" i="8"/>
  <c r="E243" i="8"/>
  <c r="E247" i="8"/>
  <c r="E251" i="8"/>
  <c r="E255" i="8"/>
  <c r="E259" i="8"/>
  <c r="E263" i="8"/>
  <c r="E267" i="8"/>
  <c r="E271" i="8"/>
  <c r="E275" i="8"/>
  <c r="E279" i="8"/>
  <c r="E283" i="8"/>
  <c r="E287" i="8"/>
  <c r="E291" i="8"/>
  <c r="E295" i="8"/>
  <c r="E299" i="8"/>
  <c r="E303" i="8"/>
  <c r="E307" i="8"/>
  <c r="E311" i="8"/>
  <c r="E315" i="8"/>
  <c r="E319" i="8"/>
  <c r="E323" i="8"/>
  <c r="E327" i="8"/>
  <c r="E331" i="8"/>
  <c r="E335" i="8"/>
  <c r="E339" i="8"/>
  <c r="E343" i="8"/>
  <c r="E347" i="8"/>
  <c r="E351" i="8"/>
  <c r="E355" i="8"/>
  <c r="E359" i="8"/>
  <c r="E363" i="8"/>
  <c r="E367" i="8"/>
  <c r="E371" i="8"/>
  <c r="E375" i="8"/>
  <c r="E379" i="8"/>
  <c r="E383" i="8"/>
  <c r="E387" i="8"/>
  <c r="E391" i="8"/>
  <c r="E395" i="8"/>
  <c r="E399" i="8"/>
  <c r="E403" i="8"/>
  <c r="E407" i="8"/>
  <c r="E411" i="8"/>
  <c r="E415" i="8"/>
  <c r="E419" i="8"/>
  <c r="E84" i="8"/>
  <c r="E89" i="8"/>
  <c r="E94" i="8"/>
  <c r="E100" i="8"/>
  <c r="E105" i="8"/>
  <c r="E110" i="8"/>
  <c r="E116" i="8"/>
  <c r="E121" i="8"/>
  <c r="E126" i="8"/>
  <c r="E132" i="8"/>
  <c r="E137" i="8"/>
  <c r="E142" i="8"/>
  <c r="E148" i="8"/>
  <c r="E153" i="8"/>
  <c r="E158" i="8"/>
  <c r="E164" i="8"/>
  <c r="E169" i="8"/>
  <c r="E174" i="8"/>
  <c r="E180" i="8"/>
  <c r="E185" i="8"/>
  <c r="E190" i="8"/>
  <c r="E196" i="8"/>
  <c r="E201" i="8"/>
  <c r="E206" i="8"/>
  <c r="E212" i="8"/>
  <c r="E217" i="8"/>
  <c r="E222" i="8"/>
  <c r="E228" i="8"/>
  <c r="E233" i="8"/>
  <c r="E238" i="8"/>
  <c r="E244" i="8"/>
  <c r="E249" i="8"/>
  <c r="E254" i="8"/>
  <c r="E260" i="8"/>
  <c r="E265" i="8"/>
  <c r="E270" i="8"/>
  <c r="E276" i="8"/>
  <c r="E281" i="8"/>
  <c r="E286" i="8"/>
  <c r="E292" i="8"/>
  <c r="E297" i="8"/>
  <c r="E302" i="8"/>
  <c r="E308" i="8"/>
  <c r="E313" i="8"/>
  <c r="E318" i="8"/>
  <c r="E324" i="8"/>
  <c r="E329" i="8"/>
  <c r="E334" i="8"/>
  <c r="E340" i="8"/>
  <c r="E345" i="8"/>
  <c r="E350" i="8"/>
  <c r="E356" i="8"/>
  <c r="E361" i="8"/>
  <c r="E366" i="8"/>
  <c r="E372" i="8"/>
  <c r="E377" i="8"/>
  <c r="E382" i="8"/>
  <c r="E388" i="8"/>
  <c r="E393" i="8"/>
  <c r="E398" i="8"/>
  <c r="E404" i="8"/>
  <c r="E409" i="8"/>
  <c r="E414" i="8"/>
  <c r="E420" i="8"/>
  <c r="E424" i="8"/>
  <c r="E428" i="8"/>
  <c r="E432" i="8"/>
  <c r="E436" i="8"/>
  <c r="E440" i="8"/>
  <c r="E444" i="8"/>
  <c r="E448" i="8"/>
  <c r="E452" i="8"/>
  <c r="E456" i="8"/>
  <c r="E460" i="8"/>
  <c r="E464" i="8"/>
  <c r="E468" i="8"/>
  <c r="E472" i="8"/>
  <c r="E476" i="8"/>
  <c r="E480" i="8"/>
  <c r="E484" i="8"/>
  <c r="E488" i="8"/>
  <c r="E492" i="8"/>
  <c r="E496" i="8"/>
  <c r="E500" i="8"/>
  <c r="E504" i="8"/>
  <c r="E508" i="8"/>
  <c r="E512" i="8"/>
  <c r="E516" i="8"/>
  <c r="E520" i="8"/>
  <c r="E524" i="8"/>
  <c r="E528" i="8"/>
  <c r="E532" i="8"/>
  <c r="E536" i="8"/>
  <c r="E540" i="8"/>
  <c r="E544" i="8"/>
  <c r="E548" i="8"/>
  <c r="E552" i="8"/>
  <c r="E556" i="8"/>
  <c r="E560" i="8"/>
  <c r="E564" i="8"/>
  <c r="E568" i="8"/>
  <c r="E572" i="8"/>
  <c r="E576" i="8"/>
  <c r="E580" i="8"/>
  <c r="E584" i="8"/>
  <c r="E588" i="8"/>
  <c r="E592" i="8"/>
  <c r="E596" i="8"/>
  <c r="E600" i="8"/>
  <c r="E604" i="8"/>
  <c r="E608" i="8"/>
  <c r="E612" i="8"/>
  <c r="E616" i="8"/>
  <c r="E620" i="8"/>
  <c r="E624" i="8"/>
  <c r="E628" i="8"/>
  <c r="E632" i="8"/>
  <c r="E636" i="8"/>
  <c r="E640" i="8"/>
  <c r="E644" i="8"/>
  <c r="E648" i="8"/>
  <c r="E652" i="8"/>
  <c r="E656" i="8"/>
  <c r="E660" i="8"/>
  <c r="E664" i="8"/>
  <c r="E668" i="8"/>
  <c r="E672" i="8"/>
  <c r="E676" i="8"/>
  <c r="E680" i="8"/>
  <c r="E684" i="8"/>
  <c r="E688" i="8"/>
  <c r="E692" i="8"/>
  <c r="E696" i="8"/>
  <c r="E700" i="8"/>
  <c r="E704" i="8"/>
  <c r="E708" i="8"/>
  <c r="E712" i="8"/>
  <c r="E716" i="8"/>
  <c r="E720" i="8"/>
  <c r="E724" i="8"/>
  <c r="E728" i="8"/>
  <c r="E732" i="8"/>
  <c r="E736" i="8"/>
  <c r="E740" i="8"/>
  <c r="E744" i="8"/>
  <c r="E748" i="8"/>
  <c r="E752" i="8"/>
  <c r="E756" i="8"/>
  <c r="E760" i="8"/>
  <c r="E764" i="8"/>
  <c r="E768" i="8"/>
  <c r="E772" i="8"/>
  <c r="E776" i="8"/>
  <c r="E780" i="8"/>
  <c r="E784" i="8"/>
  <c r="E788" i="8"/>
  <c r="E792" i="8"/>
  <c r="E796" i="8"/>
  <c r="E800" i="8"/>
  <c r="E804" i="8"/>
  <c r="E808" i="8"/>
  <c r="E812" i="8"/>
  <c r="E816" i="8"/>
  <c r="E820" i="8"/>
  <c r="E824" i="8"/>
  <c r="E828" i="8"/>
  <c r="E832" i="8"/>
  <c r="E836" i="8"/>
  <c r="E840" i="8"/>
  <c r="E844" i="8"/>
  <c r="E85" i="8"/>
  <c r="E92" i="8"/>
  <c r="E98" i="8"/>
  <c r="E106" i="8"/>
  <c r="E113" i="8"/>
  <c r="E120" i="8"/>
  <c r="E128" i="8"/>
  <c r="E134" i="8"/>
  <c r="E141" i="8"/>
  <c r="E149" i="8"/>
  <c r="E156" i="8"/>
  <c r="E162" i="8"/>
  <c r="E170" i="8"/>
  <c r="E177" i="8"/>
  <c r="E184" i="8"/>
  <c r="E192" i="8"/>
  <c r="E198" i="8"/>
  <c r="E205" i="8"/>
  <c r="E213" i="8"/>
  <c r="E220" i="8"/>
  <c r="E226" i="8"/>
  <c r="E234" i="8"/>
  <c r="E241" i="8"/>
  <c r="E248" i="8"/>
  <c r="E256" i="8"/>
  <c r="E262" i="8"/>
  <c r="E269" i="8"/>
  <c r="E277" i="8"/>
  <c r="E284" i="8"/>
  <c r="E290" i="8"/>
  <c r="E298" i="8"/>
  <c r="E305" i="8"/>
  <c r="E312" i="8"/>
  <c r="E320" i="8"/>
  <c r="E326" i="8"/>
  <c r="E333" i="8"/>
  <c r="E341" i="8"/>
  <c r="E348" i="8"/>
  <c r="E354" i="8"/>
  <c r="E362" i="8"/>
  <c r="E369" i="8"/>
  <c r="E376" i="8"/>
  <c r="E384" i="8"/>
  <c r="E390" i="8"/>
  <c r="E397" i="8"/>
  <c r="E405" i="8"/>
  <c r="E412" i="8"/>
  <c r="E418" i="8"/>
  <c r="E425" i="8"/>
  <c r="E430" i="8"/>
  <c r="E435" i="8"/>
  <c r="E441" i="8"/>
  <c r="E446" i="8"/>
  <c r="E451" i="8"/>
  <c r="E457" i="8"/>
  <c r="E462" i="8"/>
  <c r="E467" i="8"/>
  <c r="E473" i="8"/>
  <c r="E478" i="8"/>
  <c r="E483" i="8"/>
  <c r="E489" i="8"/>
  <c r="E494" i="8"/>
  <c r="E499" i="8"/>
  <c r="E505" i="8"/>
  <c r="E510" i="8"/>
  <c r="E515" i="8"/>
  <c r="E521" i="8"/>
  <c r="E526" i="8"/>
  <c r="E531" i="8"/>
  <c r="E537" i="8"/>
  <c r="E542" i="8"/>
  <c r="E547" i="8"/>
  <c r="E553" i="8"/>
  <c r="E558" i="8"/>
  <c r="E563" i="8"/>
  <c r="E569" i="8"/>
  <c r="E574" i="8"/>
  <c r="E579" i="8"/>
  <c r="E585" i="8"/>
  <c r="E590" i="8"/>
  <c r="E595" i="8"/>
  <c r="E601" i="8"/>
  <c r="E606" i="8"/>
  <c r="E611" i="8"/>
  <c r="E617" i="8"/>
  <c r="E622" i="8"/>
  <c r="E627" i="8"/>
  <c r="E633" i="8"/>
  <c r="E638" i="8"/>
  <c r="E643" i="8"/>
  <c r="E649" i="8"/>
  <c r="E654" i="8"/>
  <c r="E659" i="8"/>
  <c r="E665" i="8"/>
  <c r="E670" i="8"/>
  <c r="E675" i="8"/>
  <c r="E681" i="8"/>
  <c r="E686" i="8"/>
  <c r="E691" i="8"/>
  <c r="E697" i="8"/>
  <c r="E702" i="8"/>
  <c r="E707" i="8"/>
  <c r="E713" i="8"/>
  <c r="E718" i="8"/>
  <c r="E723" i="8"/>
  <c r="E729" i="8"/>
  <c r="E734" i="8"/>
  <c r="E739" i="8"/>
  <c r="E745" i="8"/>
  <c r="E750" i="8"/>
  <c r="E755" i="8"/>
  <c r="E761" i="8"/>
  <c r="E766" i="8"/>
  <c r="E771" i="8"/>
  <c r="E777" i="8"/>
  <c r="E782" i="8"/>
  <c r="E787" i="8"/>
  <c r="E793" i="8"/>
  <c r="E798" i="8"/>
  <c r="E803" i="8"/>
  <c r="E809" i="8"/>
  <c r="E814" i="8"/>
  <c r="E819" i="8"/>
  <c r="E825" i="8"/>
  <c r="E830" i="8"/>
  <c r="E835" i="8"/>
  <c r="E841" i="8"/>
  <c r="E846" i="8"/>
  <c r="E850" i="8"/>
  <c r="E854" i="8"/>
  <c r="E858" i="8"/>
  <c r="E862" i="8"/>
  <c r="E866" i="8"/>
  <c r="E870" i="8"/>
  <c r="E874" i="8"/>
  <c r="E878" i="8"/>
  <c r="E882" i="8"/>
  <c r="E886" i="8"/>
  <c r="E890" i="8"/>
  <c r="E894" i="8"/>
  <c r="E898" i="8"/>
  <c r="E902" i="8"/>
  <c r="E83" i="8"/>
  <c r="E86" i="8"/>
  <c r="E93" i="8"/>
  <c r="E101" i="8"/>
  <c r="E108" i="8"/>
  <c r="E114" i="8"/>
  <c r="E122" i="8"/>
  <c r="E129" i="8"/>
  <c r="E136" i="8"/>
  <c r="E144" i="8"/>
  <c r="E150" i="8"/>
  <c r="E157" i="8"/>
  <c r="E165" i="8"/>
  <c r="E172" i="8"/>
  <c r="E178" i="8"/>
  <c r="E186" i="8"/>
  <c r="E193" i="8"/>
  <c r="E200" i="8"/>
  <c r="E208" i="8"/>
  <c r="E214" i="8"/>
  <c r="E221" i="8"/>
  <c r="E229" i="8"/>
  <c r="E236" i="8"/>
  <c r="E242" i="8"/>
  <c r="E250" i="8"/>
  <c r="E257" i="8"/>
  <c r="E264" i="8"/>
  <c r="E272" i="8"/>
  <c r="E278" i="8"/>
  <c r="E285" i="8"/>
  <c r="E300" i="8"/>
  <c r="E306" i="8"/>
  <c r="E314" i="8"/>
  <c r="E321" i="8"/>
  <c r="E328" i="8"/>
  <c r="E336" i="8"/>
  <c r="E342" i="8"/>
  <c r="E349" i="8"/>
  <c r="E357" i="8"/>
  <c r="E364" i="8"/>
  <c r="E370" i="8"/>
  <c r="E385" i="8"/>
  <c r="E392" i="8"/>
  <c r="E400" i="8"/>
  <c r="E406" i="8"/>
  <c r="E421" i="8"/>
  <c r="E426" i="8"/>
  <c r="E437" i="8"/>
  <c r="E442" i="8"/>
  <c r="E453" i="8"/>
  <c r="E463" i="8"/>
  <c r="E474" i="8"/>
  <c r="E485" i="8"/>
  <c r="E490" i="8"/>
  <c r="E501" i="8"/>
  <c r="E511" i="8"/>
  <c r="E517" i="8"/>
  <c r="E527" i="8"/>
  <c r="E538" i="8"/>
  <c r="E549" i="8"/>
  <c r="E559" i="8"/>
  <c r="E565" i="8"/>
  <c r="E575" i="8"/>
  <c r="E586" i="8"/>
  <c r="E597" i="8"/>
  <c r="E602" i="8"/>
  <c r="E613" i="8"/>
  <c r="E623" i="8"/>
  <c r="E634" i="8"/>
  <c r="E639" i="8"/>
  <c r="E650" i="8"/>
  <c r="E661" i="8"/>
  <c r="E671" i="8"/>
  <c r="E677" i="8"/>
  <c r="E687" i="8"/>
  <c r="E698" i="8"/>
  <c r="E709" i="8"/>
  <c r="E719" i="8"/>
  <c r="E725" i="8"/>
  <c r="E735" i="8"/>
  <c r="E746" i="8"/>
  <c r="E751" i="8"/>
  <c r="E762" i="8"/>
  <c r="E773" i="8"/>
  <c r="E783" i="8"/>
  <c r="E794" i="8"/>
  <c r="E799" i="8"/>
  <c r="E810" i="8"/>
  <c r="E821" i="8"/>
  <c r="E826" i="8"/>
  <c r="E837" i="8"/>
  <c r="E847" i="8"/>
  <c r="E855" i="8"/>
  <c r="E859" i="8"/>
  <c r="E867" i="8"/>
  <c r="E875" i="8"/>
  <c r="E883" i="8"/>
  <c r="E891" i="8"/>
  <c r="E899" i="8"/>
  <c r="E903" i="8"/>
  <c r="E96" i="8"/>
  <c r="E102" i="8"/>
  <c r="E117" i="8"/>
  <c r="E130" i="8"/>
  <c r="E145" i="8"/>
  <c r="E160" i="8"/>
  <c r="E173" i="8"/>
  <c r="E188" i="8"/>
  <c r="E202" i="8"/>
  <c r="E216" i="8"/>
  <c r="E230" i="8"/>
  <c r="E245" i="8"/>
  <c r="E258" i="8"/>
  <c r="E273" i="8"/>
  <c r="E288" i="8"/>
  <c r="E294" i="8"/>
  <c r="E309" i="8"/>
  <c r="E316" i="8"/>
  <c r="E330" i="8"/>
  <c r="E344" i="8"/>
  <c r="E358" i="8"/>
  <c r="E373" i="8"/>
  <c r="E386" i="8"/>
  <c r="E401" i="8"/>
  <c r="E416" i="8"/>
  <c r="E427" i="8"/>
  <c r="E438" i="8"/>
  <c r="E449" i="8"/>
  <c r="E459" i="8"/>
  <c r="E470" i="8"/>
  <c r="E481" i="8"/>
  <c r="E491" i="8"/>
  <c r="E502" i="8"/>
  <c r="E507" i="8"/>
  <c r="E518" i="8"/>
  <c r="E529" i="8"/>
  <c r="E539" i="8"/>
  <c r="E550" i="8"/>
  <c r="E561" i="8"/>
  <c r="E571" i="8"/>
  <c r="E582" i="8"/>
  <c r="E593" i="8"/>
  <c r="E603" i="8"/>
  <c r="E614" i="8"/>
  <c r="E625" i="8"/>
  <c r="E635" i="8"/>
  <c r="E293" i="8"/>
  <c r="E378" i="8"/>
  <c r="E413" i="8"/>
  <c r="E431" i="8"/>
  <c r="E447" i="8"/>
  <c r="E458" i="8"/>
  <c r="E469" i="8"/>
  <c r="E479" i="8"/>
  <c r="E495" i="8"/>
  <c r="E506" i="8"/>
  <c r="E522" i="8"/>
  <c r="E533" i="8"/>
  <c r="E543" i="8"/>
  <c r="E554" i="8"/>
  <c r="E570" i="8"/>
  <c r="E581" i="8"/>
  <c r="E591" i="8"/>
  <c r="E607" i="8"/>
  <c r="E618" i="8"/>
  <c r="E629" i="8"/>
  <c r="E645" i="8"/>
  <c r="E655" i="8"/>
  <c r="E666" i="8"/>
  <c r="E682" i="8"/>
  <c r="E693" i="8"/>
  <c r="E703" i="8"/>
  <c r="E714" i="8"/>
  <c r="E730" i="8"/>
  <c r="E741" i="8"/>
  <c r="E757" i="8"/>
  <c r="E767" i="8"/>
  <c r="E778" i="8"/>
  <c r="E789" i="8"/>
  <c r="E805" i="8"/>
  <c r="E815" i="8"/>
  <c r="E831" i="8"/>
  <c r="E842" i="8"/>
  <c r="E851" i="8"/>
  <c r="E863" i="8"/>
  <c r="E871" i="8"/>
  <c r="E879" i="8"/>
  <c r="E887" i="8"/>
  <c r="E895" i="8"/>
  <c r="E88" i="8"/>
  <c r="E109" i="8"/>
  <c r="E124" i="8"/>
  <c r="E138" i="8"/>
  <c r="E152" i="8"/>
  <c r="E166" i="8"/>
  <c r="E181" i="8"/>
  <c r="E194" i="8"/>
  <c r="E209" i="8"/>
  <c r="E224" i="8"/>
  <c r="E237" i="8"/>
  <c r="E252" i="8"/>
  <c r="E266" i="8"/>
  <c r="E280" i="8"/>
  <c r="E301" i="8"/>
  <c r="E322" i="8"/>
  <c r="E337" i="8"/>
  <c r="E352" i="8"/>
  <c r="E365" i="8"/>
  <c r="E380" i="8"/>
  <c r="E394" i="8"/>
  <c r="E408" i="8"/>
  <c r="E422" i="8"/>
  <c r="E433" i="8"/>
  <c r="E443" i="8"/>
  <c r="E454" i="8"/>
  <c r="E465" i="8"/>
  <c r="E475" i="8"/>
  <c r="E486" i="8"/>
  <c r="E497" i="8"/>
  <c r="E513" i="8"/>
  <c r="E523" i="8"/>
  <c r="E534" i="8"/>
  <c r="E545" i="8"/>
  <c r="E555" i="8"/>
  <c r="E566" i="8"/>
  <c r="E577" i="8"/>
  <c r="E587" i="8"/>
  <c r="E598" i="8"/>
  <c r="E609" i="8"/>
  <c r="E619" i="8"/>
  <c r="E630" i="8"/>
  <c r="E90" i="8"/>
  <c r="E118" i="8"/>
  <c r="E146" i="8"/>
  <c r="E176" i="8"/>
  <c r="E204" i="8"/>
  <c r="E232" i="8"/>
  <c r="E261" i="8"/>
  <c r="E289" i="8"/>
  <c r="E317" i="8"/>
  <c r="E346" i="8"/>
  <c r="E374" i="8"/>
  <c r="E402" i="8"/>
  <c r="E429" i="8"/>
  <c r="E450" i="8"/>
  <c r="E471" i="8"/>
  <c r="E493" i="8"/>
  <c r="E514" i="8"/>
  <c r="E535" i="8"/>
  <c r="E557" i="8"/>
  <c r="E578" i="8"/>
  <c r="E599" i="8"/>
  <c r="E621" i="8"/>
  <c r="E641" i="8"/>
  <c r="E651" i="8"/>
  <c r="E662" i="8"/>
  <c r="E673" i="8"/>
  <c r="E683" i="8"/>
  <c r="E694" i="8"/>
  <c r="E705" i="8"/>
  <c r="E715" i="8"/>
  <c r="E726" i="8"/>
  <c r="E737" i="8"/>
  <c r="E747" i="8"/>
  <c r="E758" i="8"/>
  <c r="E769" i="8"/>
  <c r="E779" i="8"/>
  <c r="E790" i="8"/>
  <c r="E801" i="8"/>
  <c r="E811" i="8"/>
  <c r="E822" i="8"/>
  <c r="E833" i="8"/>
  <c r="E843" i="8"/>
  <c r="E852" i="8"/>
  <c r="E860" i="8"/>
  <c r="E868" i="8"/>
  <c r="E876" i="8"/>
  <c r="E884" i="8"/>
  <c r="E892" i="8"/>
  <c r="E900" i="8"/>
  <c r="E813" i="8"/>
  <c r="E834" i="8"/>
  <c r="E853" i="8"/>
  <c r="E861" i="8"/>
  <c r="E877" i="8"/>
  <c r="E885" i="8"/>
  <c r="E901" i="8"/>
  <c r="E133" i="8"/>
  <c r="E189" i="8"/>
  <c r="E246" i="8"/>
  <c r="E304" i="8"/>
  <c r="E360" i="8"/>
  <c r="E389" i="8"/>
  <c r="E439" i="8"/>
  <c r="E482" i="8"/>
  <c r="E525" i="8"/>
  <c r="E567" i="8"/>
  <c r="E610" i="8"/>
  <c r="E631" i="8"/>
  <c r="E657" i="8"/>
  <c r="E678" i="8"/>
  <c r="E699" i="8"/>
  <c r="E721" i="8"/>
  <c r="E742" i="8"/>
  <c r="E763" i="8"/>
  <c r="E785" i="8"/>
  <c r="E806" i="8"/>
  <c r="E827" i="8"/>
  <c r="E848" i="8"/>
  <c r="E864" i="8"/>
  <c r="E880" i="8"/>
  <c r="E896" i="8"/>
  <c r="E112" i="8"/>
  <c r="E168" i="8"/>
  <c r="E225" i="8"/>
  <c r="E282" i="8"/>
  <c r="E338" i="8"/>
  <c r="E396" i="8"/>
  <c r="E445" i="8"/>
  <c r="E487" i="8"/>
  <c r="E530" i="8"/>
  <c r="E573" i="8"/>
  <c r="E615" i="8"/>
  <c r="E647" i="8"/>
  <c r="E669" i="8"/>
  <c r="E690" i="8"/>
  <c r="E711" i="8"/>
  <c r="E733" i="8"/>
  <c r="E754" i="8"/>
  <c r="E775" i="8"/>
  <c r="E797" i="8"/>
  <c r="E818" i="8"/>
  <c r="E839" i="8"/>
  <c r="E857" i="8"/>
  <c r="E873" i="8"/>
  <c r="E889" i="8"/>
  <c r="E905" i="8"/>
  <c r="E97" i="8"/>
  <c r="E125" i="8"/>
  <c r="E154" i="8"/>
  <c r="E182" i="8"/>
  <c r="E210" i="8"/>
  <c r="E240" i="8"/>
  <c r="E268" i="8"/>
  <c r="E296" i="8"/>
  <c r="E325" i="8"/>
  <c r="E353" i="8"/>
  <c r="E381" i="8"/>
  <c r="E410" i="8"/>
  <c r="E434" i="8"/>
  <c r="E455" i="8"/>
  <c r="E477" i="8"/>
  <c r="E498" i="8"/>
  <c r="E519" i="8"/>
  <c r="E541" i="8"/>
  <c r="E562" i="8"/>
  <c r="E583" i="8"/>
  <c r="E605" i="8"/>
  <c r="E626" i="8"/>
  <c r="E642" i="8"/>
  <c r="E653" i="8"/>
  <c r="E663" i="8"/>
  <c r="E674" i="8"/>
  <c r="E685" i="8"/>
  <c r="E695" i="8"/>
  <c r="E706" i="8"/>
  <c r="E717" i="8"/>
  <c r="E727" i="8"/>
  <c r="E738" i="8"/>
  <c r="E749" i="8"/>
  <c r="E759" i="8"/>
  <c r="E770" i="8"/>
  <c r="E781" i="8"/>
  <c r="E791" i="8"/>
  <c r="E802" i="8"/>
  <c r="E823" i="8"/>
  <c r="E845" i="8"/>
  <c r="E869" i="8"/>
  <c r="E893" i="8"/>
  <c r="E104" i="8"/>
  <c r="E161" i="8"/>
  <c r="E218" i="8"/>
  <c r="E274" i="8"/>
  <c r="E332" i="8"/>
  <c r="E417" i="8"/>
  <c r="E461" i="8"/>
  <c r="E503" i="8"/>
  <c r="E546" i="8"/>
  <c r="E589" i="8"/>
  <c r="E646" i="8"/>
  <c r="E667" i="8"/>
  <c r="E689" i="8"/>
  <c r="E710" i="8"/>
  <c r="E731" i="8"/>
  <c r="E753" i="8"/>
  <c r="E774" i="8"/>
  <c r="E795" i="8"/>
  <c r="E817" i="8"/>
  <c r="E838" i="8"/>
  <c r="E856" i="8"/>
  <c r="E872" i="8"/>
  <c r="E888" i="8"/>
  <c r="E904" i="8"/>
  <c r="E140" i="8"/>
  <c r="E197" i="8"/>
  <c r="E253" i="8"/>
  <c r="E310" i="8"/>
  <c r="E368" i="8"/>
  <c r="E423" i="8"/>
  <c r="E466" i="8"/>
  <c r="E509" i="8"/>
  <c r="E551" i="8"/>
  <c r="E594" i="8"/>
  <c r="E637" i="8"/>
  <c r="E658" i="8"/>
  <c r="E679" i="8"/>
  <c r="E701" i="8"/>
  <c r="E722" i="8"/>
  <c r="E743" i="8"/>
  <c r="E765" i="8"/>
  <c r="E786" i="8"/>
  <c r="E807" i="8"/>
  <c r="E829" i="8"/>
  <c r="E849" i="8"/>
  <c r="E865" i="8"/>
  <c r="E881" i="8"/>
  <c r="E897" i="8"/>
  <c r="G12" i="4"/>
  <c r="E12" i="4"/>
  <c r="G13" i="4"/>
  <c r="K8" i="8"/>
  <c r="K7" i="8"/>
  <c r="K3" i="8"/>
  <c r="H13" i="4"/>
  <c r="D6" i="4"/>
  <c r="K6" i="8"/>
  <c r="K5" i="8"/>
  <c r="K4" i="8"/>
  <c r="D11" i="6"/>
  <c r="J8" i="8"/>
  <c r="J7" i="8"/>
  <c r="E21" i="4"/>
  <c r="D8" i="4"/>
  <c r="J6" i="8"/>
  <c r="J5" i="8"/>
  <c r="J4" i="8"/>
  <c r="J3" i="8"/>
  <c r="I8" i="8"/>
  <c r="I7" i="8"/>
  <c r="D14" i="5"/>
  <c r="D13" i="5"/>
  <c r="D12" i="5"/>
  <c r="D9" i="5"/>
  <c r="D8" i="5"/>
  <c r="BF11" i="8"/>
  <c r="H8" i="8"/>
  <c r="H7" i="8"/>
  <c r="AZ11" i="8"/>
  <c r="AR11" i="8"/>
  <c r="AQ11" i="8"/>
  <c r="F33" i="12"/>
  <c r="E10" i="12"/>
  <c r="BE11" i="8"/>
  <c r="D15" i="12"/>
  <c r="C15" i="12"/>
  <c r="E18" i="6"/>
  <c r="H6" i="8"/>
  <c r="H5" i="8"/>
  <c r="H4" i="8"/>
  <c r="H3" i="8"/>
  <c r="I6" i="8"/>
  <c r="I5" i="8"/>
  <c r="I4" i="8"/>
  <c r="I3" i="8"/>
  <c r="BE26" i="8"/>
  <c r="BE20" i="8"/>
  <c r="BE28" i="8"/>
  <c r="BE15" i="8"/>
  <c r="BE23" i="8"/>
  <c r="BE16" i="8"/>
  <c r="BE24" i="8"/>
  <c r="BE19" i="8"/>
  <c r="BE27" i="8"/>
  <c r="BE17" i="8"/>
  <c r="BE21" i="8"/>
  <c r="BE25" i="8"/>
  <c r="BE14" i="8"/>
  <c r="BE18" i="8"/>
  <c r="BE22" i="8"/>
  <c r="AQ24" i="8"/>
  <c r="AQ28" i="8"/>
  <c r="AQ13" i="8"/>
  <c r="AQ17" i="8"/>
  <c r="AQ21" i="8"/>
  <c r="AQ27" i="8"/>
  <c r="AQ14" i="8"/>
  <c r="AQ18" i="8"/>
  <c r="AQ22" i="8"/>
  <c r="AQ26" i="8"/>
  <c r="AQ15" i="8"/>
  <c r="AQ19" i="8"/>
  <c r="AQ23" i="8"/>
  <c r="AQ12" i="8"/>
  <c r="AQ25" i="8"/>
  <c r="AQ16" i="8"/>
  <c r="AQ20" i="8"/>
  <c r="AY11" i="8"/>
  <c r="AY18" i="8"/>
  <c r="BE12" i="8"/>
  <c r="BE13" i="8"/>
  <c r="E19" i="5"/>
  <c r="E30" i="12"/>
  <c r="E8" i="12"/>
  <c r="G15" i="12"/>
  <c r="E7" i="12"/>
  <c r="D16" i="12"/>
  <c r="AY17" i="8"/>
  <c r="AY15" i="8"/>
  <c r="AY21" i="8"/>
  <c r="AY16" i="8"/>
  <c r="AY20" i="8"/>
  <c r="AY14" i="8"/>
  <c r="AY24" i="8"/>
  <c r="AY19" i="8"/>
  <c r="AY23" i="8"/>
  <c r="AY27" i="8"/>
  <c r="AY28" i="8"/>
  <c r="AY25" i="8"/>
  <c r="AY22" i="8"/>
  <c r="AY13" i="8"/>
  <c r="AY12" i="8"/>
  <c r="AY26" i="8"/>
  <c r="H16" i="12"/>
  <c r="F21" i="12"/>
  <c r="G20" i="12"/>
  <c r="F26" i="12"/>
  <c r="G25" i="12"/>
  <c r="E9" i="12"/>
  <c r="F5" i="12"/>
  <c r="D14" i="2"/>
  <c r="C14" i="2"/>
  <c r="D5" i="6"/>
  <c r="D7" i="6"/>
  <c r="F14" i="6"/>
  <c r="D8" i="6"/>
  <c r="D10" i="2"/>
  <c r="D6" i="6"/>
  <c r="D9" i="2"/>
  <c r="E5" i="6"/>
  <c r="F22" i="5"/>
  <c r="D11" i="5"/>
  <c r="F24" i="4"/>
  <c r="D9" i="4"/>
  <c r="F8" i="5"/>
  <c r="E7" i="4"/>
  <c r="D30" i="2"/>
  <c r="D7" i="2"/>
  <c r="D6" i="2"/>
  <c r="D31" i="2"/>
  <c r="E30" i="2"/>
  <c r="D8" i="2"/>
</calcChain>
</file>

<file path=xl/sharedStrings.xml><?xml version="1.0" encoding="utf-8"?>
<sst xmlns="http://schemas.openxmlformats.org/spreadsheetml/2006/main" count="2458" uniqueCount="594">
  <si>
    <t>RENDIMIENTO DE MAQUINARIA AMARILLA</t>
  </si>
  <si>
    <t>BULLDOZZER</t>
  </si>
  <si>
    <t>E= Eficiencia general</t>
  </si>
  <si>
    <t>R= Rendimiento en m3/hora</t>
  </si>
  <si>
    <t>EFICIENCIA GENERAL</t>
  </si>
  <si>
    <t>CONDICIONES DE LA OBRA</t>
  </si>
  <si>
    <t>COEFICIENTE DE ADMINISTRACION</t>
  </si>
  <si>
    <t>CONDIONES DE LA OBRA</t>
  </si>
  <si>
    <t>EXCELENTES</t>
  </si>
  <si>
    <t>BUENAS</t>
  </si>
  <si>
    <t>REGULARES</t>
  </si>
  <si>
    <t>MALAS</t>
  </si>
  <si>
    <t>EXCELENTE</t>
  </si>
  <si>
    <t>BUENA</t>
  </si>
  <si>
    <t>REGULAR</t>
  </si>
  <si>
    <t>MALA</t>
  </si>
  <si>
    <t>MODELO DE BULLDOZZER</t>
  </si>
  <si>
    <t>D5E</t>
  </si>
  <si>
    <t>D6G</t>
  </si>
  <si>
    <t>D6R</t>
  </si>
  <si>
    <t>D7G</t>
  </si>
  <si>
    <t>D7R</t>
  </si>
  <si>
    <t>D8R</t>
  </si>
  <si>
    <t>D9R</t>
  </si>
  <si>
    <t>D10R</t>
  </si>
  <si>
    <t>D11R</t>
  </si>
  <si>
    <t>PESO</t>
  </si>
  <si>
    <t>RECTA</t>
  </si>
  <si>
    <t>ORIENTABLE</t>
  </si>
  <si>
    <t>ORIENTABLE RECTA</t>
  </si>
  <si>
    <t>UNIVERSAL</t>
  </si>
  <si>
    <t>TOTALMENTE ORIENTABLE</t>
  </si>
  <si>
    <t>SEMI UNIVERSAL</t>
  </si>
  <si>
    <t>VPAT</t>
  </si>
  <si>
    <t>TIPO DE HOJA</t>
  </si>
  <si>
    <t>LONG. HOJA</t>
  </si>
  <si>
    <t>α= Angulo de trabajo</t>
  </si>
  <si>
    <t>L= Longitud de la hoja</t>
  </si>
  <si>
    <t>RETROEXCAVADORA DE ORUGA</t>
  </si>
  <si>
    <t>Q= Capacidad del cucharon</t>
  </si>
  <si>
    <t>E=Factor de rendimiento de la maquina</t>
  </si>
  <si>
    <t>T= Tiempo del ciclo en segundos</t>
  </si>
  <si>
    <t>FACTOR DE RENDIMIENTO</t>
  </si>
  <si>
    <t>BULLDOZER</t>
  </si>
  <si>
    <t>CAPACIDAD DEL CUCHARON</t>
  </si>
  <si>
    <t>TIEMPO DE CICLO</t>
  </si>
  <si>
    <t>PROF. EXC.</t>
  </si>
  <si>
    <t>CONDICION</t>
  </si>
  <si>
    <t>ANG. DE GIRO</t>
  </si>
  <si>
    <t>DESCARGA</t>
  </si>
  <si>
    <t>TOTAL</t>
  </si>
  <si>
    <t>PROFUNDIDAD</t>
  </si>
  <si>
    <t>FACIL</t>
  </si>
  <si>
    <t>45°-90°</t>
  </si>
  <si>
    <t>VOLQUETA</t>
  </si>
  <si>
    <t>0-2m</t>
  </si>
  <si>
    <t>F.H= Factor de altura</t>
  </si>
  <si>
    <t>FACTOR DE ALTURA</t>
  </si>
  <si>
    <t>COMPACTADOR CILINDRO</t>
  </si>
  <si>
    <t>MATERIAL</t>
  </si>
  <si>
    <t>EQUIPO RECOMENDADO</t>
  </si>
  <si>
    <t>ROCA</t>
  </si>
  <si>
    <t>PATECABRA</t>
  </si>
  <si>
    <t>NEUMATICO</t>
  </si>
  <si>
    <t>TAMBOR VIBRATORIO LISO</t>
  </si>
  <si>
    <t>TAMBOR VIBRATORIO DE PISONES</t>
  </si>
  <si>
    <t>PISONES DE ALTA VELOCIDAD</t>
  </si>
  <si>
    <t>PISONES CATERPILLAR</t>
  </si>
  <si>
    <t>RECOMENDACIÓN DE EQUIPO</t>
  </si>
  <si>
    <t>POTENCIA</t>
  </si>
  <si>
    <t>PRODUCTIVIDAD M3/HORA</t>
  </si>
  <si>
    <t>CS-323C</t>
  </si>
  <si>
    <t>CS-431C</t>
  </si>
  <si>
    <t>CS-433C</t>
  </si>
  <si>
    <t>CS-531D</t>
  </si>
  <si>
    <t>CS-533D</t>
  </si>
  <si>
    <t>CS-563D</t>
  </si>
  <si>
    <t>CS-583D</t>
  </si>
  <si>
    <t>CP-323C</t>
  </si>
  <si>
    <t>CP-433C</t>
  </si>
  <si>
    <t>CP-533D</t>
  </si>
  <si>
    <t>CP-563D</t>
  </si>
  <si>
    <t>ANCHO DEL TAMBOR (m)</t>
  </si>
  <si>
    <t>POTENCIA (hp)</t>
  </si>
  <si>
    <t>LAS REFERENCIAS CS-XXX SON EQUIVALENTES A RODILLOS LISOS, LAS REFERENCIAS CP-XXX SON EQUIVALENTES A PATECABRA</t>
  </si>
  <si>
    <t>N= Nº DE PASADAS</t>
  </si>
  <si>
    <t>AE= ANCHO EFECTIVO (m)</t>
  </si>
  <si>
    <t>e= ESPESOR DE TERAPLEN SUELTO (cms)</t>
  </si>
  <si>
    <t>F.H=FACTOR DE ALTURA</t>
  </si>
  <si>
    <t>E= FACTOR DE RENDIMIENTO</t>
  </si>
  <si>
    <t>VT= VELOCIDAD DE TRABAJO (Km/h)</t>
  </si>
  <si>
    <t>F.H= Factor altura</t>
  </si>
  <si>
    <t>H HOJA</t>
  </si>
  <si>
    <t>DATOS DE LA MAQUINA</t>
  </si>
  <si>
    <t>DURACION DEL CICLO</t>
  </si>
  <si>
    <t>PRODUCCION POR CICLO</t>
  </si>
  <si>
    <t>a= Altua de la hoja</t>
  </si>
  <si>
    <t>a= Altura de la hoja</t>
  </si>
  <si>
    <t xml:space="preserve">T= Tiempo de ciclo </t>
  </si>
  <si>
    <t>VEL. AVANCE (m/min)</t>
  </si>
  <si>
    <t>VEL. RETROCESO (m/min)</t>
  </si>
  <si>
    <t>CARGADOR FRONTAL</t>
  </si>
  <si>
    <t>BUSCADO</t>
  </si>
  <si>
    <t>CAP CUCHARON</t>
  </si>
  <si>
    <t>DATOS DEL EQUIPO</t>
  </si>
  <si>
    <t>RETROEXCAVA</t>
  </si>
  <si>
    <t>COMPACTADOR</t>
  </si>
  <si>
    <t>FRONTAL</t>
  </si>
  <si>
    <t>MOTINIVELA</t>
  </si>
  <si>
    <t>CISTERNA</t>
  </si>
  <si>
    <t>TIPO DE CARGUE</t>
  </si>
  <si>
    <t>EN V</t>
  </si>
  <si>
    <t>CAP. CUCHARON</t>
  </si>
  <si>
    <t>MODERADAMENTE DIFICIL</t>
  </si>
  <si>
    <t>Facil</t>
  </si>
  <si>
    <t>Promedio</t>
  </si>
  <si>
    <t>Moderadamente dificil</t>
  </si>
  <si>
    <t>Dificil</t>
  </si>
  <si>
    <t>EN CRUZ</t>
  </si>
  <si>
    <t>&lt;=3M3</t>
  </si>
  <si>
    <t>3.1M3 A 5M3</t>
  </si>
  <si>
    <t>&gt;5M3</t>
  </si>
  <si>
    <t>MEZCLADOS</t>
  </si>
  <si>
    <t>&lt;=3mm</t>
  </si>
  <si>
    <t>&gt;3mm&lt;20mm</t>
  </si>
  <si>
    <t>&gt;20mm&lt;150mm</t>
  </si>
  <si>
    <t>&gt;150mm</t>
  </si>
  <si>
    <t>BANCO O FRACTURADO</t>
  </si>
  <si>
    <t>BANDA &gt;3M</t>
  </si>
  <si>
    <t>BULLDOZER &gt;3M</t>
  </si>
  <si>
    <t>BANDA &lt;3M</t>
  </si>
  <si>
    <t>BULLDOZER &lt;3M</t>
  </si>
  <si>
    <t>POR CAMION</t>
  </si>
  <si>
    <t>PROPIETARIO CAMION Y CARGADOR</t>
  </si>
  <si>
    <t>OTRO PROPIETARIO DE CAMION</t>
  </si>
  <si>
    <t>OPERACIÓN CONSTANTE</t>
  </si>
  <si>
    <t>OPERACIÓN INTERMITENTE</t>
  </si>
  <si>
    <t>PUNTO DE CARGA PEQUEÑO</t>
  </si>
  <si>
    <t>PUNTO DE CARGA FRAGIL</t>
  </si>
  <si>
    <t>PILA</t>
  </si>
  <si>
    <t>CAMION</t>
  </si>
  <si>
    <t>T1=TIPO MATERIAL</t>
  </si>
  <si>
    <t>T2=TIPO DE PILA</t>
  </si>
  <si>
    <t>T3=TIEMPO DE CARGA Y DESCARGA</t>
  </si>
  <si>
    <t>T4=OTROS FACTORES</t>
  </si>
  <si>
    <t>T0= CONDICION</t>
  </si>
  <si>
    <t>D= Distancia de acarreo (m)</t>
  </si>
  <si>
    <t>AVANCE</t>
  </si>
  <si>
    <t>RETROCESO</t>
  </si>
  <si>
    <t>C.C= Capacidad del cucharon</t>
  </si>
  <si>
    <t>T= Tiempo de ciclo</t>
  </si>
  <si>
    <t>E= Factor de eficiencia</t>
  </si>
  <si>
    <t>E= FACTOR DE EFICIENCIA</t>
  </si>
  <si>
    <t>F.H.= Factor de Altura</t>
  </si>
  <si>
    <t>MOD. RETROEXCAVADORA</t>
  </si>
  <si>
    <t>RADIAL</t>
  </si>
  <si>
    <t>PARALELOGRAMO</t>
  </si>
  <si>
    <t>UN VASTAGO</t>
  </si>
  <si>
    <t>VASTAGOS MULTIPLES</t>
  </si>
  <si>
    <t>PARALELOGRAMO AJUSTABLE UN VASTAGO</t>
  </si>
  <si>
    <t>DESGARRADORA</t>
  </si>
  <si>
    <t>CONDICIONES DE OBRA</t>
  </si>
  <si>
    <t>MODELOS</t>
  </si>
  <si>
    <t>PESO KG</t>
  </si>
  <si>
    <t>SEMIUNIVERSAL</t>
  </si>
  <si>
    <t>P ORIENTABLE</t>
  </si>
  <si>
    <t xml:space="preserve">BULLDOZER </t>
  </si>
  <si>
    <t>D3C_SERIE_III</t>
  </si>
  <si>
    <t>D3C_XL_SERIE_III</t>
  </si>
  <si>
    <t>D3C_LGP_SERIE_III</t>
  </si>
  <si>
    <t>D4C_SERIE_III</t>
  </si>
  <si>
    <t>D4C_XL_SERIE_III</t>
  </si>
  <si>
    <t>D4C_LGP_SERIE_III</t>
  </si>
  <si>
    <t>D5C_SERIE_III</t>
  </si>
  <si>
    <t>D5C_XL_SERIE_III</t>
  </si>
  <si>
    <t>D5C_LGP_SERIE_III</t>
  </si>
  <si>
    <t>D5M_XL</t>
  </si>
  <si>
    <t>D5M_LGP</t>
  </si>
  <si>
    <t>D6M_XL</t>
  </si>
  <si>
    <t>D6M_LGP</t>
  </si>
  <si>
    <t>D6R_XL</t>
  </si>
  <si>
    <t>D6R_XR</t>
  </si>
  <si>
    <t>D6R_LGP</t>
  </si>
  <si>
    <t>D7R_XR</t>
  </si>
  <si>
    <t>D7R_LGP</t>
  </si>
  <si>
    <t>D8R_LGP</t>
  </si>
  <si>
    <t>D11R_CD</t>
  </si>
  <si>
    <t>D6R_XL_IG</t>
  </si>
  <si>
    <t>TIPO DE HOJA POR MODELO</t>
  </si>
  <si>
    <t>DIMENSIONES DE LA HOJA</t>
  </si>
  <si>
    <t>BUSCADOS</t>
  </si>
  <si>
    <t>VELOCIDAD DE AVANCE</t>
  </si>
  <si>
    <t>VELOCIDAD DE RETROCESO</t>
  </si>
  <si>
    <t>PARALELOGRAMO AJUSTABLE MULTIPLES VASTAGOS</t>
  </si>
  <si>
    <t>TIPO DE VASTAGO</t>
  </si>
  <si>
    <t>TIPO DE RIPPER</t>
  </si>
  <si>
    <t>MODELO</t>
  </si>
  <si>
    <t>MODELOS_2</t>
  </si>
  <si>
    <t>D3C_SERIE_III_</t>
  </si>
  <si>
    <t>D4C_SERIE_III_</t>
  </si>
  <si>
    <t>D5C_SERIE_III_</t>
  </si>
  <si>
    <t>D5M_XL_</t>
  </si>
  <si>
    <t>D5M_LGP_</t>
  </si>
  <si>
    <t>D6M_XL_</t>
  </si>
  <si>
    <t>D6M_LGP_</t>
  </si>
  <si>
    <t>D6G_</t>
  </si>
  <si>
    <t>D6R_</t>
  </si>
  <si>
    <t>D6R_XL_</t>
  </si>
  <si>
    <t>D7G_</t>
  </si>
  <si>
    <t>D7R_</t>
  </si>
  <si>
    <t>D8R_</t>
  </si>
  <si>
    <t>D9R_</t>
  </si>
  <si>
    <t>D10R_</t>
  </si>
  <si>
    <t>D11R_</t>
  </si>
  <si>
    <t>D11R_CD_</t>
  </si>
  <si>
    <t>D= Dist. De acarreo</t>
  </si>
  <si>
    <t>A= Vel. Avance</t>
  </si>
  <si>
    <t>d= Dist. Corte</t>
  </si>
  <si>
    <t>R= Vel. Retroceso</t>
  </si>
  <si>
    <t>D= Distancia de rippiado (m)</t>
  </si>
  <si>
    <t>V.A= Velocidad de avance (m/min)</t>
  </si>
  <si>
    <t>t.v= Tiempo de viraje (constante en min)</t>
  </si>
  <si>
    <t>T= TIEMPO POR CICLO (Una pasada)</t>
  </si>
  <si>
    <t>e= EFICIENCIA GENERAL</t>
  </si>
  <si>
    <t>DESGARRADOR</t>
  </si>
  <si>
    <t>D= Distancia para desgarrar (m)</t>
  </si>
  <si>
    <t>S= Separacion entre rippers (m) "constante"</t>
  </si>
  <si>
    <t>PENETRACION DE RIPPER</t>
  </si>
  <si>
    <t>P= Penetracion del ripper (m)</t>
  </si>
  <si>
    <t>T= Tiempo por ciclo</t>
  </si>
  <si>
    <t>e= Eficiencia general</t>
  </si>
  <si>
    <t>F.H.= Factor altura</t>
  </si>
  <si>
    <t>p= PASADAS POR HORA</t>
  </si>
  <si>
    <t>H= Minutos en una hora</t>
  </si>
  <si>
    <t>p= Pasadas por hora</t>
  </si>
  <si>
    <r>
      <rPr>
        <b/>
        <sz val="11"/>
        <color theme="1"/>
        <rFont val="Calibri"/>
        <family val="2"/>
        <scheme val="minor"/>
      </rPr>
      <t>NOTA:</t>
    </r>
    <r>
      <rPr>
        <sz val="11"/>
        <color theme="1"/>
        <rFont val="Calibri"/>
        <family val="2"/>
        <scheme val="minor"/>
      </rPr>
      <t xml:space="preserve"> Los rendimientos aquí plasmados pueden ser entre un 10% y un 20% mas altos de la produccion real que se puede presentar en el proyecto</t>
    </r>
  </si>
  <si>
    <r>
      <t xml:space="preserve">NOTA: </t>
    </r>
    <r>
      <rPr>
        <sz val="11"/>
        <rFont val="Calibri"/>
        <family val="2"/>
        <scheme val="minor"/>
      </rPr>
      <t>La velocidad teorica del equipo según el manual se disminuye hasta un 43% cuando esta desgarrando material</t>
    </r>
  </si>
  <si>
    <t>COMPACTADORA</t>
  </si>
  <si>
    <t>e= RECOMENDADO</t>
  </si>
  <si>
    <t>PASADAS</t>
  </si>
  <si>
    <t>VEL. TRABAJO</t>
  </si>
  <si>
    <t>ANCHO TAMBOR</t>
  </si>
  <si>
    <t>MATERIAL A COMPACTAR</t>
  </si>
  <si>
    <t>RECOMENDACIÓN</t>
  </si>
  <si>
    <t>ARENA_100</t>
  </si>
  <si>
    <t>ARCILLA_100</t>
  </si>
  <si>
    <t>ARENA_ARCILLA_50</t>
  </si>
  <si>
    <t>TRASLAPO (m) "constante)</t>
  </si>
  <si>
    <t>DATOS DEL FABRICANTE</t>
  </si>
  <si>
    <t>MODELO DE COMPACTADOR</t>
  </si>
  <si>
    <t>MODELO DE CARGADOR</t>
  </si>
  <si>
    <t>TIPO DE MATERIAL A CARGAR</t>
  </si>
  <si>
    <t>OTROS FACTORES</t>
  </si>
  <si>
    <t>F_902</t>
  </si>
  <si>
    <t>F_906</t>
  </si>
  <si>
    <t>F_908</t>
  </si>
  <si>
    <t>F_914G</t>
  </si>
  <si>
    <t>F_924GZ</t>
  </si>
  <si>
    <t>F_924G_CON_PASADOR</t>
  </si>
  <si>
    <t>F_928G</t>
  </si>
  <si>
    <t>F_938G</t>
  </si>
  <si>
    <t>F_950G</t>
  </si>
  <si>
    <t>F_926G</t>
  </si>
  <si>
    <t>F_966G</t>
  </si>
  <si>
    <t>F_972G</t>
  </si>
  <si>
    <t>F_980G</t>
  </si>
  <si>
    <t>F_988G</t>
  </si>
  <si>
    <t>F_990_SERIE_II</t>
  </si>
  <si>
    <t>F_992G</t>
  </si>
  <si>
    <t>F_994D</t>
  </si>
  <si>
    <t>Z= Tiempo de cargue del cucharon</t>
  </si>
  <si>
    <t>TIEMPO DE CARGA Y DESCARGA</t>
  </si>
  <si>
    <t>Vc= Velocidad de carga (m/min)</t>
  </si>
  <si>
    <t>Vr= Velocidad de retorno (m/min)</t>
  </si>
  <si>
    <t>TIPO DE PILA</t>
  </si>
  <si>
    <t>RETROEXCAVADORAS</t>
  </si>
  <si>
    <t>E_301.5</t>
  </si>
  <si>
    <t>E_301.6</t>
  </si>
  <si>
    <t>E_301.8</t>
  </si>
  <si>
    <t>TIPO</t>
  </si>
  <si>
    <t>EXCAVACION</t>
  </si>
  <si>
    <t>ANCHO</t>
  </si>
  <si>
    <t>CAPACIDAD</t>
  </si>
  <si>
    <t>CAPACIDAD "L"</t>
  </si>
  <si>
    <t>ZANJEO</t>
  </si>
  <si>
    <t>E_302.5</t>
  </si>
  <si>
    <t>E_303.5</t>
  </si>
  <si>
    <t>E_304.5</t>
  </si>
  <si>
    <t>E_307B</t>
  </si>
  <si>
    <t>E_307B_SB</t>
  </si>
  <si>
    <t>E_311B</t>
  </si>
  <si>
    <t>E_312B</t>
  </si>
  <si>
    <t>UTILITARIO</t>
  </si>
  <si>
    <t>E_313B_CR</t>
  </si>
  <si>
    <t>XA</t>
  </si>
  <si>
    <t>CUCHARONES</t>
  </si>
  <si>
    <t>E_315B</t>
  </si>
  <si>
    <t>E_315B_L</t>
  </si>
  <si>
    <t>TRAPEZOIDAL</t>
  </si>
  <si>
    <t>E_317B_L</t>
  </si>
  <si>
    <t>E_318B_L</t>
  </si>
  <si>
    <t>E_318B_LN</t>
  </si>
  <si>
    <t>E_M312</t>
  </si>
  <si>
    <t>E_M315</t>
  </si>
  <si>
    <t>E_M318</t>
  </si>
  <si>
    <t>E_M320</t>
  </si>
  <si>
    <t>E_320C</t>
  </si>
  <si>
    <t>E_322B</t>
  </si>
  <si>
    <t>E_325B</t>
  </si>
  <si>
    <t>E_330B</t>
  </si>
  <si>
    <t>E_345B</t>
  </si>
  <si>
    <t>E_345B_SERIE_II</t>
  </si>
  <si>
    <t>E_365B_L</t>
  </si>
  <si>
    <t>E_375</t>
  </si>
  <si>
    <t>ROCAS J</t>
  </si>
  <si>
    <t>TIPO DE CUCHARON</t>
  </si>
  <si>
    <t>ANCHO CUCHARON</t>
  </si>
  <si>
    <t>APERTURA_DE_ZANJAS_D</t>
  </si>
  <si>
    <t>APERTURA_DE_ZANJAS_DE_SERVICIO_EXTREMADO_H</t>
  </si>
  <si>
    <t>APERTURA_DE_ZANJAS_F</t>
  </si>
  <si>
    <t>_APERTURA_DE_ZANJAS_F</t>
  </si>
  <si>
    <t>APERTURA_DE_ZANJAS_H</t>
  </si>
  <si>
    <t>APERTURA_DE_ZANJAS_J</t>
  </si>
  <si>
    <t>CORTE_DE_MALEZA</t>
  </si>
  <si>
    <t>_EXCAVACION_</t>
  </si>
  <si>
    <t>EXCAVACION_</t>
  </si>
  <si>
    <t>EXCAVACION__</t>
  </si>
  <si>
    <t>___EXCAVACION</t>
  </si>
  <si>
    <t>EXCAVACION___</t>
  </si>
  <si>
    <t>__EXCAVACION__</t>
  </si>
  <si>
    <t>_EXCAVACION__</t>
  </si>
  <si>
    <t>_EXCAVACION___</t>
  </si>
  <si>
    <t>__EXCAVACION___</t>
  </si>
  <si>
    <t>___EXCAVACION_</t>
  </si>
  <si>
    <t>_UTILITARIO</t>
  </si>
  <si>
    <t>_ZANJEO</t>
  </si>
  <si>
    <t>__ZANJEO</t>
  </si>
  <si>
    <t>___ZANJEO</t>
  </si>
  <si>
    <t>ZANJEO_</t>
  </si>
  <si>
    <t>ZANJEO__</t>
  </si>
  <si>
    <t>USO_GENERAL</t>
  </si>
  <si>
    <t>EXCAVACION_DE_SERVICIO_EXTREMADO</t>
  </si>
  <si>
    <t>_USO_GENERAL</t>
  </si>
  <si>
    <t>__USO_GENERAL</t>
  </si>
  <si>
    <t>_EXCAVACION_DE_SERVICIO_EXTREMADO</t>
  </si>
  <si>
    <t>LIMPIEZA_DE_ZANJAS</t>
  </si>
  <si>
    <t>SERVICIO_PESADO</t>
  </si>
  <si>
    <t>___USO_GENERAL</t>
  </si>
  <si>
    <t>UTILITARIO_LIGERO</t>
  </si>
  <si>
    <t>USO_GENERAL_</t>
  </si>
  <si>
    <t>__EXCAVACION_DE_SERVICIO_EXTREMADO</t>
  </si>
  <si>
    <t>_LIMPIEZA_DE_ZANJAS</t>
  </si>
  <si>
    <t>USO_GENERAL__</t>
  </si>
  <si>
    <t>EXCAVACION_EXTREMADA</t>
  </si>
  <si>
    <t>_SERVICIO_PESADO</t>
  </si>
  <si>
    <t>__EXCAVACION_Y_EXCAVACION_CON_ACOPLADOR_RAPIDO</t>
  </si>
  <si>
    <t>__SERVICIO_PESADO</t>
  </si>
  <si>
    <t>___EXCAVACION_DE_SERVICIO_EXTREMADO_Y_EXCAVACION_EXTREMADA_CON_ACOPLADOR_RAPIDO</t>
  </si>
  <si>
    <t>__UTILITARIO_Y_UTILITARIO_LIGERO</t>
  </si>
  <si>
    <t>__LIMPIEZA_DE_ZANJAS</t>
  </si>
  <si>
    <t>ROCAS_Y_ROCAS_CON_ACOPLADOR_RAPIDO</t>
  </si>
  <si>
    <t>EXCAVACION_DE_SERVICIO_EXTREMADO_</t>
  </si>
  <si>
    <t>EXCAVACION_B</t>
  </si>
  <si>
    <t>EXCAVACION_DE_SERVICIO_EXTREMADO__</t>
  </si>
  <si>
    <t>EXCAVACION_DE_SERVICIO_EXTREMADO_B</t>
  </si>
  <si>
    <t>LIMPIEZA_DE_ZANJAS_B</t>
  </si>
  <si>
    <t>ROCAS_B</t>
  </si>
  <si>
    <t>UTILITARIO_B</t>
  </si>
  <si>
    <t>UTILITARIO_LIGERO_B</t>
  </si>
  <si>
    <t>EXCAVACION_DE_SERVICIO_EXTREMADO___</t>
  </si>
  <si>
    <t>___LIMPIEZA_DE_ZANJAS</t>
  </si>
  <si>
    <t>USO_GENERAL___</t>
  </si>
  <si>
    <t>_EXCAVACION_B</t>
  </si>
  <si>
    <t>EXCAVACION_C</t>
  </si>
  <si>
    <t>EXCAVACION_DE_GRAN_VOLUMEN_C</t>
  </si>
  <si>
    <t>_EXCAVACION_DE_SERVICIO_EXTREMADO_B</t>
  </si>
  <si>
    <t>EXCAVACION_DE_SERVICIO_EXTREMADO_C</t>
  </si>
  <si>
    <t>_LIMPIEZA_DE_ZANJAS_B</t>
  </si>
  <si>
    <t>LIMPIEZA_DE_ZANJAS_C</t>
  </si>
  <si>
    <t>_ROCAS_B</t>
  </si>
  <si>
    <t>ROCAS_C</t>
  </si>
  <si>
    <t>SERVICIO_PESADO_B</t>
  </si>
  <si>
    <t>SERVICIO_PESADO_C</t>
  </si>
  <si>
    <t>USO_GENERAL_B</t>
  </si>
  <si>
    <t>USO_GENERAL_C</t>
  </si>
  <si>
    <t>_UTILITARIO_B</t>
  </si>
  <si>
    <t>UTILITARIO_C</t>
  </si>
  <si>
    <t>_UTILITARIO_LIGERO_B</t>
  </si>
  <si>
    <t>UTILITARIO_LIGERO_C</t>
  </si>
  <si>
    <t>SERVICIO_PESADO_ROCAS_C</t>
  </si>
  <si>
    <t>___SERVICIO_PESADO_ROCAS_B___</t>
  </si>
  <si>
    <t>__EXCAVACION_B</t>
  </si>
  <si>
    <t>EXCAVACION_D</t>
  </si>
  <si>
    <t>EXCAVACION_DE_SERVICIO_EXTREMADO_D</t>
  </si>
  <si>
    <t>EXCAVACION_DE_SERVICIO_EXTREMADO_S</t>
  </si>
  <si>
    <t>EXCAVACION_S</t>
  </si>
  <si>
    <t>__LIMPIEZA_DE_ZANJAS_B</t>
  </si>
  <si>
    <t>LIMPIEZA_DE_ZANJAS_D</t>
  </si>
  <si>
    <t>LIMPIEZA_DE_ZANJAS_S</t>
  </si>
  <si>
    <t>ROCAS_S</t>
  </si>
  <si>
    <t>_SERVICIO_PESADO_B</t>
  </si>
  <si>
    <t>SERVICIO_PESADO_D</t>
  </si>
  <si>
    <t>SERVICIO_PESADO_S</t>
  </si>
  <si>
    <t>SERVICIO_PESADO_ROCAS_B</t>
  </si>
  <si>
    <t>SERVICIO_PESADO_ROCAS_D</t>
  </si>
  <si>
    <t>SERVICIO_PESADO_ROCAS_S</t>
  </si>
  <si>
    <t>_USO_GENERAL_B</t>
  </si>
  <si>
    <t>USO_GENERAL_D</t>
  </si>
  <si>
    <t>USO_GENERAL_S</t>
  </si>
  <si>
    <t>UTILITARIO_D</t>
  </si>
  <si>
    <t>UTILITARIO_S</t>
  </si>
  <si>
    <t>UTILITARIO_LIGERO_D</t>
  </si>
  <si>
    <t>UTILITARIO_LIGERO_S</t>
  </si>
  <si>
    <t>ROCAS_D</t>
  </si>
  <si>
    <t>LIMPIEZA_DE_ZANJAS_S_</t>
  </si>
  <si>
    <t>LIMPIEZA_DE_ZANJAS_D_</t>
  </si>
  <si>
    <t>_EXCAVACION_C</t>
  </si>
  <si>
    <t>_EXCAVACION_D</t>
  </si>
  <si>
    <t>_SERVICIO_PESADO_ROCAS_C</t>
  </si>
  <si>
    <t>_USO_GENERAL_D_</t>
  </si>
  <si>
    <t>_USO_GENERAL_C</t>
  </si>
  <si>
    <t>____EXCAVACION_DE_SERVICIO_EXTREMADO_D</t>
  </si>
  <si>
    <t>____SERVICIO_PESADO_C</t>
  </si>
  <si>
    <t>____SERVICIO_PESADO_D</t>
  </si>
  <si>
    <t>____APERTURA_DE_ZANJAS_C</t>
  </si>
  <si>
    <t>____APERTURA_DE_ZANJAS_D</t>
  </si>
  <si>
    <t>____ROCAS_C</t>
  </si>
  <si>
    <t>____ROCAS_D</t>
  </si>
  <si>
    <t>____EXCAVACION_DE_SERVICIO_EXTREMADO_C</t>
  </si>
  <si>
    <t>____EXCAVACION_DE_GRAN_VOLUMEN_C</t>
  </si>
  <si>
    <t>____EXCAVACION_DE_GRAN_VOLUMEN_D</t>
  </si>
  <si>
    <t>_SERVICIO_PESADO_ROCAS_D</t>
  </si>
  <si>
    <t>____FRACTURA_DE_ROCAS_C</t>
  </si>
  <si>
    <t>____FRACTURA_DE_ROCAS_D</t>
  </si>
  <si>
    <t>____LIMPIEZA_DE_ZANJAS_C</t>
  </si>
  <si>
    <t>____LIMPIEZA_DE_ZANJAS_D</t>
  </si>
  <si>
    <t>UTILITARIO_C____</t>
  </si>
  <si>
    <t>UTILITARIO_D____</t>
  </si>
  <si>
    <t>UTILITARIO_LIGERO_C____</t>
  </si>
  <si>
    <t>UTILITARIO_LIGERO_D____</t>
  </si>
  <si>
    <t>_USO_GENERAL_D</t>
  </si>
  <si>
    <t>__EXCAVACION_D</t>
  </si>
  <si>
    <t>EXCAVACION_E</t>
  </si>
  <si>
    <t>_EXCAVACION_DE_SERVICIO_EXTREMADO_D</t>
  </si>
  <si>
    <t>EXCAVACION_DE_SERVICIO_EXTREMADO_E</t>
  </si>
  <si>
    <t>EXCAVACION_DE_GRAN_VOLUMEN_D</t>
  </si>
  <si>
    <t>EXCAVACION_DE_GRAN_VOLUMEN_E</t>
  </si>
  <si>
    <t>FRACTURAS_DE_ROCAS_D</t>
  </si>
  <si>
    <t>_LIMPIEZA_DE_ZANJAS_D</t>
  </si>
  <si>
    <t>ROCAS_E</t>
  </si>
  <si>
    <t>____ROCAS_D____</t>
  </si>
  <si>
    <t>_SERVICIO_PESADO_D</t>
  </si>
  <si>
    <t>SERVICIO_PESADO_E</t>
  </si>
  <si>
    <t>_UTILITARIO_D</t>
  </si>
  <si>
    <t>_UTILITARIO_LIGERO_D</t>
  </si>
  <si>
    <t>SERVICIO_PESADO_ROCAS_D____</t>
  </si>
  <si>
    <t>EXCAVACION_T</t>
  </si>
  <si>
    <t>EXCAVACION_U</t>
  </si>
  <si>
    <t>EXCAVACION_F</t>
  </si>
  <si>
    <t>EXCAVACION_G</t>
  </si>
  <si>
    <t>EXCAVACION_EXTREMADA_T</t>
  </si>
  <si>
    <t>EXCAVACION_EN_V_G</t>
  </si>
  <si>
    <t>USO_GENERAL_F</t>
  </si>
  <si>
    <t>USO_GENERAL_G</t>
  </si>
  <si>
    <t>_EXCAVACION_T</t>
  </si>
  <si>
    <t>_EXCAVACION_U</t>
  </si>
  <si>
    <t>_EXCAVACION_F</t>
  </si>
  <si>
    <t>_EXCAVACION_G</t>
  </si>
  <si>
    <t>_EXCAVACION_DE_SERVICIO_EXTREMADO_T</t>
  </si>
  <si>
    <t>_EXCAVACION_EN_V_U____</t>
  </si>
  <si>
    <t>_EXCAVACION_EN_V_G____</t>
  </si>
  <si>
    <t>SERVICIO_PESADO_F</t>
  </si>
  <si>
    <t>SERVICIO_PESADO_ROCAS_F</t>
  </si>
  <si>
    <t>SERVICIO_PESADO_ROCAS_G</t>
  </si>
  <si>
    <t>FRACTURA_DE_ROCAS_F</t>
  </si>
  <si>
    <t>USO_GENERAL_V</t>
  </si>
  <si>
    <t>EXCAVACION_V</t>
  </si>
  <si>
    <t>EXCAVACION_W</t>
  </si>
  <si>
    <t>EXCAVACION_DE_USO_SERVICIO_EXTREMADO_V</t>
  </si>
  <si>
    <t>EXCAVACION_DE_USO_SERVICIO_EXTREMADO_W</t>
  </si>
  <si>
    <t>EXCAVACION_EN_V_W</t>
  </si>
  <si>
    <t>SERVICIO_PESADO_V</t>
  </si>
  <si>
    <t>ROCAS_V</t>
  </si>
  <si>
    <t>ROCAS_W</t>
  </si>
  <si>
    <t>SERVICIO_PESADO_ROCAS_V</t>
  </si>
  <si>
    <t>SERVICIO_PESADO_ROCAS_W</t>
  </si>
  <si>
    <t>USO_GENERAL_J</t>
  </si>
  <si>
    <t>EXCAVACION_H</t>
  </si>
  <si>
    <t>EXCAVACION_J</t>
  </si>
  <si>
    <t>EXCAVACION_DE_SERVICIO_EXTREMADO_J</t>
  </si>
  <si>
    <t>EXCAVACION_EN_V_J</t>
  </si>
  <si>
    <t>EXCAVACION_DE_GRAN_VOLUMEN_J</t>
  </si>
  <si>
    <t>SERVICIO_PESADO_H</t>
  </si>
  <si>
    <t>ROCAS_H</t>
  </si>
  <si>
    <t>ROCAS_J</t>
  </si>
  <si>
    <t>SERVICIO_PESADO_ROCAS_J</t>
  </si>
  <si>
    <t>EXCAVACION_EN_V_DE_GRAN_VOLUMEN_J</t>
  </si>
  <si>
    <r>
      <rPr>
        <sz val="8"/>
        <rFont val="Calibri"/>
        <family val="2"/>
        <scheme val="minor"/>
      </rPr>
      <t>_</t>
    </r>
    <r>
      <rPr>
        <sz val="11"/>
        <rFont val="Calibri"/>
        <family val="2"/>
        <scheme val="minor"/>
      </rPr>
      <t>EXCAVACION</t>
    </r>
  </si>
  <si>
    <r>
      <rPr>
        <sz val="8"/>
        <rFont val="Calibri"/>
        <family val="2"/>
        <scheme val="minor"/>
      </rPr>
      <t>__</t>
    </r>
    <r>
      <rPr>
        <sz val="11"/>
        <rFont val="Calibri"/>
        <family val="2"/>
        <scheme val="minor"/>
      </rPr>
      <t>EXCAVACION</t>
    </r>
  </si>
  <si>
    <t>TIEMPOS DE CICLO RETROEXCAVADORA</t>
  </si>
  <si>
    <t xml:space="preserve">CONDICIONES DE EXCAVACION </t>
  </si>
  <si>
    <t>MEDIO</t>
  </si>
  <si>
    <t>DIFICIL</t>
  </si>
  <si>
    <t>2-4m</t>
  </si>
  <si>
    <t>&gt;4m</t>
  </si>
  <si>
    <t>Angulo</t>
  </si>
  <si>
    <t>tiempo (Seg)</t>
  </si>
  <si>
    <t>90°-180°</t>
  </si>
  <si>
    <t>FORMA</t>
  </si>
  <si>
    <t>FIJA</t>
  </si>
  <si>
    <t>MOTONIVELADORAS</t>
  </si>
  <si>
    <t>_EXCAVACION</t>
  </si>
  <si>
    <t>__EXCAVACION</t>
  </si>
  <si>
    <t>EXCAVACION_EN_V_U___</t>
  </si>
  <si>
    <t>MOTONIVELADORA</t>
  </si>
  <si>
    <t>ESTÁNDAR 120H</t>
  </si>
  <si>
    <t>ESTANDAR 135H</t>
  </si>
  <si>
    <t>ESTANDAR 12H</t>
  </si>
  <si>
    <t>ESTANDAR 140H</t>
  </si>
  <si>
    <t>ESTANDAR 160H</t>
  </si>
  <si>
    <t>NA 120H</t>
  </si>
  <si>
    <t>NA 135H</t>
  </si>
  <si>
    <t>NA 12H</t>
  </si>
  <si>
    <t>NA 140H</t>
  </si>
  <si>
    <t>NA 143H</t>
  </si>
  <si>
    <t>NA 160H</t>
  </si>
  <si>
    <t>NA 163H</t>
  </si>
  <si>
    <t>GLOBAL 14H</t>
  </si>
  <si>
    <t>GLOBAL 16H</t>
  </si>
  <si>
    <t>GLOBAL 24H</t>
  </si>
  <si>
    <t>ES 120H</t>
  </si>
  <si>
    <t>ES 12H</t>
  </si>
  <si>
    <t>ES 140H</t>
  </si>
  <si>
    <t>ES 160H</t>
  </si>
  <si>
    <t>POTENCIA 4A8</t>
  </si>
  <si>
    <t xml:space="preserve">LONGITUD DE HOJA </t>
  </si>
  <si>
    <t>ALTO DE HOJA</t>
  </si>
  <si>
    <t>LONTUD DE HOJA</t>
  </si>
  <si>
    <t>ALTO HOJA</t>
  </si>
  <si>
    <t>T=TIEMPO DE CICLO</t>
  </si>
  <si>
    <t>Va= Velocidad de avance (m/min)</t>
  </si>
  <si>
    <t>tf= tiempo fijo (min)</t>
  </si>
  <si>
    <t>d= Distancia (m)</t>
  </si>
  <si>
    <t>CALCULO DE ESPESORES</t>
  </si>
  <si>
    <t>RECTO</t>
  </si>
  <si>
    <t>e= Espesor de la capa</t>
  </si>
  <si>
    <t>Le= Ancho efectivo de la cuchilla</t>
  </si>
  <si>
    <t>Lo= Ancho de traslape</t>
  </si>
  <si>
    <t>Gados de trabajo de la cuchilla</t>
  </si>
  <si>
    <t>L= L ongitud de la cuchilla</t>
  </si>
  <si>
    <t>N= Numero de pasadas necesarias</t>
  </si>
  <si>
    <t>F.H.= Factor de altura</t>
  </si>
  <si>
    <t>E= Factor de rendimiento</t>
  </si>
  <si>
    <t>CONFORMACION DE SUBRASANTES</t>
  </si>
  <si>
    <t>RENDIMIENTO DE VOLQUETA</t>
  </si>
  <si>
    <t>Q= Capacidad del volco (m3)</t>
  </si>
  <si>
    <t>T= TIEMPO DE CICLO</t>
  </si>
  <si>
    <t>SI</t>
  </si>
  <si>
    <t>NO</t>
  </si>
  <si>
    <t>Duracion de ciclo (seg)</t>
  </si>
  <si>
    <t>Cantidad de ciclos para cargue</t>
  </si>
  <si>
    <t>Capacidad del cucharon cargador frontal</t>
  </si>
  <si>
    <t>Capacidad del cucharon retroexcavadora</t>
  </si>
  <si>
    <r>
      <rPr>
        <b/>
        <sz val="11"/>
        <color theme="1"/>
        <rFont val="Calibri"/>
        <family val="2"/>
        <scheme val="minor"/>
      </rPr>
      <t>DC</t>
    </r>
    <r>
      <rPr>
        <sz val="11"/>
        <color theme="1"/>
        <rFont val="Calibri"/>
        <family val="2"/>
        <scheme val="minor"/>
      </rPr>
      <t>= Duracion total de cargue (min)</t>
    </r>
  </si>
  <si>
    <r>
      <rPr>
        <b/>
        <sz val="11"/>
        <color theme="1"/>
        <rFont val="Calibri"/>
        <family val="2"/>
        <scheme val="minor"/>
      </rPr>
      <t>TD</t>
    </r>
    <r>
      <rPr>
        <sz val="11"/>
        <color theme="1"/>
        <rFont val="Calibri"/>
        <family val="2"/>
        <scheme val="minor"/>
      </rPr>
      <t>= Tiempo descarga (min)</t>
    </r>
  </si>
  <si>
    <r>
      <rPr>
        <b/>
        <sz val="11"/>
        <color theme="1"/>
        <rFont val="Calibri"/>
        <family val="2"/>
        <scheme val="minor"/>
      </rPr>
      <t>TM</t>
    </r>
    <r>
      <rPr>
        <sz val="11"/>
        <color theme="1"/>
        <rFont val="Calibri"/>
        <family val="2"/>
        <scheme val="minor"/>
      </rPr>
      <t>= Tiempo de maniobra para cargue de volqueta (min)</t>
    </r>
  </si>
  <si>
    <t>Velocidad de recorrido (km/h)</t>
  </si>
  <si>
    <r>
      <t>t1</t>
    </r>
    <r>
      <rPr>
        <sz val="11"/>
        <color theme="1"/>
        <rFont val="Calibri"/>
        <family val="2"/>
        <scheme val="minor"/>
      </rPr>
      <t>= Tiempo de acarreo</t>
    </r>
  </si>
  <si>
    <r>
      <t>t2</t>
    </r>
    <r>
      <rPr>
        <sz val="11"/>
        <color theme="1"/>
        <rFont val="Calibri"/>
        <family val="2"/>
        <scheme val="minor"/>
      </rPr>
      <t>= Tiempo de retorno</t>
    </r>
  </si>
  <si>
    <r>
      <rPr>
        <b/>
        <sz val="11"/>
        <color theme="1"/>
        <rFont val="Calibri"/>
        <family val="2"/>
        <scheme val="minor"/>
      </rPr>
      <t>d</t>
    </r>
    <r>
      <rPr>
        <sz val="11"/>
        <color theme="1"/>
        <rFont val="Calibri"/>
        <family val="2"/>
        <scheme val="minor"/>
      </rPr>
      <t>= Distancia de acarreo (m)</t>
    </r>
  </si>
  <si>
    <t>T= Tiempo de ciclo (min)</t>
  </si>
  <si>
    <t>TOTAL TIEMPO DE CICLO (min)</t>
  </si>
  <si>
    <t>J=  Jornada laboral minutos</t>
  </si>
  <si>
    <t>F.H= Factor Altura</t>
  </si>
  <si>
    <t>RENDIMIENTO DE VOLQUETA POR HORA</t>
  </si>
  <si>
    <t>RENDIMIENTOS</t>
  </si>
  <si>
    <t>METRO CUBICO HORA</t>
  </si>
  <si>
    <t>VIAJES DIA</t>
  </si>
  <si>
    <t>RENDIMIENTO DE CARROTANQUE</t>
  </si>
  <si>
    <t>CAUDAL DE CARGA (Lts/min)</t>
  </si>
  <si>
    <t>CAUDAL DE VACIADO (Lts/min)</t>
  </si>
  <si>
    <t>Q=CAPACIDAD DEL CAROTANQUE</t>
  </si>
  <si>
    <t>T1= TIEMPO DE CARGA (min)</t>
  </si>
  <si>
    <t>T2= TIEMPO FIJO CARGA (min)</t>
  </si>
  <si>
    <t>T3= TIEMPO DE VACIADO (min)</t>
  </si>
  <si>
    <t>T4= TIEMPO FIJO VACIADO(min)</t>
  </si>
  <si>
    <t>V1= VELOCIDAD DE AVANCE (m/min)</t>
  </si>
  <si>
    <t>V2= VELOCIDAD DE RETORNO  (m/min)</t>
  </si>
  <si>
    <t>RENDIMIENTO DE CAROTANQUE</t>
  </si>
  <si>
    <t>D= DISTANCIA DEL PUNTO DE CAPTACION (m)</t>
  </si>
  <si>
    <t>F.H= FACTOR DE ALTURA</t>
  </si>
  <si>
    <t>RENDIMIENTO (lts/min)</t>
  </si>
  <si>
    <t>TIEMPO DE CARGA - DESCARGA (H)</t>
  </si>
  <si>
    <t>DESFAVORABLE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</si>
</sst>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-* #,##0.00\ &quot;$&quot;_-;\-* #,##0.00\ &quot;$&quot;_-;_-* &quot;-&quot;??\ &quot;$&quot;_-;_-@_-"/>
    <numFmt numFmtId="165" formatCode="0.000"/>
    <numFmt numFmtId="166" formatCode="General&quot;HP&quot;"/>
    <numFmt numFmtId="167" formatCode="General&quot;mm&quot;"/>
    <numFmt numFmtId="168" formatCode="General&quot;m3&quot;"/>
    <numFmt numFmtId="169" formatCode="General&quot;Km/h&quot;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4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u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</cellStyleXfs>
  <cellXfs count="281">
    <xf numFmtId="0" fontId="0" fillId="0" borderId="0" xfId="0"/>
    <xf numFmtId="0" fontId="0" fillId="0" borderId="1" xfId="0" applyBorder="1" applyAlignment="1">
      <alignment horizontal="center" wrapText="1"/>
    </xf>
    <xf numFmtId="0" fontId="0" fillId="0" borderId="0" xfId="0" applyFill="1" applyBorder="1"/>
    <xf numFmtId="0" fontId="0" fillId="0" borderId="6" xfId="0" applyBorder="1"/>
    <xf numFmtId="0" fontId="5" fillId="0" borderId="7" xfId="0" applyFont="1" applyFill="1" applyBorder="1" applyAlignment="1"/>
    <xf numFmtId="0" fontId="5" fillId="0" borderId="9" xfId="0" applyFont="1" applyFill="1" applyBorder="1" applyAlignment="1"/>
    <xf numFmtId="0" fontId="0" fillId="0" borderId="10" xfId="0" applyBorder="1"/>
    <xf numFmtId="0" fontId="0" fillId="0" borderId="0" xfId="0" applyBorder="1"/>
    <xf numFmtId="0" fontId="0" fillId="0" borderId="11" xfId="0" applyFill="1" applyBorder="1"/>
    <xf numFmtId="0" fontId="6" fillId="3" borderId="13" xfId="0" applyFont="1" applyFill="1" applyBorder="1" applyAlignment="1">
      <alignment horizontal="center"/>
    </xf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15" xfId="0" applyBorder="1" applyAlignment="1">
      <alignment horizontal="center"/>
    </xf>
    <xf numFmtId="0" fontId="6" fillId="3" borderId="1" xfId="0" applyFont="1" applyFill="1" applyBorder="1" applyAlignment="1"/>
    <xf numFmtId="0" fontId="8" fillId="0" borderId="1" xfId="0" applyFont="1" applyBorder="1" applyAlignment="1">
      <alignment horizontal="center" wrapText="1"/>
    </xf>
    <xf numFmtId="164" fontId="0" fillId="0" borderId="0" xfId="2" applyFont="1"/>
    <xf numFmtId="0" fontId="0" fillId="0" borderId="0" xfId="0" applyBorder="1" applyAlignment="1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5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1" xfId="0" applyBorder="1"/>
    <xf numFmtId="0" fontId="0" fillId="0" borderId="15" xfId="0" applyFont="1" applyFill="1" applyBorder="1" applyAlignment="1">
      <alignment horizontal="center"/>
    </xf>
    <xf numFmtId="2" fontId="0" fillId="0" borderId="0" xfId="0" applyNumberFormat="1"/>
    <xf numFmtId="165" fontId="0" fillId="2" borderId="15" xfId="0" applyNumberFormat="1" applyFill="1" applyBorder="1" applyAlignment="1">
      <alignment horizontal="center"/>
    </xf>
    <xf numFmtId="0" fontId="0" fillId="3" borderId="1" xfId="0" applyFill="1" applyBorder="1"/>
    <xf numFmtId="2" fontId="0" fillId="0" borderId="0" xfId="0" applyNumberFormat="1" applyAlignment="1">
      <alignment horizontal="center"/>
    </xf>
    <xf numFmtId="2" fontId="11" fillId="0" borderId="1" xfId="0" applyNumberFormat="1" applyFont="1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wrapText="1"/>
    </xf>
    <xf numFmtId="0" fontId="6" fillId="3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 wrapText="1"/>
    </xf>
    <xf numFmtId="0" fontId="0" fillId="0" borderId="1" xfId="0" applyFill="1" applyBorder="1" applyAlignment="1">
      <alignment horizontal="center"/>
    </xf>
    <xf numFmtId="2" fontId="0" fillId="0" borderId="1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 wrapText="1"/>
    </xf>
    <xf numFmtId="0" fontId="0" fillId="0" borderId="1" xfId="0" applyFill="1" applyBorder="1" applyAlignment="1">
      <alignment horizontal="center"/>
    </xf>
    <xf numFmtId="0" fontId="11" fillId="0" borderId="1" xfId="0" applyFont="1" applyFill="1" applyBorder="1" applyAlignment="1">
      <alignment horizontal="center"/>
    </xf>
    <xf numFmtId="166" fontId="11" fillId="0" borderId="1" xfId="0" applyNumberFormat="1" applyFont="1" applyFill="1" applyBorder="1" applyAlignment="1">
      <alignment horizontal="center"/>
    </xf>
    <xf numFmtId="0" fontId="1" fillId="0" borderId="15" xfId="0" applyFont="1" applyFill="1" applyBorder="1" applyAlignment="1">
      <alignment horizontal="center" vertical="center"/>
    </xf>
    <xf numFmtId="165" fontId="0" fillId="0" borderId="1" xfId="0" applyNumberFormat="1" applyFill="1" applyBorder="1" applyAlignment="1">
      <alignment horizontal="center"/>
    </xf>
    <xf numFmtId="165" fontId="3" fillId="0" borderId="1" xfId="0" applyNumberFormat="1" applyFont="1" applyFill="1" applyBorder="1" applyAlignment="1">
      <alignment horizontal="center"/>
    </xf>
    <xf numFmtId="2" fontId="3" fillId="0" borderId="1" xfId="1" applyNumberFormat="1" applyFont="1" applyFill="1" applyBorder="1" applyAlignment="1">
      <alignment horizontal="center"/>
    </xf>
    <xf numFmtId="0" fontId="5" fillId="0" borderId="0" xfId="0" applyFont="1" applyFill="1" applyBorder="1" applyAlignment="1"/>
    <xf numFmtId="0" fontId="11" fillId="0" borderId="13" xfId="0" applyFont="1" applyFill="1" applyBorder="1" applyAlignment="1">
      <alignment horizontal="center"/>
    </xf>
    <xf numFmtId="2" fontId="11" fillId="0" borderId="13" xfId="0" applyNumberFormat="1" applyFont="1" applyFill="1" applyBorder="1" applyAlignment="1">
      <alignment horizontal="center"/>
    </xf>
    <xf numFmtId="0" fontId="5" fillId="0" borderId="11" xfId="0" applyFont="1" applyFill="1" applyBorder="1" applyAlignment="1"/>
    <xf numFmtId="0" fontId="1" fillId="0" borderId="15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0" xfId="0" applyFont="1" applyFill="1" applyBorder="1" applyAlignment="1">
      <alignment horizontal="center" wrapText="1"/>
    </xf>
    <xf numFmtId="166" fontId="11" fillId="0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1" fillId="0" borderId="1" xfId="0" applyFont="1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/>
    </xf>
    <xf numFmtId="0" fontId="0" fillId="0" borderId="1" xfId="0" applyFill="1" applyBorder="1"/>
    <xf numFmtId="166" fontId="11" fillId="0" borderId="3" xfId="0" applyNumberFormat="1" applyFont="1" applyFill="1" applyBorder="1" applyAlignment="1"/>
    <xf numFmtId="0" fontId="8" fillId="0" borderId="1" xfId="0" applyFont="1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2" fontId="0" fillId="0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0" fillId="0" borderId="1" xfId="0" applyFont="1" applyBorder="1" applyAlignment="1">
      <alignment vertical="center" wrapText="1"/>
    </xf>
    <xf numFmtId="0" fontId="10" fillId="0" borderId="1" xfId="0" applyFont="1" applyBorder="1" applyAlignment="1">
      <alignment vertical="center"/>
    </xf>
    <xf numFmtId="0" fontId="0" fillId="0" borderId="2" xfId="0" applyFill="1" applyBorder="1" applyAlignment="1">
      <alignment horizontal="center"/>
    </xf>
    <xf numFmtId="0" fontId="14" fillId="0" borderId="0" xfId="0" applyFont="1" applyFill="1" applyBorder="1" applyAlignment="1">
      <alignment horizontal="center" wrapText="1"/>
    </xf>
    <xf numFmtId="0" fontId="0" fillId="0" borderId="3" xfId="0" applyFill="1" applyBorder="1" applyAlignment="1">
      <alignment horizontal="center"/>
    </xf>
    <xf numFmtId="0" fontId="13" fillId="0" borderId="0" xfId="0" applyFont="1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21" xfId="0" applyFill="1" applyBorder="1" applyAlignment="1">
      <alignment horizontal="center"/>
    </xf>
    <xf numFmtId="0" fontId="0" fillId="0" borderId="22" xfId="0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 wrapText="1"/>
    </xf>
    <xf numFmtId="2" fontId="0" fillId="0" borderId="0" xfId="0" applyNumberFormat="1" applyFont="1" applyFill="1" applyBorder="1" applyAlignment="1">
      <alignment horizontal="center" vertical="center"/>
    </xf>
    <xf numFmtId="0" fontId="0" fillId="0" borderId="0" xfId="0" applyNumberFormat="1" applyFill="1" applyBorder="1" applyAlignment="1">
      <alignment horizontal="center"/>
    </xf>
    <xf numFmtId="0" fontId="0" fillId="0" borderId="0" xfId="0" applyFont="1" applyFill="1" applyBorder="1" applyAlignment="1">
      <alignment horizontal="left"/>
    </xf>
    <xf numFmtId="167" fontId="0" fillId="0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/>
    </xf>
    <xf numFmtId="2" fontId="0" fillId="0" borderId="0" xfId="0" applyNumberFormat="1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/>
    </xf>
    <xf numFmtId="0" fontId="0" fillId="0" borderId="0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ill="1"/>
    <xf numFmtId="0" fontId="0" fillId="0" borderId="21" xfId="0" applyBorder="1" applyAlignment="1"/>
    <xf numFmtId="0" fontId="0" fillId="0" borderId="1" xfId="0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Font="1" applyFill="1" applyBorder="1" applyAlignment="1">
      <alignment horizontal="center" vertical="center" wrapText="1"/>
    </xf>
    <xf numFmtId="0" fontId="0" fillId="0" borderId="38" xfId="0" applyBorder="1" applyAlignment="1">
      <alignment horizontal="center" vertical="center"/>
    </xf>
    <xf numFmtId="0" fontId="11" fillId="0" borderId="1" xfId="0" applyFont="1" applyFill="1" applyBorder="1" applyAlignment="1"/>
    <xf numFmtId="0" fontId="0" fillId="0" borderId="4" xfId="0" applyBorder="1"/>
    <xf numFmtId="0" fontId="5" fillId="0" borderId="19" xfId="0" applyFont="1" applyFill="1" applyBorder="1" applyAlignment="1"/>
    <xf numFmtId="0" fontId="5" fillId="0" borderId="39" xfId="0" applyFont="1" applyFill="1" applyBorder="1" applyAlignment="1"/>
    <xf numFmtId="0" fontId="0" fillId="0" borderId="5" xfId="0" applyBorder="1"/>
    <xf numFmtId="0" fontId="0" fillId="0" borderId="40" xfId="0" applyFill="1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/>
    <xf numFmtId="168" fontId="0" fillId="0" borderId="1" xfId="0" applyNumberFormat="1" applyBorder="1" applyAlignment="1">
      <alignment horizontal="center" vertical="center"/>
    </xf>
    <xf numFmtId="0" fontId="0" fillId="6" borderId="1" xfId="0" applyFill="1" applyBorder="1" applyAlignment="1">
      <alignment horizontal="center"/>
    </xf>
    <xf numFmtId="2" fontId="1" fillId="2" borderId="1" xfId="0" applyNumberFormat="1" applyFont="1" applyFill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 wrapText="1"/>
    </xf>
    <xf numFmtId="169" fontId="0" fillId="0" borderId="1" xfId="0" applyNumberFormat="1" applyBorder="1" applyAlignment="1">
      <alignment horizontal="center"/>
    </xf>
    <xf numFmtId="2" fontId="7" fillId="0" borderId="1" xfId="0" applyNumberFormat="1" applyFont="1" applyFill="1" applyBorder="1" applyAlignment="1">
      <alignment horizontal="center" vertical="center"/>
    </xf>
    <xf numFmtId="2" fontId="7" fillId="0" borderId="13" xfId="0" applyNumberFormat="1" applyFont="1" applyFill="1" applyBorder="1" applyAlignment="1">
      <alignment horizontal="center" vertical="center"/>
    </xf>
    <xf numFmtId="0" fontId="0" fillId="0" borderId="12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6" fillId="3" borderId="12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6" fillId="3" borderId="13" xfId="0" applyFont="1" applyFill="1" applyBorder="1" applyAlignment="1">
      <alignment horizontal="center"/>
    </xf>
    <xf numFmtId="0" fontId="1" fillId="0" borderId="14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9" fillId="0" borderId="12" xfId="0" applyFont="1" applyFill="1" applyBorder="1" applyAlignment="1">
      <alignment horizontal="left"/>
    </xf>
    <xf numFmtId="0" fontId="9" fillId="0" borderId="1" xfId="0" applyFont="1" applyFill="1" applyBorder="1" applyAlignment="1">
      <alignment horizontal="left"/>
    </xf>
    <xf numFmtId="0" fontId="0" fillId="0" borderId="12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7" fillId="0" borderId="1" xfId="0" applyFont="1" applyFill="1" applyBorder="1" applyAlignment="1">
      <alignment horizontal="center" vertical="center"/>
    </xf>
    <xf numFmtId="0" fontId="7" fillId="0" borderId="13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/>
    </xf>
    <xf numFmtId="0" fontId="11" fillId="0" borderId="12" xfId="0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/>
    </xf>
    <xf numFmtId="0" fontId="0" fillId="0" borderId="12" xfId="0" applyFill="1" applyBorder="1" applyAlignment="1">
      <alignment horizontal="left" wrapText="1"/>
    </xf>
    <xf numFmtId="0" fontId="0" fillId="0" borderId="1" xfId="0" applyFill="1" applyBorder="1" applyAlignment="1">
      <alignment horizontal="left" wrapText="1"/>
    </xf>
    <xf numFmtId="0" fontId="3" fillId="0" borderId="12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6" fillId="0" borderId="12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6" fillId="0" borderId="13" xfId="0" applyFont="1" applyFill="1" applyBorder="1" applyAlignment="1">
      <alignment horizontal="center"/>
    </xf>
    <xf numFmtId="0" fontId="4" fillId="2" borderId="17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4" fillId="2" borderId="18" xfId="0" applyFon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3" xfId="0" applyBorder="1" applyAlignment="1">
      <alignment horizontal="center"/>
    </xf>
    <xf numFmtId="0" fontId="5" fillId="3" borderId="12" xfId="0" applyFont="1" applyFill="1" applyBorder="1" applyAlignment="1">
      <alignment horizontal="center"/>
    </xf>
    <xf numFmtId="0" fontId="5" fillId="3" borderId="13" xfId="0" applyFont="1" applyFill="1" applyBorder="1" applyAlignment="1">
      <alignment horizontal="center"/>
    </xf>
    <xf numFmtId="0" fontId="10" fillId="0" borderId="1" xfId="0" applyFont="1" applyBorder="1" applyAlignment="1">
      <alignment horizontal="left"/>
    </xf>
    <xf numFmtId="2" fontId="7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10" fillId="0" borderId="1" xfId="0" applyFont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wrapText="1"/>
    </xf>
    <xf numFmtId="165" fontId="0" fillId="2" borderId="1" xfId="0" applyNumberForma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0" fontId="6" fillId="0" borderId="36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2" fontId="1" fillId="0" borderId="1" xfId="0" applyNumberFormat="1" applyFont="1" applyFill="1" applyBorder="1" applyAlignment="1">
      <alignment horizontal="center" vertical="center"/>
    </xf>
    <xf numFmtId="0" fontId="6" fillId="3" borderId="10" xfId="0" applyFont="1" applyFill="1" applyBorder="1" applyAlignment="1">
      <alignment horizontal="center"/>
    </xf>
    <xf numFmtId="0" fontId="6" fillId="3" borderId="0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left"/>
    </xf>
    <xf numFmtId="0" fontId="0" fillId="0" borderId="1" xfId="0" applyBorder="1" applyAlignment="1">
      <alignment horizontal="left" vertical="center"/>
    </xf>
    <xf numFmtId="0" fontId="3" fillId="0" borderId="1" xfId="0" applyFont="1" applyFill="1" applyBorder="1" applyAlignment="1">
      <alignment horizontal="left" wrapText="1"/>
    </xf>
    <xf numFmtId="0" fontId="7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wrapText="1"/>
    </xf>
    <xf numFmtId="0" fontId="11" fillId="0" borderId="1" xfId="0" applyFont="1" applyFill="1" applyBorder="1" applyAlignment="1">
      <alignment horizontal="left"/>
    </xf>
    <xf numFmtId="0" fontId="1" fillId="0" borderId="2" xfId="0" applyFont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5" fillId="3" borderId="2" xfId="0" applyFont="1" applyFill="1" applyBorder="1" applyAlignment="1">
      <alignment horizontal="center"/>
    </xf>
    <xf numFmtId="0" fontId="5" fillId="3" borderId="36" xfId="0" applyFont="1" applyFill="1" applyBorder="1" applyAlignment="1">
      <alignment horizontal="center"/>
    </xf>
    <xf numFmtId="0" fontId="5" fillId="3" borderId="3" xfId="0" applyFont="1" applyFill="1" applyBorder="1" applyAlignment="1">
      <alignment horizontal="center"/>
    </xf>
    <xf numFmtId="166" fontId="11" fillId="0" borderId="1" xfId="0" applyNumberFormat="1" applyFont="1" applyFill="1" applyBorder="1" applyAlignment="1">
      <alignment horizontal="center"/>
    </xf>
    <xf numFmtId="0" fontId="6" fillId="3" borderId="1" xfId="0" applyFont="1" applyFill="1" applyBorder="1" applyAlignment="1">
      <alignment horizontal="left"/>
    </xf>
    <xf numFmtId="0" fontId="5" fillId="3" borderId="33" xfId="0" applyFont="1" applyFill="1" applyBorder="1" applyAlignment="1">
      <alignment horizontal="center"/>
    </xf>
    <xf numFmtId="0" fontId="5" fillId="3" borderId="34" xfId="0" applyFont="1" applyFill="1" applyBorder="1" applyAlignment="1">
      <alignment horizontal="center"/>
    </xf>
    <xf numFmtId="0" fontId="5" fillId="3" borderId="35" xfId="0" applyFont="1" applyFill="1" applyBorder="1" applyAlignment="1">
      <alignment horizontal="center"/>
    </xf>
    <xf numFmtId="0" fontId="6" fillId="3" borderId="32" xfId="0" applyFont="1" applyFill="1" applyBorder="1" applyAlignment="1">
      <alignment horizontal="center"/>
    </xf>
    <xf numFmtId="0" fontId="0" fillId="0" borderId="1" xfId="0" applyFill="1" applyBorder="1" applyAlignment="1">
      <alignment horizontal="left" vertical="center"/>
    </xf>
    <xf numFmtId="0" fontId="10" fillId="0" borderId="1" xfId="0" applyFont="1" applyFill="1" applyBorder="1" applyAlignment="1">
      <alignment horizontal="left" vertical="center" wrapText="1"/>
    </xf>
    <xf numFmtId="0" fontId="4" fillId="2" borderId="25" xfId="0" applyFont="1" applyFill="1" applyBorder="1" applyAlignment="1">
      <alignment horizontal="center"/>
    </xf>
    <xf numFmtId="0" fontId="4" fillId="2" borderId="26" xfId="0" applyFont="1" applyFill="1" applyBorder="1" applyAlignment="1">
      <alignment horizontal="center"/>
    </xf>
    <xf numFmtId="0" fontId="4" fillId="2" borderId="27" xfId="0" applyFont="1" applyFill="1" applyBorder="1" applyAlignment="1">
      <alignment horizontal="center"/>
    </xf>
    <xf numFmtId="0" fontId="5" fillId="3" borderId="17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0" fontId="5" fillId="3" borderId="18" xfId="0" applyFont="1" applyFill="1" applyBorder="1" applyAlignment="1">
      <alignment horizontal="center"/>
    </xf>
    <xf numFmtId="0" fontId="6" fillId="3" borderId="17" xfId="0" applyFont="1" applyFill="1" applyBorder="1" applyAlignment="1">
      <alignment horizontal="center"/>
    </xf>
    <xf numFmtId="0" fontId="6" fillId="3" borderId="8" xfId="0" applyFont="1" applyFill="1" applyBorder="1" applyAlignment="1">
      <alignment horizontal="center"/>
    </xf>
    <xf numFmtId="0" fontId="6" fillId="3" borderId="18" xfId="0" applyFont="1" applyFill="1" applyBorder="1" applyAlignment="1">
      <alignment horizontal="center"/>
    </xf>
    <xf numFmtId="0" fontId="1" fillId="0" borderId="29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0" fillId="0" borderId="14" xfId="0" applyBorder="1" applyAlignment="1">
      <alignment horizontal="left"/>
    </xf>
    <xf numFmtId="0" fontId="0" fillId="0" borderId="15" xfId="0" applyBorder="1" applyAlignment="1">
      <alignment horizontal="left"/>
    </xf>
    <xf numFmtId="0" fontId="5" fillId="0" borderId="12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5" fillId="0" borderId="13" xfId="0" applyFont="1" applyFill="1" applyBorder="1" applyAlignment="1">
      <alignment horizontal="center"/>
    </xf>
    <xf numFmtId="0" fontId="0" fillId="0" borderId="24" xfId="0" applyBorder="1" applyAlignment="1">
      <alignment horizontal="left"/>
    </xf>
    <xf numFmtId="0" fontId="0" fillId="0" borderId="36" xfId="0" applyBorder="1" applyAlignment="1">
      <alignment horizontal="left"/>
    </xf>
    <xf numFmtId="0" fontId="0" fillId="0" borderId="12" xfId="0" applyBorder="1" applyAlignment="1">
      <alignment horizontal="left"/>
    </xf>
    <xf numFmtId="0" fontId="7" fillId="0" borderId="13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0" fillId="0" borderId="2" xfId="0" applyFill="1" applyBorder="1" applyAlignment="1">
      <alignment horizontal="center"/>
    </xf>
    <xf numFmtId="0" fontId="0" fillId="0" borderId="36" xfId="0" applyFill="1" applyBorder="1" applyAlignment="1">
      <alignment horizontal="center"/>
    </xf>
    <xf numFmtId="0" fontId="0" fillId="0" borderId="2" xfId="0" applyBorder="1" applyAlignment="1">
      <alignment horizontal="center"/>
    </xf>
    <xf numFmtId="2" fontId="7" fillId="0" borderId="4" xfId="0" applyNumberFormat="1" applyFont="1" applyBorder="1" applyAlignment="1">
      <alignment horizontal="center" vertical="center"/>
    </xf>
    <xf numFmtId="2" fontId="7" fillId="0" borderId="19" xfId="0" applyNumberFormat="1" applyFont="1" applyBorder="1" applyAlignment="1">
      <alignment horizontal="center" vertical="center"/>
    </xf>
    <xf numFmtId="2" fontId="7" fillId="0" borderId="23" xfId="0" applyNumberFormat="1" applyFont="1" applyBorder="1" applyAlignment="1">
      <alignment horizontal="center" vertical="center"/>
    </xf>
    <xf numFmtId="2" fontId="7" fillId="0" borderId="5" xfId="0" applyNumberFormat="1" applyFont="1" applyBorder="1" applyAlignment="1">
      <alignment horizontal="center" vertical="center"/>
    </xf>
    <xf numFmtId="2" fontId="7" fillId="0" borderId="0" xfId="0" applyNumberFormat="1" applyFont="1" applyBorder="1" applyAlignment="1">
      <alignment horizontal="center" vertical="center"/>
    </xf>
    <xf numFmtId="2" fontId="7" fillId="0" borderId="11" xfId="0" applyNumberFormat="1" applyFont="1" applyBorder="1" applyAlignment="1">
      <alignment horizontal="center" vertical="center"/>
    </xf>
    <xf numFmtId="2" fontId="7" fillId="0" borderId="28" xfId="0" applyNumberFormat="1" applyFont="1" applyBorder="1" applyAlignment="1">
      <alignment horizontal="center" vertical="center"/>
    </xf>
    <xf numFmtId="2" fontId="7" fillId="0" borderId="21" xfId="0" applyNumberFormat="1" applyFont="1" applyBorder="1" applyAlignment="1">
      <alignment horizontal="center" vertical="center"/>
    </xf>
    <xf numFmtId="2" fontId="7" fillId="0" borderId="22" xfId="0" applyNumberFormat="1" applyFont="1" applyBorder="1" applyAlignment="1">
      <alignment horizontal="center" vertical="center"/>
    </xf>
    <xf numFmtId="0" fontId="4" fillId="2" borderId="37" xfId="0" applyFont="1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6" fillId="3" borderId="33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18" fillId="0" borderId="32" xfId="0" applyFont="1" applyBorder="1" applyAlignment="1">
      <alignment horizontal="center" vertical="center"/>
    </xf>
    <xf numFmtId="0" fontId="18" fillId="0" borderId="4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7" fillId="0" borderId="4" xfId="0" applyFont="1" applyBorder="1" applyAlignment="1">
      <alignment horizontal="center" vertical="center"/>
    </xf>
    <xf numFmtId="0" fontId="17" fillId="0" borderId="39" xfId="0" applyFont="1" applyBorder="1" applyAlignment="1">
      <alignment horizontal="center" vertical="center"/>
    </xf>
    <xf numFmtId="0" fontId="17" fillId="0" borderId="41" xfId="0" applyFont="1" applyBorder="1" applyAlignment="1">
      <alignment horizontal="center" vertical="center"/>
    </xf>
    <xf numFmtId="0" fontId="17" fillId="0" borderId="43" xfId="0" applyFont="1" applyBorder="1" applyAlignment="1">
      <alignment horizontal="center" vertical="center"/>
    </xf>
    <xf numFmtId="0" fontId="0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/>
    <xf numFmtId="0" fontId="1" fillId="0" borderId="1" xfId="0" applyFont="1" applyBorder="1" applyAlignment="1">
      <alignment horizontal="left"/>
    </xf>
    <xf numFmtId="0" fontId="18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left"/>
    </xf>
    <xf numFmtId="0" fontId="10" fillId="0" borderId="3" xfId="0" applyFont="1" applyBorder="1" applyAlignment="1">
      <alignment horizontal="left"/>
    </xf>
    <xf numFmtId="2" fontId="7" fillId="0" borderId="39" xfId="0" applyNumberFormat="1" applyFont="1" applyBorder="1" applyAlignment="1">
      <alignment horizontal="center" vertical="center"/>
    </xf>
    <xf numFmtId="2" fontId="7" fillId="0" borderId="40" xfId="0" applyNumberFormat="1" applyFont="1" applyBorder="1" applyAlignment="1">
      <alignment horizontal="center" vertical="center"/>
    </xf>
    <xf numFmtId="2" fontId="7" fillId="0" borderId="41" xfId="0" applyNumberFormat="1" applyFont="1" applyBorder="1" applyAlignment="1">
      <alignment horizontal="center" vertical="center"/>
    </xf>
    <xf numFmtId="2" fontId="7" fillId="0" borderId="42" xfId="0" applyNumberFormat="1" applyFont="1" applyBorder="1" applyAlignment="1">
      <alignment horizontal="center" vertical="center"/>
    </xf>
    <xf numFmtId="2" fontId="7" fillId="0" borderId="43" xfId="0" applyNumberFormat="1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7" fillId="0" borderId="39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40" xfId="0" applyFont="1" applyBorder="1" applyAlignment="1">
      <alignment horizontal="center" vertical="center"/>
    </xf>
    <xf numFmtId="0" fontId="7" fillId="0" borderId="41" xfId="0" applyFont="1" applyBorder="1" applyAlignment="1">
      <alignment horizontal="center" vertical="center"/>
    </xf>
    <xf numFmtId="0" fontId="7" fillId="0" borderId="42" xfId="0" applyFont="1" applyBorder="1" applyAlignment="1">
      <alignment horizontal="center" vertical="center"/>
    </xf>
    <xf numFmtId="0" fontId="7" fillId="0" borderId="4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36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/>
    </xf>
    <xf numFmtId="2" fontId="0" fillId="0" borderId="0" xfId="0" applyNumberFormat="1" applyFont="1" applyFill="1" applyBorder="1" applyAlignment="1">
      <alignment horizontal="center" vertical="center" wrapText="1"/>
    </xf>
  </cellXfs>
  <cellStyles count="3">
    <cellStyle name="Moneda" xfId="2" builtinId="4"/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 /><Relationship Id="rId13" Type="http://schemas.openxmlformats.org/officeDocument/2006/relationships/calcChain" Target="calcChain.xml" /><Relationship Id="rId3" Type="http://schemas.openxmlformats.org/officeDocument/2006/relationships/worksheet" Target="worksheets/sheet3.xml" /><Relationship Id="rId7" Type="http://schemas.openxmlformats.org/officeDocument/2006/relationships/worksheet" Target="worksheets/sheet7.xml" /><Relationship Id="rId12" Type="http://schemas.openxmlformats.org/officeDocument/2006/relationships/sharedStrings" Target="sharedStrings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worksheet" Target="worksheets/sheet6.xml" /><Relationship Id="rId11" Type="http://schemas.openxmlformats.org/officeDocument/2006/relationships/styles" Target="styles.xml" /><Relationship Id="rId5" Type="http://schemas.openxmlformats.org/officeDocument/2006/relationships/worksheet" Target="worksheets/sheet5.xml" /><Relationship Id="rId10" Type="http://schemas.openxmlformats.org/officeDocument/2006/relationships/theme" Target="theme/theme1.xml" /><Relationship Id="rId4" Type="http://schemas.openxmlformats.org/officeDocument/2006/relationships/worksheet" Target="worksheets/sheet4.xml" /><Relationship Id="rId9" Type="http://schemas.openxmlformats.org/officeDocument/2006/relationships/worksheet" Target="worksheets/sheet9.xml" 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 /><Relationship Id="rId2" Type="http://schemas.openxmlformats.org/officeDocument/2006/relationships/image" Target="../media/image2.emf" /><Relationship Id="rId1" Type="http://schemas.openxmlformats.org/officeDocument/2006/relationships/image" Target="../media/image1.emf" 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 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 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 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 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 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 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 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34</xdr:row>
          <xdr:rowOff>57150</xdr:rowOff>
        </xdr:from>
        <xdr:to>
          <xdr:col>3</xdr:col>
          <xdr:colOff>514350</xdr:colOff>
          <xdr:row>34</xdr:row>
          <xdr:rowOff>523875</xdr:rowOff>
        </xdr:to>
        <xdr:sp macro="" textlink="">
          <xdr:nvSpPr>
            <xdr:cNvPr id="1034" name="Object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161925</xdr:colOff>
          <xdr:row>21</xdr:row>
          <xdr:rowOff>28575</xdr:rowOff>
        </xdr:from>
        <xdr:to>
          <xdr:col>4</xdr:col>
          <xdr:colOff>38100</xdr:colOff>
          <xdr:row>21</xdr:row>
          <xdr:rowOff>485775</xdr:rowOff>
        </xdr:to>
        <xdr:sp macro="" textlink="">
          <xdr:nvSpPr>
            <xdr:cNvPr id="1036" name="Object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190500</xdr:colOff>
          <xdr:row>28</xdr:row>
          <xdr:rowOff>38100</xdr:rowOff>
        </xdr:from>
        <xdr:to>
          <xdr:col>3</xdr:col>
          <xdr:colOff>1152525</xdr:colOff>
          <xdr:row>28</xdr:row>
          <xdr:rowOff>647700</xdr:rowOff>
        </xdr:to>
        <xdr:sp macro="" textlink="">
          <xdr:nvSpPr>
            <xdr:cNvPr id="1037" name="Object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FFFFFF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oneCellAnchor>
    <xdr:from>
      <xdr:col>2</xdr:col>
      <xdr:colOff>771525</xdr:colOff>
      <xdr:row>3</xdr:row>
      <xdr:rowOff>90487</xdr:rowOff>
    </xdr:from>
    <xdr:ext cx="2437269" cy="50654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00000000-0008-0000-0000-000006000000}"/>
                </a:ext>
              </a:extLst>
            </xdr:cNvPr>
            <xdr:cNvSpPr txBox="1"/>
          </xdr:nvSpPr>
          <xdr:spPr>
            <a:xfrm>
              <a:off x="2543175" y="738187"/>
              <a:ext cx="2437269" cy="506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600" b="1" i="1">
                        <a:latin typeface="Cambria Math" panose="02040503050406030204" pitchFamily="18" charset="0"/>
                      </a:rPr>
                      <m:t>𝑹</m:t>
                    </m:r>
                    <m:r>
                      <a:rPr lang="es-ES" sz="1600" b="1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ES" sz="1600" b="1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d>
                          <m:dPr>
                            <m:ctrlPr>
                              <a:rPr lang="es-ES" sz="16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s-ES" sz="16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𝟐𝟗</m:t>
                            </m:r>
                            <m:r>
                              <a:rPr lang="es-ES" sz="16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∗</m:t>
                            </m:r>
                            <m:sSup>
                              <m:sSupPr>
                                <m:ctrlPr>
                                  <a:rPr lang="es-ES" sz="1600" b="1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s-ES" sz="1600" b="1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𝒂</m:t>
                                </m:r>
                              </m:e>
                              <m:sup>
                                <m:r>
                                  <a:rPr lang="es-ES" sz="1600" b="1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𝟐</m:t>
                                </m:r>
                              </m:sup>
                            </m:sSup>
                          </m:e>
                        </m:d>
                        <m:r>
                          <a:rPr lang="es-ES" sz="16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∗</m:t>
                        </m:r>
                        <m:r>
                          <a:rPr lang="es-ES" sz="16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𝑳</m:t>
                        </m:r>
                        <m:r>
                          <a:rPr lang="es-ES" sz="16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∗</m:t>
                        </m:r>
                        <m:r>
                          <a:rPr lang="es-ES" sz="16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𝑬</m:t>
                        </m:r>
                      </m:num>
                      <m:den>
                        <m:r>
                          <a:rPr lang="es-ES" sz="1600" b="1" i="1">
                            <a:latin typeface="Cambria Math" panose="02040503050406030204" pitchFamily="18" charset="0"/>
                          </a:rPr>
                          <m:t>𝑻</m:t>
                        </m:r>
                      </m:den>
                    </m:f>
                    <m:r>
                      <a:rPr lang="es-ES" sz="1600" b="1" i="1">
                        <a:latin typeface="Cambria Math" panose="02040503050406030204" pitchFamily="18" charset="0"/>
                      </a:rPr>
                      <m:t>/</m:t>
                    </m:r>
                    <m:r>
                      <a:rPr lang="es-ES" sz="1600" b="1" i="1">
                        <a:latin typeface="Cambria Math" panose="02040503050406030204" pitchFamily="18" charset="0"/>
                      </a:rPr>
                      <m:t>𝑭</m:t>
                    </m:r>
                    <m:r>
                      <a:rPr lang="es-ES" sz="1600" b="1" i="1">
                        <a:latin typeface="Cambria Math" panose="02040503050406030204" pitchFamily="18" charset="0"/>
                      </a:rPr>
                      <m:t>.</m:t>
                    </m:r>
                    <m:r>
                      <a:rPr lang="es-ES" sz="1600" b="1" i="1">
                        <a:latin typeface="Cambria Math" panose="02040503050406030204" pitchFamily="18" charset="0"/>
                      </a:rPr>
                      <m:t>𝑯</m:t>
                    </m:r>
                  </m:oMath>
                </m:oMathPara>
              </a14:m>
              <a:endParaRPr lang="es-ES" sz="1600" b="1"/>
            </a:p>
          </xdr:txBody>
        </xdr:sp>
      </mc:Choice>
      <mc:Fallback xmlns="">
        <xdr:sp macro="" textlink="">
          <xdr:nvSpPr>
            <xdr:cNvPr id="6" name="CuadroTexto 5"/>
            <xdr:cNvSpPr txBox="1"/>
          </xdr:nvSpPr>
          <xdr:spPr>
            <a:xfrm>
              <a:off x="2543175" y="738187"/>
              <a:ext cx="2437269" cy="506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1600" b="1" i="0">
                  <a:latin typeface="Cambria Math" panose="02040503050406030204" pitchFamily="18" charset="0"/>
                </a:rPr>
                <a:t>𝑹=(</a:t>
              </a:r>
              <a:r>
                <a:rPr lang="es-ES" sz="16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(𝟐𝟗∗𝒂^𝟐 )∗𝑳∗𝑬</a:t>
              </a:r>
              <a:r>
                <a:rPr lang="es-ES" sz="16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</a:t>
              </a:r>
              <a:r>
                <a:rPr lang="es-ES" sz="1600" b="1" i="0">
                  <a:latin typeface="Cambria Math" panose="02040503050406030204" pitchFamily="18" charset="0"/>
                </a:rPr>
                <a:t>𝑻/𝑭.𝑯</a:t>
              </a:r>
              <a:endParaRPr lang="es-ES" sz="1600" b="1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238125</xdr:colOff>
          <xdr:row>32</xdr:row>
          <xdr:rowOff>57150</xdr:rowOff>
        </xdr:from>
        <xdr:to>
          <xdr:col>3</xdr:col>
          <xdr:colOff>400050</xdr:colOff>
          <xdr:row>32</xdr:row>
          <xdr:rowOff>533400</xdr:rowOff>
        </xdr:to>
        <xdr:sp macro="" textlink="">
          <xdr:nvSpPr>
            <xdr:cNvPr id="16392" name="Object 8" hidden="1">
              <a:extLst>
                <a:ext uri="{63B3BB69-23CF-44E3-9099-C40C66FF867C}">
                  <a14:compatExt spid="_x0000_s16392"/>
                </a:ext>
                <a:ext uri="{FF2B5EF4-FFF2-40B4-BE49-F238E27FC236}">
                  <a16:creationId xmlns:a16="http://schemas.microsoft.com/office/drawing/2014/main" id="{00000000-0008-0000-0100-00000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0</xdr:col>
      <xdr:colOff>152400</xdr:colOff>
      <xdr:row>19</xdr:row>
      <xdr:rowOff>142875</xdr:rowOff>
    </xdr:from>
    <xdr:ext cx="1240404" cy="46012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00000000-0008-0000-0100-000003000000}"/>
                </a:ext>
              </a:extLst>
            </xdr:cNvPr>
            <xdr:cNvSpPr txBox="1"/>
          </xdr:nvSpPr>
          <xdr:spPr>
            <a:xfrm>
              <a:off x="152400" y="1924050"/>
              <a:ext cx="1240404" cy="4601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600" b="1" i="1">
                        <a:latin typeface="Cambria Math" panose="02040503050406030204" pitchFamily="18" charset="0"/>
                      </a:rPr>
                      <m:t>𝑻</m:t>
                    </m:r>
                    <m:r>
                      <a:rPr lang="es-ES" sz="1600" b="1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ES" sz="1600" b="1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ES" sz="1600" b="1" i="1">
                            <a:latin typeface="Cambria Math" panose="02040503050406030204" pitchFamily="18" charset="0"/>
                          </a:rPr>
                          <m:t>𝑫</m:t>
                        </m:r>
                      </m:num>
                      <m:den>
                        <m:r>
                          <a:rPr lang="es-ES" sz="16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𝑽</m:t>
                        </m:r>
                        <m:r>
                          <a:rPr lang="es-ES" sz="16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.</m:t>
                        </m:r>
                        <m:r>
                          <a:rPr lang="es-ES" sz="16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𝑨</m:t>
                        </m:r>
                      </m:den>
                    </m:f>
                    <m:r>
                      <a:rPr lang="es-ES" sz="1600" b="1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s-ES" sz="1600" b="1" i="1">
                        <a:latin typeface="Cambria Math" panose="02040503050406030204" pitchFamily="18" charset="0"/>
                      </a:rPr>
                      <m:t>𝒕𝒗</m:t>
                    </m:r>
                  </m:oMath>
                </m:oMathPara>
              </a14:m>
              <a:endParaRPr lang="es-ES" sz="1600" b="1"/>
            </a:p>
          </xdr:txBody>
        </xdr:sp>
      </mc:Choice>
      <mc:Fallback xmlns="">
        <xdr:sp macro="" textlink="">
          <xdr:nvSpPr>
            <xdr:cNvPr id="3" name="CuadroTexto 2"/>
            <xdr:cNvSpPr txBox="1"/>
          </xdr:nvSpPr>
          <xdr:spPr>
            <a:xfrm>
              <a:off x="152400" y="1924050"/>
              <a:ext cx="1240404" cy="4601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600" b="1" i="0">
                  <a:latin typeface="Cambria Math" panose="02040503050406030204" pitchFamily="18" charset="0"/>
                </a:rPr>
                <a:t>𝑻=𝑫/(</a:t>
              </a:r>
              <a:r>
                <a:rPr lang="es-ES" sz="16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𝑽.𝑨)</a:t>
              </a:r>
              <a:r>
                <a:rPr lang="es-ES" sz="1600" b="1" i="0">
                  <a:latin typeface="Cambria Math" panose="02040503050406030204" pitchFamily="18" charset="0"/>
                </a:rPr>
                <a:t>+𝒕𝒗</a:t>
              </a:r>
              <a:endParaRPr lang="es-ES" sz="1600" b="1"/>
            </a:p>
          </xdr:txBody>
        </xdr:sp>
      </mc:Fallback>
    </mc:AlternateContent>
    <xdr:clientData/>
  </xdr:oneCellAnchor>
  <xdr:oneCellAnchor>
    <xdr:from>
      <xdr:col>0</xdr:col>
      <xdr:colOff>390525</xdr:colOff>
      <xdr:row>24</xdr:row>
      <xdr:rowOff>66675</xdr:rowOff>
    </xdr:from>
    <xdr:ext cx="602729" cy="45942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00000000-0008-0000-0100-000004000000}"/>
                </a:ext>
              </a:extLst>
            </xdr:cNvPr>
            <xdr:cNvSpPr txBox="1"/>
          </xdr:nvSpPr>
          <xdr:spPr>
            <a:xfrm>
              <a:off x="390525" y="4486275"/>
              <a:ext cx="602729" cy="4594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600" b="1" i="1">
                        <a:latin typeface="Cambria Math" panose="02040503050406030204" pitchFamily="18" charset="0"/>
                      </a:rPr>
                      <m:t>𝒑</m:t>
                    </m:r>
                    <m:r>
                      <a:rPr lang="es-ES" sz="1600" b="1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ES" sz="1600" b="1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ES" sz="1600" b="1" i="1">
                            <a:latin typeface="Cambria Math" panose="02040503050406030204" pitchFamily="18" charset="0"/>
                          </a:rPr>
                          <m:t>𝑯</m:t>
                        </m:r>
                      </m:num>
                      <m:den>
                        <m:r>
                          <a:rPr lang="es-ES" sz="16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𝑻</m:t>
                        </m:r>
                      </m:den>
                    </m:f>
                  </m:oMath>
                </m:oMathPara>
              </a14:m>
              <a:endParaRPr lang="es-ES" sz="1600" b="1"/>
            </a:p>
          </xdr:txBody>
        </xdr:sp>
      </mc:Choice>
      <mc:Fallback xmlns="">
        <xdr:sp macro="" textlink="">
          <xdr:nvSpPr>
            <xdr:cNvPr id="4" name="CuadroTexto 3"/>
            <xdr:cNvSpPr txBox="1"/>
          </xdr:nvSpPr>
          <xdr:spPr>
            <a:xfrm>
              <a:off x="390525" y="4486275"/>
              <a:ext cx="602729" cy="4594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600" b="1" i="0">
                  <a:latin typeface="Cambria Math" panose="02040503050406030204" pitchFamily="18" charset="0"/>
                </a:rPr>
                <a:t>𝒑=𝑯/</a:t>
              </a:r>
              <a:r>
                <a:rPr lang="es-ES" sz="16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𝑻</a:t>
              </a:r>
              <a:endParaRPr lang="es-ES" sz="1600" b="1"/>
            </a:p>
          </xdr:txBody>
        </xdr:sp>
      </mc:Fallback>
    </mc:AlternateContent>
    <xdr:clientData/>
  </xdr:oneCellAnchor>
  <xdr:oneCellAnchor>
    <xdr:from>
      <xdr:col>2</xdr:col>
      <xdr:colOff>581025</xdr:colOff>
      <xdr:row>3</xdr:row>
      <xdr:rowOff>47625</xdr:rowOff>
    </xdr:from>
    <xdr:ext cx="2549416" cy="64081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00000000-0008-0000-0100-000006000000}"/>
                </a:ext>
              </a:extLst>
            </xdr:cNvPr>
            <xdr:cNvSpPr txBox="1"/>
          </xdr:nvSpPr>
          <xdr:spPr>
            <a:xfrm>
              <a:off x="2105025" y="666750"/>
              <a:ext cx="2549416" cy="6408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2000" b="1" i="1">
                        <a:latin typeface="Cambria Math" panose="02040503050406030204" pitchFamily="18" charset="0"/>
                      </a:rPr>
                      <m:t>𝑹</m:t>
                    </m:r>
                    <m:r>
                      <a:rPr lang="es-ES" sz="2000" b="1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ES" sz="2000" b="1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ES" sz="2000" b="1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s-ES" sz="2000" b="1" i="1">
                            <a:latin typeface="Cambria Math" panose="02040503050406030204" pitchFamily="18" charset="0"/>
                          </a:rPr>
                          <m:t>𝑫</m:t>
                        </m:r>
                        <m:r>
                          <a:rPr lang="es-ES" sz="2000" b="1" i="1">
                            <a:latin typeface="Cambria Math" panose="02040503050406030204" pitchFamily="18" charset="0"/>
                          </a:rPr>
                          <m:t>∗</m:t>
                        </m:r>
                        <m:r>
                          <a:rPr lang="es-ES" sz="2000" b="1" i="1">
                            <a:latin typeface="Cambria Math" panose="02040503050406030204" pitchFamily="18" charset="0"/>
                          </a:rPr>
                          <m:t>𝑺</m:t>
                        </m:r>
                        <m:r>
                          <a:rPr lang="es-ES" sz="2000" b="1" i="1">
                            <a:latin typeface="Cambria Math" panose="02040503050406030204" pitchFamily="18" charset="0"/>
                          </a:rPr>
                          <m:t>∗</m:t>
                        </m:r>
                        <m:r>
                          <a:rPr lang="es-ES" sz="2000" b="1" i="1">
                            <a:latin typeface="Cambria Math" panose="02040503050406030204" pitchFamily="18" charset="0"/>
                          </a:rPr>
                          <m:t>𝑷</m:t>
                        </m:r>
                        <m:r>
                          <a:rPr lang="es-ES" sz="2000" b="1" i="1">
                            <a:latin typeface="Cambria Math" panose="02040503050406030204" pitchFamily="18" charset="0"/>
                          </a:rPr>
                          <m:t>∗</m:t>
                        </m:r>
                        <m:r>
                          <a:rPr lang="es-ES" sz="2000" b="1" i="1">
                            <a:latin typeface="Cambria Math" panose="02040503050406030204" pitchFamily="18" charset="0"/>
                          </a:rPr>
                          <m:t>𝒑</m:t>
                        </m:r>
                        <m:r>
                          <a:rPr lang="es-ES" sz="2000" b="1" i="1">
                            <a:latin typeface="Cambria Math" panose="02040503050406030204" pitchFamily="18" charset="0"/>
                          </a:rPr>
                          <m:t>∗</m:t>
                        </m:r>
                        <m:r>
                          <a:rPr lang="es-ES" sz="2000" b="1" i="1">
                            <a:latin typeface="Cambria Math" panose="02040503050406030204" pitchFamily="18" charset="0"/>
                          </a:rPr>
                          <m:t>𝒆</m:t>
                        </m:r>
                        <m:r>
                          <a:rPr lang="es-ES" sz="2000" b="1" i="1">
                            <a:latin typeface="Cambria Math" panose="02040503050406030204" pitchFamily="18" charset="0"/>
                          </a:rPr>
                          <m:t>)</m:t>
                        </m:r>
                      </m:num>
                      <m:den>
                        <m:r>
                          <a:rPr lang="es-ES" sz="20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r>
                          <a:rPr lang="es-ES" sz="20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𝟏</m:t>
                        </m:r>
                        <m:r>
                          <a:rPr lang="es-ES" sz="20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r>
                          <a:rPr lang="es-ES" sz="20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𝑭</m:t>
                        </m:r>
                        <m:r>
                          <a:rPr lang="es-ES" sz="20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.</m:t>
                        </m:r>
                        <m:r>
                          <a:rPr lang="es-ES" sz="20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𝑯</m:t>
                        </m:r>
                        <m:r>
                          <a:rPr lang="es-ES" sz="20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.)</m:t>
                        </m:r>
                      </m:den>
                    </m:f>
                  </m:oMath>
                </m:oMathPara>
              </a14:m>
              <a:endParaRPr lang="es-ES" sz="2000" b="1"/>
            </a:p>
          </xdr:txBody>
        </xdr:sp>
      </mc:Choice>
      <mc:Fallback xmlns="">
        <xdr:sp macro="" textlink="">
          <xdr:nvSpPr>
            <xdr:cNvPr id="6" name="CuadroTexto 5"/>
            <xdr:cNvSpPr txBox="1"/>
          </xdr:nvSpPr>
          <xdr:spPr>
            <a:xfrm>
              <a:off x="2105025" y="666750"/>
              <a:ext cx="2549416" cy="6408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2000" b="1" i="0">
                  <a:latin typeface="Cambria Math" panose="02040503050406030204" pitchFamily="18" charset="0"/>
                </a:rPr>
                <a:t>𝑹=((𝑫∗𝑺∗𝑷∗𝒑∗𝒆))/(</a:t>
              </a:r>
              <a:r>
                <a:rPr lang="es-ES" sz="20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(𝟏+𝑭.𝑯.))</a:t>
              </a:r>
              <a:endParaRPr lang="es-ES" sz="2000" b="1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257175</xdr:colOff>
          <xdr:row>21</xdr:row>
          <xdr:rowOff>38100</xdr:rowOff>
        </xdr:from>
        <xdr:to>
          <xdr:col>3</xdr:col>
          <xdr:colOff>419100</xdr:colOff>
          <xdr:row>21</xdr:row>
          <xdr:rowOff>447675</xdr:rowOff>
        </xdr:to>
        <xdr:sp macro="" textlink="">
          <xdr:nvSpPr>
            <xdr:cNvPr id="3074" name="Object 2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00000000-0008-0000-02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2</xdr:col>
      <xdr:colOff>47625</xdr:colOff>
      <xdr:row>3</xdr:row>
      <xdr:rowOff>23811</xdr:rowOff>
    </xdr:from>
    <xdr:ext cx="3438525" cy="7667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00000000-0008-0000-0200-000002000000}"/>
                </a:ext>
              </a:extLst>
            </xdr:cNvPr>
            <xdr:cNvSpPr txBox="1"/>
          </xdr:nvSpPr>
          <xdr:spPr>
            <a:xfrm>
              <a:off x="1571625" y="671511"/>
              <a:ext cx="3438525" cy="7667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400" b="1" i="1">
                        <a:latin typeface="Cambria Math" panose="02040503050406030204" pitchFamily="18" charset="0"/>
                      </a:rPr>
                      <m:t>𝑹</m:t>
                    </m:r>
                    <m:r>
                      <a:rPr lang="es-ES" sz="1400" b="1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ES" sz="1400" b="1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d>
                          <m:dPr>
                            <m:ctrlPr>
                              <a:rPr lang="es-ES" sz="14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s-ES" sz="14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𝑨𝑬</m:t>
                            </m:r>
                            <m:r>
                              <a:rPr lang="es-ES" sz="14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∗</m:t>
                            </m:r>
                            <m:f>
                              <m:fPr>
                                <m:ctrlPr>
                                  <a:rPr lang="es-ES" sz="1400" b="1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s-ES" sz="1400" b="1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𝑽𝑻</m:t>
                                </m:r>
                                <m:r>
                                  <a:rPr lang="es-ES" sz="1400" b="1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  <m:r>
                                  <a:rPr lang="es-ES" sz="1400" b="1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𝟏𝟎𝟎𝟎</m:t>
                                </m:r>
                              </m:num>
                              <m:den>
                                <m:r>
                                  <a:rPr lang="es-ES" sz="1400" b="1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𝑵</m:t>
                                </m:r>
                              </m:den>
                            </m:f>
                          </m:e>
                        </m:d>
                        <m:r>
                          <a:rPr lang="es-ES" sz="14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∗</m:t>
                        </m:r>
                        <m:r>
                          <a:rPr lang="es-ES" sz="14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𝑬</m:t>
                        </m:r>
                      </m:num>
                      <m:den>
                        <m:r>
                          <a:rPr lang="es-ES" sz="14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f>
                          <m:fPr>
                            <m:ctrlPr>
                              <a:rPr lang="es-ES" sz="14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s-ES" sz="14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𝒆</m:t>
                            </m:r>
                          </m:num>
                          <m:den>
                            <m:r>
                              <a:rPr lang="es-ES" sz="14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𝟏𝟎𝟎</m:t>
                            </m:r>
                          </m:den>
                        </m:f>
                        <m:r>
                          <a:rPr lang="es-ES" sz="14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))</m:t>
                        </m:r>
                      </m:den>
                    </m:f>
                    <m:r>
                      <a:rPr lang="es-ES" sz="1400" b="1" i="1">
                        <a:latin typeface="Cambria Math" panose="02040503050406030204" pitchFamily="18" charset="0"/>
                      </a:rPr>
                      <m:t>/(</m:t>
                    </m:r>
                    <m:r>
                      <a:rPr lang="es-ES" sz="1400" b="1" i="1">
                        <a:latin typeface="Cambria Math" panose="02040503050406030204" pitchFamily="18" charset="0"/>
                      </a:rPr>
                      <m:t>𝟏</m:t>
                    </m:r>
                    <m:r>
                      <a:rPr lang="es-ES" sz="1400" b="1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s-ES" sz="1400" b="1" i="1">
                        <a:latin typeface="Cambria Math" panose="02040503050406030204" pitchFamily="18" charset="0"/>
                      </a:rPr>
                      <m:t>𝑭</m:t>
                    </m:r>
                    <m:r>
                      <a:rPr lang="es-ES" sz="1400" b="1" i="1">
                        <a:latin typeface="Cambria Math" panose="02040503050406030204" pitchFamily="18" charset="0"/>
                      </a:rPr>
                      <m:t>.</m:t>
                    </m:r>
                    <m:r>
                      <a:rPr lang="es-ES" sz="1400" b="1" i="1">
                        <a:latin typeface="Cambria Math" panose="02040503050406030204" pitchFamily="18" charset="0"/>
                      </a:rPr>
                      <m:t>𝑯</m:t>
                    </m:r>
                    <m:r>
                      <a:rPr lang="es-ES" sz="1400" b="1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s-ES" sz="1400" b="1"/>
            </a:p>
            <a:p>
              <a:pPr algn="ctr"/>
              <a:endParaRPr lang="es-ES" sz="1400" b="1"/>
            </a:p>
          </xdr:txBody>
        </xdr:sp>
      </mc:Choice>
      <mc:Fallback xmlns="">
        <xdr:sp macro="" textlink="">
          <xdr:nvSpPr>
            <xdr:cNvPr id="2" name="CuadroTexto 1"/>
            <xdr:cNvSpPr txBox="1"/>
          </xdr:nvSpPr>
          <xdr:spPr>
            <a:xfrm>
              <a:off x="1571625" y="671511"/>
              <a:ext cx="3438525" cy="7667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:r>
                <a:rPr lang="es-ES" sz="1400" b="1" i="0">
                  <a:latin typeface="Cambria Math" panose="02040503050406030204" pitchFamily="18" charset="0"/>
                </a:rPr>
                <a:t>𝑹=(</a:t>
              </a:r>
              <a:r>
                <a:rPr lang="es-ES" sz="14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(𝑨𝑬∗(𝑽𝑻∗𝟏𝟎𝟎𝟎)/𝑵)∗𝑬</a:t>
              </a:r>
              <a:r>
                <a:rPr lang="es-ES" sz="14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</a:t>
              </a:r>
              <a:r>
                <a:rPr lang="es-ES" sz="14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(𝒆/𝟏𝟎𝟎))</a:t>
              </a:r>
              <a:r>
                <a:rPr lang="es-ES" sz="14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s-ES" sz="1400" b="1" i="0">
                  <a:latin typeface="Cambria Math" panose="02040503050406030204" pitchFamily="18" charset="0"/>
                </a:rPr>
                <a:t>/(𝟏+𝑭.𝑯)</a:t>
              </a:r>
              <a:endParaRPr lang="es-ES" sz="1400" b="1"/>
            </a:p>
            <a:p>
              <a:pPr algn="ctr"/>
              <a:endParaRPr lang="es-ES" sz="1400" b="1"/>
            </a:p>
          </xdr:txBody>
        </xdr:sp>
      </mc:Fallback>
    </mc:AlternateContent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38100</xdr:colOff>
          <xdr:row>13</xdr:row>
          <xdr:rowOff>38100</xdr:rowOff>
        </xdr:from>
        <xdr:to>
          <xdr:col>3</xdr:col>
          <xdr:colOff>171450</xdr:colOff>
          <xdr:row>13</xdr:row>
          <xdr:rowOff>419100</xdr:rowOff>
        </xdr:to>
        <xdr:sp macro="" textlink="">
          <xdr:nvSpPr>
            <xdr:cNvPr id="5124" name="Object 4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300-000004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2</xdr:col>
      <xdr:colOff>304800</xdr:colOff>
      <xdr:row>3</xdr:row>
      <xdr:rowOff>23812</xdr:rowOff>
    </xdr:from>
    <xdr:ext cx="1967077" cy="7572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00000000-0008-0000-0300-000002000000}"/>
                </a:ext>
              </a:extLst>
            </xdr:cNvPr>
            <xdr:cNvSpPr txBox="1"/>
          </xdr:nvSpPr>
          <xdr:spPr>
            <a:xfrm>
              <a:off x="2905125" y="671512"/>
              <a:ext cx="1967077" cy="7572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800" b="1" i="1">
                        <a:latin typeface="Cambria Math" panose="02040503050406030204" pitchFamily="18" charset="0"/>
                      </a:rPr>
                      <m:t>𝑹</m:t>
                    </m:r>
                    <m:r>
                      <a:rPr lang="es-ES" sz="1800" b="1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ES" sz="1800" b="1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d>
                          <m:dPr>
                            <m:ctrlPr>
                              <a:rPr lang="es-ES" sz="18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s-ES" sz="18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𝑪</m:t>
                            </m:r>
                            <m:r>
                              <a:rPr lang="es-ES" sz="18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.</m:t>
                            </m:r>
                            <m:r>
                              <a:rPr lang="es-ES" sz="18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𝑪</m:t>
                            </m:r>
                            <m:r>
                              <a:rPr lang="es-ES" sz="18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.∗</m:t>
                            </m:r>
                            <m:f>
                              <m:fPr>
                                <m:ctrlPr>
                                  <a:rPr lang="es-ES" sz="1800" b="1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s-ES" sz="1800" b="1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𝟔𝟎</m:t>
                                </m:r>
                              </m:num>
                              <m:den>
                                <m:r>
                                  <a:rPr lang="es-ES" sz="1800" b="1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𝑻</m:t>
                                </m:r>
                              </m:den>
                            </m:f>
                          </m:e>
                        </m:d>
                        <m:r>
                          <a:rPr lang="es-ES" sz="18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∗</m:t>
                        </m:r>
                        <m:r>
                          <a:rPr lang="es-ES" sz="18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𝑬</m:t>
                        </m:r>
                      </m:num>
                      <m:den>
                        <m:r>
                          <a:rPr lang="es-ES" sz="1800" b="1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s-ES" sz="1800" b="1" i="1">
                            <a:latin typeface="Cambria Math" panose="02040503050406030204" pitchFamily="18" charset="0"/>
                          </a:rPr>
                          <m:t>𝟏</m:t>
                        </m:r>
                        <m:r>
                          <a:rPr lang="es-ES" sz="1800" b="1" i="1">
                            <a:latin typeface="Cambria Math" panose="02040503050406030204" pitchFamily="18" charset="0"/>
                          </a:rPr>
                          <m:t>+</m:t>
                        </m:r>
                        <m:r>
                          <a:rPr lang="es-ES" sz="1800" b="1" i="1">
                            <a:latin typeface="Cambria Math" panose="02040503050406030204" pitchFamily="18" charset="0"/>
                          </a:rPr>
                          <m:t>𝑭</m:t>
                        </m:r>
                        <m:r>
                          <a:rPr lang="es-ES" sz="1800" b="1" i="1">
                            <a:latin typeface="Cambria Math" panose="02040503050406030204" pitchFamily="18" charset="0"/>
                          </a:rPr>
                          <m:t>.</m:t>
                        </m:r>
                        <m:r>
                          <a:rPr lang="es-ES" sz="1800" b="1" i="1">
                            <a:latin typeface="Cambria Math" panose="02040503050406030204" pitchFamily="18" charset="0"/>
                          </a:rPr>
                          <m:t>𝑯</m:t>
                        </m:r>
                        <m:r>
                          <a:rPr lang="es-ES" sz="1800" b="1" i="1">
                            <a:latin typeface="Cambria Math" panose="02040503050406030204" pitchFamily="18" charset="0"/>
                          </a:rPr>
                          <m:t>)</m:t>
                        </m:r>
                      </m:den>
                    </m:f>
                  </m:oMath>
                </m:oMathPara>
              </a14:m>
              <a:endParaRPr lang="es-ES" sz="1800" b="1" i="1"/>
            </a:p>
          </xdr:txBody>
        </xdr:sp>
      </mc:Choice>
      <mc:Fallback xmlns="">
        <xdr:sp macro="" textlink="">
          <xdr:nvSpPr>
            <xdr:cNvPr id="2" name="CuadroTexto 1"/>
            <xdr:cNvSpPr txBox="1"/>
          </xdr:nvSpPr>
          <xdr:spPr>
            <a:xfrm>
              <a:off x="2905125" y="671512"/>
              <a:ext cx="1967077" cy="7572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1800" b="1" i="0">
                  <a:latin typeface="Cambria Math" panose="02040503050406030204" pitchFamily="18" charset="0"/>
                </a:rPr>
                <a:t>𝑹=(</a:t>
              </a:r>
              <a:r>
                <a:rPr lang="es-ES" sz="18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s-ES" sz="18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𝑪.𝑪.</a:t>
              </a:r>
              <a:r>
                <a:rPr lang="es-ES" sz="18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∗𝟔𝟎/𝑻)∗𝑬</a:t>
              </a:r>
              <a:r>
                <a:rPr lang="es-ES" sz="18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</a:t>
              </a:r>
              <a:r>
                <a:rPr lang="es-ES" sz="1800" b="1" i="0">
                  <a:latin typeface="Cambria Math" panose="02040503050406030204" pitchFamily="18" charset="0"/>
                </a:rPr>
                <a:t>(𝟏+𝑭.𝑯))</a:t>
              </a:r>
              <a:endParaRPr lang="es-ES" sz="1800" b="1" i="1"/>
            </a:p>
          </xdr:txBody>
        </xdr:sp>
      </mc:Fallback>
    </mc:AlternateContent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1095374</xdr:colOff>
      <xdr:row>3</xdr:row>
      <xdr:rowOff>33337</xdr:rowOff>
    </xdr:from>
    <xdr:ext cx="3590925" cy="52232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00000000-0008-0000-0400-000002000000}"/>
                </a:ext>
              </a:extLst>
            </xdr:cNvPr>
            <xdr:cNvSpPr txBox="1"/>
          </xdr:nvSpPr>
          <xdr:spPr>
            <a:xfrm>
              <a:off x="2705099" y="681037"/>
              <a:ext cx="3590925" cy="52232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ES" sz="2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R= (Q</a:t>
              </a:r>
              <a14:m>
                <m:oMath xmlns:m="http://schemas.openxmlformats.org/officeDocument/2006/math">
                  <m:r>
                    <a:rPr lang="es-ES" sz="2400" b="0" i="0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∗</m:t>
                  </m:r>
                  <m:f>
                    <m:fPr>
                      <m:ctrlPr>
                        <a:rPr lang="es-ES" sz="24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fPr>
                    <m:num>
                      <m:r>
                        <a:rPr lang="es-ES" sz="24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3600</m:t>
                      </m:r>
                    </m:num>
                    <m:den>
                      <m:r>
                        <a:rPr lang="es-ES" sz="24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𝑇</m:t>
                      </m:r>
                    </m:den>
                  </m:f>
                  <m:r>
                    <a:rPr lang="es-ES" sz="24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∗</m:t>
                  </m:r>
                  <m:r>
                    <a:rPr lang="es-ES" sz="24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𝐸</m:t>
                  </m:r>
                </m:oMath>
              </a14:m>
              <a:r>
                <a:rPr lang="es-ES" sz="2400">
                  <a:latin typeface="Cambria Math" panose="02040503050406030204" pitchFamily="18" charset="0"/>
                  <a:ea typeface="Cambria Math" panose="02040503050406030204" pitchFamily="18" charset="0"/>
                </a:rPr>
                <a:t>)/(1+FH)</a:t>
              </a:r>
            </a:p>
          </xdr:txBody>
        </xdr:sp>
      </mc:Choice>
      <mc:Fallback xmlns="">
        <xdr:sp macro="" textlink="">
          <xdr:nvSpPr>
            <xdr:cNvPr id="2" name="CuadroTexto 1"/>
            <xdr:cNvSpPr txBox="1"/>
          </xdr:nvSpPr>
          <xdr:spPr>
            <a:xfrm>
              <a:off x="2705099" y="681037"/>
              <a:ext cx="3590925" cy="52232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ES" sz="2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R= (Q∗3600/𝑇∗𝐸</a:t>
              </a:r>
              <a:r>
                <a:rPr lang="es-ES" sz="2400">
                  <a:latin typeface="Cambria Math" panose="02040503050406030204" pitchFamily="18" charset="0"/>
                  <a:ea typeface="Cambria Math" panose="02040503050406030204" pitchFamily="18" charset="0"/>
                </a:rPr>
                <a:t>)/(1+FH)</a:t>
              </a:r>
            </a:p>
          </xdr:txBody>
        </xdr:sp>
      </mc:Fallback>
    </mc:AlternateContent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742950</xdr:colOff>
          <xdr:row>23</xdr:row>
          <xdr:rowOff>47625</xdr:rowOff>
        </xdr:from>
        <xdr:to>
          <xdr:col>3</xdr:col>
          <xdr:colOff>0</xdr:colOff>
          <xdr:row>23</xdr:row>
          <xdr:rowOff>466725</xdr:rowOff>
        </xdr:to>
        <xdr:sp macro="" textlink="">
          <xdr:nvSpPr>
            <xdr:cNvPr id="2063" name="Object 15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00000000-0008-0000-0400-00000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295275</xdr:colOff>
          <xdr:row>30</xdr:row>
          <xdr:rowOff>57150</xdr:rowOff>
        </xdr:from>
        <xdr:to>
          <xdr:col>2</xdr:col>
          <xdr:colOff>1428750</xdr:colOff>
          <xdr:row>30</xdr:row>
          <xdr:rowOff>485775</xdr:rowOff>
        </xdr:to>
        <xdr:sp macro="" textlink="">
          <xdr:nvSpPr>
            <xdr:cNvPr id="20481" name="Object 1" hidden="1">
              <a:extLst>
                <a:ext uri="{63B3BB69-23CF-44E3-9099-C40C66FF867C}">
                  <a14:compatExt spid="_x0000_s20481"/>
                </a:ext>
                <a:ext uri="{FF2B5EF4-FFF2-40B4-BE49-F238E27FC236}">
                  <a16:creationId xmlns:a16="http://schemas.microsoft.com/office/drawing/2014/main" id="{00000000-0008-0000-0500-000001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3</xdr:col>
      <xdr:colOff>56030</xdr:colOff>
      <xdr:row>19</xdr:row>
      <xdr:rowOff>44824</xdr:rowOff>
    </xdr:from>
    <xdr:ext cx="2487706" cy="71717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00000000-0008-0000-0500-000004000000}"/>
                </a:ext>
              </a:extLst>
            </xdr:cNvPr>
            <xdr:cNvSpPr txBox="1"/>
          </xdr:nvSpPr>
          <xdr:spPr>
            <a:xfrm>
              <a:off x="2577354" y="2050677"/>
              <a:ext cx="2487706" cy="71717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2400" b="1" i="1">
                        <a:latin typeface="Cambria Math" panose="02040503050406030204" pitchFamily="18" charset="0"/>
                      </a:rPr>
                      <m:t>𝑻</m:t>
                    </m:r>
                    <m:r>
                      <a:rPr lang="es-ES" sz="2400" b="1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ES" sz="2400" b="1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ES" sz="2400" b="1" i="1">
                            <a:latin typeface="Cambria Math" panose="02040503050406030204" pitchFamily="18" charset="0"/>
                          </a:rPr>
                          <m:t>𝒅</m:t>
                        </m:r>
                      </m:num>
                      <m:den>
                        <m:r>
                          <a:rPr lang="es-ES" sz="24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𝑽𝒂</m:t>
                        </m:r>
                      </m:den>
                    </m:f>
                    <m:r>
                      <a:rPr lang="es-ES" sz="2400" b="1" i="1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es-ES" sz="24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s-ES" sz="24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𝒅</m:t>
                        </m:r>
                      </m:num>
                      <m:den>
                        <m:r>
                          <a:rPr lang="es-ES" sz="24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𝑽𝒓</m:t>
                        </m:r>
                      </m:den>
                    </m:f>
                    <m:r>
                      <a:rPr lang="es-ES" sz="2400" b="1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r>
                      <a:rPr lang="es-ES" sz="2400" b="1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𝒕𝒇</m:t>
                    </m:r>
                  </m:oMath>
                </m:oMathPara>
              </a14:m>
              <a:endParaRPr lang="es-ES" sz="1500" b="1" i="1"/>
            </a:p>
          </xdr:txBody>
        </xdr:sp>
      </mc:Choice>
      <mc:Fallback xmlns="">
        <xdr:sp macro="" textlink="">
          <xdr:nvSpPr>
            <xdr:cNvPr id="4" name="CuadroTexto 3"/>
            <xdr:cNvSpPr txBox="1"/>
          </xdr:nvSpPr>
          <xdr:spPr>
            <a:xfrm>
              <a:off x="2577354" y="2050677"/>
              <a:ext cx="2487706" cy="71717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s-ES" sz="2400" b="1" i="0">
                  <a:latin typeface="Cambria Math" panose="02040503050406030204" pitchFamily="18" charset="0"/>
                </a:rPr>
                <a:t>𝑻=𝒅/</a:t>
              </a:r>
              <a:r>
                <a:rPr lang="es-ES" sz="24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𝑽𝒂</a:t>
              </a:r>
              <a:r>
                <a:rPr lang="es-ES" sz="2400" b="1" i="0">
                  <a:latin typeface="Cambria Math" panose="02040503050406030204" pitchFamily="18" charset="0"/>
                </a:rPr>
                <a:t>+</a:t>
              </a:r>
              <a:r>
                <a:rPr lang="es-ES" sz="24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𝒅/𝑽</a:t>
              </a:r>
              <a:r>
                <a:rPr lang="es-ES" sz="24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𝒓+𝒕𝒇</a:t>
              </a:r>
              <a:endParaRPr lang="es-ES" sz="1500" b="1" i="1"/>
            </a:p>
          </xdr:txBody>
        </xdr:sp>
      </mc:Fallback>
    </mc:AlternateContent>
    <xdr:clientData/>
  </xdr:oneCellAnchor>
  <xdr:oneCellAnchor>
    <xdr:from>
      <xdr:col>1</xdr:col>
      <xdr:colOff>739588</xdr:colOff>
      <xdr:row>3</xdr:row>
      <xdr:rowOff>56030</xdr:rowOff>
    </xdr:from>
    <xdr:ext cx="5423649" cy="66114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00000000-0008-0000-0500-000006000000}"/>
                </a:ext>
              </a:extLst>
            </xdr:cNvPr>
            <xdr:cNvSpPr txBox="1"/>
          </xdr:nvSpPr>
          <xdr:spPr>
            <a:xfrm>
              <a:off x="1501588" y="705971"/>
              <a:ext cx="5423649" cy="6611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800" b="1" i="1">
                        <a:latin typeface="Cambria Math" panose="02040503050406030204" pitchFamily="18" charset="0"/>
                      </a:rPr>
                      <m:t>𝑸𝑻</m:t>
                    </m:r>
                    <m:r>
                      <a:rPr lang="es-ES" sz="1800" b="1" i="1">
                        <a:latin typeface="Cambria Math" panose="02040503050406030204" pitchFamily="18" charset="0"/>
                      </a:rPr>
                      <m:t>=(</m:t>
                    </m:r>
                    <m:d>
                      <m:dPr>
                        <m:ctrlPr>
                          <a:rPr lang="es-ES" sz="1800" b="1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s-ES" sz="1800" b="1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ES" sz="1800" b="1" i="1">
                                <a:latin typeface="Cambria Math" panose="02040503050406030204" pitchFamily="18" charset="0"/>
                              </a:rPr>
                              <m:t>𝟔𝟎</m:t>
                            </m:r>
                            <m:r>
                              <a:rPr lang="es-ES" sz="1800" b="1" i="1">
                                <a:latin typeface="Cambria Math" panose="02040503050406030204" pitchFamily="18" charset="0"/>
                              </a:rPr>
                              <m:t>∗</m:t>
                            </m:r>
                            <m:r>
                              <a:rPr lang="es-ES" sz="1800" b="1" i="1">
                                <a:latin typeface="Cambria Math" panose="02040503050406030204" pitchFamily="18" charset="0"/>
                              </a:rPr>
                              <m:t>𝒅</m:t>
                            </m:r>
                            <m:r>
                              <a:rPr lang="es-ES" sz="1800" b="1" i="1">
                                <a:latin typeface="Cambria Math" panose="02040503050406030204" pitchFamily="18" charset="0"/>
                              </a:rPr>
                              <m:t>∗</m:t>
                            </m:r>
                            <m:r>
                              <a:rPr lang="es-ES" sz="1800" b="1" i="1">
                                <a:latin typeface="Cambria Math" panose="02040503050406030204" pitchFamily="18" charset="0"/>
                              </a:rPr>
                              <m:t>𝒆</m:t>
                            </m:r>
                            <m:r>
                              <a:rPr lang="es-ES" sz="1800" b="1" i="1">
                                <a:latin typeface="Cambria Math" panose="02040503050406030204" pitchFamily="18" charset="0"/>
                              </a:rPr>
                              <m:t>∗</m:t>
                            </m:r>
                            <m:d>
                              <m:dPr>
                                <m:ctrlPr>
                                  <a:rPr lang="es-ES" sz="1800" b="1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s-ES" sz="1800" b="1" i="1">
                                    <a:latin typeface="Cambria Math" panose="02040503050406030204" pitchFamily="18" charset="0"/>
                                  </a:rPr>
                                  <m:t>𝑳𝒆</m:t>
                                </m:r>
                                <m:r>
                                  <a:rPr lang="es-ES" sz="1800" b="1" i="1">
                                    <a:latin typeface="Cambria Math" panose="02040503050406030204" pitchFamily="18" charset="0"/>
                                  </a:rPr>
                                  <m:t>−</m:t>
                                </m:r>
                                <m:r>
                                  <a:rPr lang="es-ES" sz="1800" b="1" i="1">
                                    <a:latin typeface="Cambria Math" panose="02040503050406030204" pitchFamily="18" charset="0"/>
                                  </a:rPr>
                                  <m:t>𝑳𝒐</m:t>
                                </m:r>
                              </m:e>
                            </m:d>
                          </m:num>
                          <m:den>
                            <m:r>
                              <a:rPr lang="es-ES" sz="18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𝑵</m:t>
                            </m:r>
                            <m:r>
                              <a:rPr lang="es-ES" sz="18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∗</m:t>
                            </m:r>
                            <m:r>
                              <a:rPr lang="es-ES" sz="18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𝑻</m:t>
                            </m:r>
                          </m:den>
                        </m:f>
                      </m:e>
                    </m:d>
                    <m:r>
                      <a:rPr lang="es-ES" sz="1800" b="1" i="1">
                        <a:latin typeface="Cambria Math" panose="02040503050406030204" pitchFamily="18" charset="0"/>
                      </a:rPr>
                      <m:t>∗</m:t>
                    </m:r>
                    <m:r>
                      <a:rPr lang="es-ES" sz="1800" b="1" i="1">
                        <a:latin typeface="Cambria Math" panose="02040503050406030204" pitchFamily="18" charset="0"/>
                      </a:rPr>
                      <m:t>𝑬</m:t>
                    </m:r>
                    <m:r>
                      <a:rPr lang="es-ES" sz="1800" b="1" i="1">
                        <a:latin typeface="Cambria Math" panose="02040503050406030204" pitchFamily="18" charset="0"/>
                      </a:rPr>
                      <m:t>)/(</m:t>
                    </m:r>
                    <m:r>
                      <a:rPr lang="es-ES" sz="1800" b="1" i="1">
                        <a:latin typeface="Cambria Math" panose="02040503050406030204" pitchFamily="18" charset="0"/>
                      </a:rPr>
                      <m:t>𝟏</m:t>
                    </m:r>
                    <m:r>
                      <a:rPr lang="es-ES" sz="1800" b="1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s-ES" sz="1800" b="1" i="1">
                        <a:latin typeface="Cambria Math" panose="02040503050406030204" pitchFamily="18" charset="0"/>
                      </a:rPr>
                      <m:t>𝑭</m:t>
                    </m:r>
                    <m:r>
                      <a:rPr lang="es-ES" sz="1800" b="1" i="1">
                        <a:latin typeface="Cambria Math" panose="02040503050406030204" pitchFamily="18" charset="0"/>
                      </a:rPr>
                      <m:t>.</m:t>
                    </m:r>
                    <m:r>
                      <a:rPr lang="es-ES" sz="1800" b="1" i="1">
                        <a:latin typeface="Cambria Math" panose="02040503050406030204" pitchFamily="18" charset="0"/>
                      </a:rPr>
                      <m:t>𝑯</m:t>
                    </m:r>
                    <m:r>
                      <a:rPr lang="es-ES" sz="1800" b="1" i="1">
                        <a:latin typeface="Cambria Math" panose="02040503050406030204" pitchFamily="18" charset="0"/>
                      </a:rPr>
                      <m:t>.)</m:t>
                    </m:r>
                  </m:oMath>
                </m:oMathPara>
              </a14:m>
              <a:endParaRPr lang="es-ES" sz="1200" b="1" i="1"/>
            </a:p>
          </xdr:txBody>
        </xdr:sp>
      </mc:Choice>
      <mc:Fallback xmlns="">
        <xdr:sp macro="" textlink="">
          <xdr:nvSpPr>
            <xdr:cNvPr id="6" name="CuadroTexto 5"/>
            <xdr:cNvSpPr txBox="1"/>
          </xdr:nvSpPr>
          <xdr:spPr>
            <a:xfrm>
              <a:off x="1501588" y="705971"/>
              <a:ext cx="5423649" cy="6611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s-ES" sz="1800" b="1" i="0">
                  <a:latin typeface="Cambria Math" panose="02040503050406030204" pitchFamily="18" charset="0"/>
                </a:rPr>
                <a:t>𝑸𝑻=(((𝟔𝟎∗𝒅∗𝒆∗(𝑳𝒆−𝑳𝒐))/(</a:t>
              </a:r>
              <a:r>
                <a:rPr lang="es-ES" sz="18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𝑵∗𝑻))</a:t>
              </a:r>
              <a:r>
                <a:rPr lang="es-ES" sz="1800" b="1" i="0">
                  <a:latin typeface="Cambria Math" panose="02040503050406030204" pitchFamily="18" charset="0"/>
                </a:rPr>
                <a:t>∗𝑬)/(𝟏+𝑭.𝑯.)</a:t>
              </a:r>
              <a:endParaRPr lang="es-ES" sz="1200" b="1" i="1"/>
            </a:p>
          </xdr:txBody>
        </xdr:sp>
      </mc:Fallback>
    </mc:AlternateContent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457200</xdr:colOff>
          <xdr:row>28</xdr:row>
          <xdr:rowOff>38100</xdr:rowOff>
        </xdr:from>
        <xdr:to>
          <xdr:col>3</xdr:col>
          <xdr:colOff>495300</xdr:colOff>
          <xdr:row>28</xdr:row>
          <xdr:rowOff>476250</xdr:rowOff>
        </xdr:to>
        <xdr:sp macro="" textlink="">
          <xdr:nvSpPr>
            <xdr:cNvPr id="23553" name="Object 1" hidden="1">
              <a:extLst>
                <a:ext uri="{63B3BB69-23CF-44E3-9099-C40C66FF867C}">
                  <a14:compatExt spid="_x0000_s23553"/>
                </a:ext>
                <a:ext uri="{FF2B5EF4-FFF2-40B4-BE49-F238E27FC236}">
                  <a16:creationId xmlns:a16="http://schemas.microsoft.com/office/drawing/2014/main" id="{00000000-0008-0000-0600-000001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1</xdr:col>
      <xdr:colOff>733425</xdr:colOff>
      <xdr:row>3</xdr:row>
      <xdr:rowOff>0</xdr:rowOff>
    </xdr:from>
    <xdr:ext cx="2867025" cy="7048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00000000-0008-0000-0600-000003000000}"/>
                </a:ext>
              </a:extLst>
            </xdr:cNvPr>
            <xdr:cNvSpPr txBox="1"/>
          </xdr:nvSpPr>
          <xdr:spPr>
            <a:xfrm>
              <a:off x="1495425" y="628650"/>
              <a:ext cx="2867025" cy="7048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400" b="1" i="1">
                        <a:latin typeface="Cambria Math" panose="02040503050406030204" pitchFamily="18" charset="0"/>
                      </a:rPr>
                      <m:t>𝑹</m:t>
                    </m:r>
                    <m:r>
                      <a:rPr lang="es-ES" sz="1400" b="1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ES" sz="1400" b="1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d>
                          <m:dPr>
                            <m:ctrlPr>
                              <a:rPr lang="es-ES" sz="1400" b="1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d>
                              <m:dPr>
                                <m:ctrlPr>
                                  <a:rPr lang="es-ES" sz="1400" b="1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es-ES" sz="1400" b="1" i="1">
                                        <a:latin typeface="Cambria Math" panose="02040503050406030204" pitchFamily="18" charset="0"/>
                                      </a:rPr>
                                    </m:ctrlPr>
                                  </m:fPr>
                                  <m:num>
                                    <m:r>
                                      <a:rPr lang="es-ES" sz="1400" b="1" i="1">
                                        <a:latin typeface="Cambria Math" panose="02040503050406030204" pitchFamily="18" charset="0"/>
                                      </a:rPr>
                                      <m:t>𝑱</m:t>
                                    </m:r>
                                  </m:num>
                                  <m:den>
                                    <m:r>
                                      <a:rPr lang="es-ES" sz="1400" b="1" i="1">
                                        <a:latin typeface="Cambria Math" panose="02040503050406030204" pitchFamily="18" charset="0"/>
                                      </a:rPr>
                                      <m:t>𝑻</m:t>
                                    </m:r>
                                  </m:den>
                                </m:f>
                              </m:e>
                            </m:d>
                            <m:r>
                              <a:rPr lang="es-ES" sz="1400" b="1" i="1">
                                <a:latin typeface="Cambria Math" panose="02040503050406030204" pitchFamily="18" charset="0"/>
                              </a:rPr>
                              <m:t>∗</m:t>
                            </m:r>
                            <m:r>
                              <a:rPr lang="es-ES" sz="1400" b="1" i="1">
                                <a:latin typeface="Cambria Math" panose="02040503050406030204" pitchFamily="18" charset="0"/>
                              </a:rPr>
                              <m:t>𝑸</m:t>
                            </m:r>
                          </m:e>
                        </m:d>
                        <m:r>
                          <a:rPr lang="es-ES" sz="1400" b="1" i="1">
                            <a:latin typeface="Cambria Math" panose="02040503050406030204" pitchFamily="18" charset="0"/>
                          </a:rPr>
                          <m:t>∗</m:t>
                        </m:r>
                        <m:r>
                          <a:rPr lang="es-ES" sz="1400" b="1" i="1">
                            <a:latin typeface="Cambria Math" panose="02040503050406030204" pitchFamily="18" charset="0"/>
                          </a:rPr>
                          <m:t>𝑬</m:t>
                        </m:r>
                        <m:r>
                          <a:rPr lang="es-ES" sz="1400" b="1" i="1">
                            <a:latin typeface="Cambria Math" panose="02040503050406030204" pitchFamily="18" charset="0"/>
                          </a:rPr>
                          <m:t>/(</m:t>
                        </m:r>
                        <m:r>
                          <a:rPr lang="es-ES" sz="1400" b="1" i="1">
                            <a:latin typeface="Cambria Math" panose="02040503050406030204" pitchFamily="18" charset="0"/>
                          </a:rPr>
                          <m:t>𝟏</m:t>
                        </m:r>
                        <m:r>
                          <a:rPr lang="es-ES" sz="1400" b="1" i="1">
                            <a:latin typeface="Cambria Math" panose="02040503050406030204" pitchFamily="18" charset="0"/>
                          </a:rPr>
                          <m:t>+</m:t>
                        </m:r>
                        <m:r>
                          <a:rPr lang="es-ES" sz="1400" b="1" i="1">
                            <a:latin typeface="Cambria Math" panose="02040503050406030204" pitchFamily="18" charset="0"/>
                          </a:rPr>
                          <m:t>𝑭</m:t>
                        </m:r>
                        <m:r>
                          <a:rPr lang="es-ES" sz="1400" b="1" i="1">
                            <a:latin typeface="Cambria Math" panose="02040503050406030204" pitchFamily="18" charset="0"/>
                          </a:rPr>
                          <m:t>.</m:t>
                        </m:r>
                        <m:r>
                          <a:rPr lang="es-ES" sz="1400" b="1" i="1">
                            <a:latin typeface="Cambria Math" panose="02040503050406030204" pitchFamily="18" charset="0"/>
                          </a:rPr>
                          <m:t>𝑯</m:t>
                        </m:r>
                        <m:r>
                          <a:rPr lang="es-ES" sz="1400" b="1" i="1">
                            <a:latin typeface="Cambria Math" panose="02040503050406030204" pitchFamily="18" charset="0"/>
                          </a:rPr>
                          <m:t>)</m:t>
                        </m:r>
                      </m:num>
                      <m:den>
                        <m:r>
                          <a:rPr lang="es-ES" sz="1400" b="1" i="1">
                            <a:latin typeface="Cambria Math" panose="02040503050406030204" pitchFamily="18" charset="0"/>
                          </a:rPr>
                          <m:t>𝟖</m:t>
                        </m:r>
                      </m:den>
                    </m:f>
                  </m:oMath>
                </m:oMathPara>
              </a14:m>
              <a:endParaRPr lang="es-ES" sz="1400" b="1" i="1"/>
            </a:p>
          </xdr:txBody>
        </xdr:sp>
      </mc:Choice>
      <mc:Fallback xmlns="">
        <xdr:sp macro="" textlink="">
          <xdr:nvSpPr>
            <xdr:cNvPr id="3" name="CuadroTexto 2"/>
            <xdr:cNvSpPr txBox="1"/>
          </xdr:nvSpPr>
          <xdr:spPr>
            <a:xfrm>
              <a:off x="1495425" y="628650"/>
              <a:ext cx="2867025" cy="7048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/>
              <a:r>
                <a:rPr lang="es-ES" sz="1400" b="1" i="0">
                  <a:latin typeface="Cambria Math" panose="02040503050406030204" pitchFamily="18" charset="0"/>
                </a:rPr>
                <a:t>𝑹=(((𝑱/𝑻)∗𝑸)∗𝑬/(𝟏+𝑭.𝑯))/𝟖</a:t>
              </a:r>
              <a:endParaRPr lang="es-ES" sz="1400" b="1" i="1"/>
            </a:p>
          </xdr:txBody>
        </xdr:sp>
      </mc:Fallback>
    </mc:AlternateContent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22</xdr:row>
          <xdr:rowOff>28575</xdr:rowOff>
        </xdr:from>
        <xdr:to>
          <xdr:col>3</xdr:col>
          <xdr:colOff>333375</xdr:colOff>
          <xdr:row>22</xdr:row>
          <xdr:rowOff>628650</xdr:rowOff>
        </xdr:to>
        <xdr:sp macro="" textlink="">
          <xdr:nvSpPr>
            <xdr:cNvPr id="24579" name="Object 3" hidden="1">
              <a:extLst>
                <a:ext uri="{63B3BB69-23CF-44E3-9099-C40C66FF867C}">
                  <a14:compatExt spid="_x0000_s24579"/>
                </a:ext>
                <a:ext uri="{FF2B5EF4-FFF2-40B4-BE49-F238E27FC236}">
                  <a16:creationId xmlns:a16="http://schemas.microsoft.com/office/drawing/2014/main" id="{00000000-0008-0000-0700-000003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0</xdr:col>
      <xdr:colOff>19051</xdr:colOff>
      <xdr:row>3</xdr:row>
      <xdr:rowOff>38099</xdr:rowOff>
    </xdr:from>
    <xdr:ext cx="6115050" cy="86677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00000000-0008-0000-0700-000004000000}"/>
                </a:ext>
              </a:extLst>
            </xdr:cNvPr>
            <xdr:cNvSpPr txBox="1"/>
          </xdr:nvSpPr>
          <xdr:spPr>
            <a:xfrm>
              <a:off x="19051" y="657224"/>
              <a:ext cx="6115050" cy="8667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200" b="1" i="1">
                        <a:latin typeface="Cambria Math" panose="02040503050406030204" pitchFamily="18" charset="0"/>
                      </a:rPr>
                      <m:t>𝑹</m:t>
                    </m:r>
                    <m:r>
                      <a:rPr lang="es-ES" sz="1200" b="1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ES" sz="1200" b="1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f>
                          <m:fPr>
                            <m:ctrlPr>
                              <a:rPr lang="es-ES" sz="1200" b="1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ES" sz="1200" b="1" i="1">
                                <a:latin typeface="Cambria Math" panose="02040503050406030204" pitchFamily="18" charset="0"/>
                              </a:rPr>
                              <m:t>𝑸</m:t>
                            </m:r>
                          </m:num>
                          <m:den>
                            <m:d>
                              <m:dPr>
                                <m:ctrlPr>
                                  <a:rPr lang="es-ES" sz="1200" b="1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d>
                                  <m:dPr>
                                    <m:ctrlPr>
                                      <a:rPr lang="es-ES" sz="1100" b="1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r>
                                      <a:rPr lang="es-ES" sz="1100" b="1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𝑻</m:t>
                                    </m:r>
                                    <m:r>
                                      <a:rPr lang="es-ES" sz="1100" b="1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𝟏</m:t>
                                    </m:r>
                                    <m:r>
                                      <a:rPr lang="es-ES" sz="1100" b="1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+</m:t>
                                    </m:r>
                                    <m:r>
                                      <a:rPr lang="es-ES" sz="1100" b="1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𝑻</m:t>
                                    </m:r>
                                    <m:r>
                                      <a:rPr lang="es-ES" sz="1100" b="1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𝟐</m:t>
                                    </m:r>
                                    <m:r>
                                      <a:rPr lang="es-ES" sz="1100" b="1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+</m:t>
                                    </m:r>
                                    <m:r>
                                      <a:rPr lang="es-ES" sz="1100" b="1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𝑻</m:t>
                                    </m:r>
                                    <m:r>
                                      <a:rPr lang="es-ES" sz="1100" b="1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𝟑</m:t>
                                    </m:r>
                                    <m:r>
                                      <a:rPr lang="es-ES" sz="1100" b="1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+</m:t>
                                    </m:r>
                                    <m:r>
                                      <a:rPr lang="es-ES" sz="1100" b="1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𝑻</m:t>
                                    </m:r>
                                    <m:r>
                                      <a:rPr lang="es-ES" sz="1100" b="1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𝟒</m:t>
                                    </m:r>
                                  </m:e>
                                </m:d>
                                <m:r>
                                  <a:rPr lang="es-ES" sz="1100" b="1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+</m:t>
                                </m:r>
                                <m:d>
                                  <m:dPr>
                                    <m:ctrlPr>
                                      <a:rPr lang="es-ES" sz="1100" b="1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f>
                                      <m:fPr>
                                        <m:ctrlPr>
                                          <a:rPr lang="es-ES" sz="1100" b="1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fPr>
                                      <m:num>
                                        <m:r>
                                          <a:rPr lang="es-ES" sz="1100" b="1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𝑫</m:t>
                                        </m:r>
                                      </m:num>
                                      <m:den>
                                        <m:r>
                                          <a:rPr lang="es-ES" sz="1100" b="1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𝑽</m:t>
                                        </m:r>
                                        <m:r>
                                          <a:rPr lang="es-ES" sz="1100" b="1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𝟏</m:t>
                                        </m:r>
                                      </m:den>
                                    </m:f>
                                  </m:e>
                                </m:d>
                                <m:r>
                                  <a:rPr lang="es-ES" sz="1100" b="1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+</m:t>
                                </m:r>
                                <m:d>
                                  <m:dPr>
                                    <m:ctrlPr>
                                      <a:rPr lang="es-ES" sz="1100" b="1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f>
                                      <m:fPr>
                                        <m:ctrlPr>
                                          <a:rPr lang="es-ES" sz="1100" b="1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fPr>
                                      <m:num>
                                        <m:r>
                                          <a:rPr lang="es-ES" sz="1100" b="1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𝑫</m:t>
                                        </m:r>
                                      </m:num>
                                      <m:den>
                                        <m:r>
                                          <a:rPr lang="es-ES" sz="1100" b="1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𝑽</m:t>
                                        </m:r>
                                        <m:r>
                                          <a:rPr lang="es-ES" sz="1100" b="1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𝟐</m:t>
                                        </m:r>
                                      </m:den>
                                    </m:f>
                                  </m:e>
                                </m:d>
                              </m:e>
                            </m:d>
                          </m:den>
                        </m:f>
                        <m:r>
                          <a:rPr lang="es-ES" sz="1200" b="1" i="1">
                            <a:latin typeface="Cambria Math" panose="02040503050406030204" pitchFamily="18" charset="0"/>
                          </a:rPr>
                          <m:t>∗</m:t>
                        </m:r>
                        <m:r>
                          <a:rPr lang="es-ES" sz="1200" b="1" i="1">
                            <a:latin typeface="Cambria Math" panose="02040503050406030204" pitchFamily="18" charset="0"/>
                          </a:rPr>
                          <m:t>𝑬</m:t>
                        </m:r>
                      </m:num>
                      <m:den>
                        <m:r>
                          <a:rPr lang="es-ES" sz="1200" b="1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s-ES" sz="1200" b="1" i="1">
                            <a:latin typeface="Cambria Math" panose="02040503050406030204" pitchFamily="18" charset="0"/>
                          </a:rPr>
                          <m:t>𝟏</m:t>
                        </m:r>
                        <m:r>
                          <a:rPr lang="es-ES" sz="1200" b="1" i="1">
                            <a:latin typeface="Cambria Math" panose="02040503050406030204" pitchFamily="18" charset="0"/>
                          </a:rPr>
                          <m:t>+</m:t>
                        </m:r>
                        <m:r>
                          <a:rPr lang="es-ES" sz="1200" b="1" i="1">
                            <a:latin typeface="Cambria Math" panose="02040503050406030204" pitchFamily="18" charset="0"/>
                          </a:rPr>
                          <m:t>𝑭𝑯</m:t>
                        </m:r>
                        <m:r>
                          <a:rPr lang="es-ES" sz="1200" b="1" i="1">
                            <a:latin typeface="Cambria Math" panose="02040503050406030204" pitchFamily="18" charset="0"/>
                          </a:rPr>
                          <m:t>)</m:t>
                        </m:r>
                      </m:den>
                    </m:f>
                  </m:oMath>
                </m:oMathPara>
              </a14:m>
              <a:endParaRPr lang="es-ES" sz="1200" b="1" i="1"/>
            </a:p>
          </xdr:txBody>
        </xdr:sp>
      </mc:Choice>
      <mc:Fallback xmlns="">
        <xdr:sp macro="" textlink="">
          <xdr:nvSpPr>
            <xdr:cNvPr id="4" name="CuadroTexto 3"/>
            <xdr:cNvSpPr txBox="1"/>
          </xdr:nvSpPr>
          <xdr:spPr>
            <a:xfrm>
              <a:off x="19051" y="657224"/>
              <a:ext cx="6115050" cy="8667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/>
              <a:r>
                <a:rPr lang="es-ES" sz="1200" b="1" i="0">
                  <a:latin typeface="Cambria Math" panose="02040503050406030204" pitchFamily="18" charset="0"/>
                </a:rPr>
                <a:t>𝑹=(𝑸/((</a:t>
              </a:r>
              <a:r>
                <a:rPr lang="es-ES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s-ES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𝑻𝟏+𝑻𝟐+𝑻𝟑+𝑻𝟒)+(𝑫/𝑽𝟏)+(𝑫/𝑽𝟐)</a:t>
              </a:r>
              <a:r>
                <a:rPr lang="es-ES" sz="12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 )</a:t>
              </a:r>
              <a:r>
                <a:rPr lang="es-ES" sz="1200" b="1" i="0">
                  <a:latin typeface="Cambria Math" panose="02040503050406030204" pitchFamily="18" charset="0"/>
                </a:rPr>
                <a:t>∗𝑬)/((𝟏+𝑭𝑯))</a:t>
              </a:r>
              <a:endParaRPr lang="es-ES" sz="1200" b="1" i="1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 /><Relationship Id="rId3" Type="http://schemas.openxmlformats.org/officeDocument/2006/relationships/vmlDrawing" Target="../drawings/vmlDrawing1.vml" /><Relationship Id="rId7" Type="http://schemas.openxmlformats.org/officeDocument/2006/relationships/image" Target="../media/image2.emf" /><Relationship Id="rId2" Type="http://schemas.openxmlformats.org/officeDocument/2006/relationships/drawing" Target="../drawings/drawing1.xml" /><Relationship Id="rId1" Type="http://schemas.openxmlformats.org/officeDocument/2006/relationships/printerSettings" Target="../printerSettings/printerSettings1.bin" /><Relationship Id="rId6" Type="http://schemas.openxmlformats.org/officeDocument/2006/relationships/oleObject" Target="../embeddings/oleObject2.bin" /><Relationship Id="rId5" Type="http://schemas.openxmlformats.org/officeDocument/2006/relationships/image" Target="../media/image1.emf" /><Relationship Id="rId4" Type="http://schemas.openxmlformats.org/officeDocument/2006/relationships/oleObject" Target="../embeddings/oleObject1.bin" /><Relationship Id="rId9" Type="http://schemas.openxmlformats.org/officeDocument/2006/relationships/image" Target="../media/image3.emf" 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 /><Relationship Id="rId2" Type="http://schemas.openxmlformats.org/officeDocument/2006/relationships/drawing" Target="../drawings/drawing2.xml" /><Relationship Id="rId1" Type="http://schemas.openxmlformats.org/officeDocument/2006/relationships/printerSettings" Target="../printerSettings/printerSettings2.bin" /><Relationship Id="rId5" Type="http://schemas.openxmlformats.org/officeDocument/2006/relationships/image" Target="../media/image1.emf" /><Relationship Id="rId4" Type="http://schemas.openxmlformats.org/officeDocument/2006/relationships/oleObject" Target="../embeddings/oleObject4.bin" 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 /><Relationship Id="rId2" Type="http://schemas.openxmlformats.org/officeDocument/2006/relationships/drawing" Target="../drawings/drawing3.xml" /><Relationship Id="rId1" Type="http://schemas.openxmlformats.org/officeDocument/2006/relationships/printerSettings" Target="../printerSettings/printerSettings3.bin" /><Relationship Id="rId5" Type="http://schemas.openxmlformats.org/officeDocument/2006/relationships/image" Target="../media/image1.emf" /><Relationship Id="rId4" Type="http://schemas.openxmlformats.org/officeDocument/2006/relationships/oleObject" Target="../embeddings/oleObject5.bin" 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 /><Relationship Id="rId2" Type="http://schemas.openxmlformats.org/officeDocument/2006/relationships/drawing" Target="../drawings/drawing4.xml" /><Relationship Id="rId1" Type="http://schemas.openxmlformats.org/officeDocument/2006/relationships/printerSettings" Target="../printerSettings/printerSettings4.bin" /><Relationship Id="rId5" Type="http://schemas.openxmlformats.org/officeDocument/2006/relationships/image" Target="../media/image1.emf" /><Relationship Id="rId4" Type="http://schemas.openxmlformats.org/officeDocument/2006/relationships/oleObject" Target="../embeddings/oleObject6.bin" 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 /><Relationship Id="rId2" Type="http://schemas.openxmlformats.org/officeDocument/2006/relationships/drawing" Target="../drawings/drawing5.xml" /><Relationship Id="rId1" Type="http://schemas.openxmlformats.org/officeDocument/2006/relationships/printerSettings" Target="../printerSettings/printerSettings5.bin" /><Relationship Id="rId5" Type="http://schemas.openxmlformats.org/officeDocument/2006/relationships/image" Target="../media/image1.emf" /><Relationship Id="rId4" Type="http://schemas.openxmlformats.org/officeDocument/2006/relationships/oleObject" Target="../embeddings/oleObject7.bin" 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 /><Relationship Id="rId2" Type="http://schemas.openxmlformats.org/officeDocument/2006/relationships/drawing" Target="../drawings/drawing6.xml" /><Relationship Id="rId1" Type="http://schemas.openxmlformats.org/officeDocument/2006/relationships/printerSettings" Target="../printerSettings/printerSettings6.bin" /><Relationship Id="rId5" Type="http://schemas.openxmlformats.org/officeDocument/2006/relationships/image" Target="../media/image1.emf" /><Relationship Id="rId4" Type="http://schemas.openxmlformats.org/officeDocument/2006/relationships/oleObject" Target="../embeddings/oleObject8.bin" 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 /><Relationship Id="rId2" Type="http://schemas.openxmlformats.org/officeDocument/2006/relationships/drawing" Target="../drawings/drawing7.xml" /><Relationship Id="rId1" Type="http://schemas.openxmlformats.org/officeDocument/2006/relationships/printerSettings" Target="../printerSettings/printerSettings7.bin" /><Relationship Id="rId5" Type="http://schemas.openxmlformats.org/officeDocument/2006/relationships/image" Target="../media/image1.emf" /><Relationship Id="rId4" Type="http://schemas.openxmlformats.org/officeDocument/2006/relationships/oleObject" Target="../embeddings/oleObject9.bin" 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 /><Relationship Id="rId2" Type="http://schemas.openxmlformats.org/officeDocument/2006/relationships/drawing" Target="../drawings/drawing8.xml" /><Relationship Id="rId1" Type="http://schemas.openxmlformats.org/officeDocument/2006/relationships/printerSettings" Target="../printerSettings/printerSettings8.bin" /><Relationship Id="rId5" Type="http://schemas.openxmlformats.org/officeDocument/2006/relationships/image" Target="../media/image1.emf" /><Relationship Id="rId4" Type="http://schemas.openxmlformats.org/officeDocument/2006/relationships/oleObject" Target="../embeddings/oleObject10.bin" 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tabColor rgb="FF00B050"/>
  </sheetPr>
  <dimension ref="A1:K35"/>
  <sheetViews>
    <sheetView tabSelected="1" view="pageBreakPreview" topLeftCell="A7" zoomScale="85" zoomScaleNormal="100" zoomScaleSheetLayoutView="85" workbookViewId="0">
      <selection activeCell="H18" sqref="H18"/>
    </sheetView>
  </sheetViews>
  <sheetFormatPr defaultColWidth="10.76171875" defaultRowHeight="15" x14ac:dyDescent="0.2"/>
  <cols>
    <col min="1" max="2" width="13.31640625" customWidth="1"/>
    <col min="3" max="3" width="18.83203125" bestFit="1" customWidth="1"/>
    <col min="4" max="4" width="20.84765625" customWidth="1"/>
    <col min="5" max="5" width="23.5390625" bestFit="1" customWidth="1"/>
    <col min="6" max="6" width="13.71875" bestFit="1" customWidth="1"/>
    <col min="7" max="7" width="9.68359375" bestFit="1" customWidth="1"/>
    <col min="10" max="10" width="16.6796875" bestFit="1" customWidth="1"/>
    <col min="11" max="11" width="14.52734375" bestFit="1" customWidth="1"/>
  </cols>
  <sheetData>
    <row r="1" spans="1:11" ht="18.75" x14ac:dyDescent="0.25">
      <c r="A1" s="160" t="s">
        <v>0</v>
      </c>
      <c r="B1" s="161"/>
      <c r="C1" s="161"/>
      <c r="D1" s="161"/>
      <c r="E1" s="161"/>
      <c r="F1" s="161"/>
      <c r="G1" s="162"/>
    </row>
    <row r="2" spans="1:11" x14ac:dyDescent="0.2">
      <c r="A2" s="6"/>
      <c r="B2" s="7"/>
      <c r="C2" s="7"/>
      <c r="D2" s="7"/>
      <c r="E2" s="7"/>
      <c r="F2" s="7"/>
      <c r="G2" s="23"/>
    </row>
    <row r="3" spans="1:11" x14ac:dyDescent="0.2">
      <c r="A3" s="166" t="s">
        <v>1</v>
      </c>
      <c r="B3" s="150"/>
      <c r="C3" s="150"/>
      <c r="D3" s="150"/>
      <c r="E3" s="150"/>
      <c r="F3" s="150"/>
      <c r="G3" s="167"/>
    </row>
    <row r="4" spans="1:11" x14ac:dyDescent="0.2">
      <c r="A4" s="163"/>
      <c r="B4" s="164"/>
      <c r="C4" s="164"/>
      <c r="D4" s="164"/>
      <c r="E4" s="164"/>
      <c r="F4" s="164"/>
      <c r="G4" s="165"/>
      <c r="J4" s="16"/>
      <c r="K4" s="16"/>
    </row>
    <row r="5" spans="1:11" ht="39" customHeight="1" x14ac:dyDescent="0.2">
      <c r="A5" s="163"/>
      <c r="B5" s="164"/>
      <c r="C5" s="164"/>
      <c r="D5" s="164"/>
      <c r="E5" s="164"/>
      <c r="F5" s="164"/>
      <c r="G5" s="165"/>
    </row>
    <row r="6" spans="1:11" x14ac:dyDescent="0.2">
      <c r="A6" s="146" t="s">
        <v>2</v>
      </c>
      <c r="B6" s="147"/>
      <c r="C6" s="147"/>
      <c r="D6" s="35">
        <f>+$E$19</f>
        <v>0.74099999999999999</v>
      </c>
      <c r="E6" s="136" t="s">
        <v>3</v>
      </c>
      <c r="F6" s="136"/>
      <c r="G6" s="137"/>
    </row>
    <row r="7" spans="1:11" x14ac:dyDescent="0.2">
      <c r="A7" s="153" t="s">
        <v>97</v>
      </c>
      <c r="B7" s="154"/>
      <c r="C7" s="154"/>
      <c r="D7" s="48">
        <f>+$G$14</f>
        <v>0.92400000000000004</v>
      </c>
      <c r="E7" s="133">
        <f>((29*$G$14^2)*$F$14*$E$19/$E$23)/(1+$F$35)</f>
        <v>70.150000453623605</v>
      </c>
      <c r="F7" s="133"/>
      <c r="G7" s="134"/>
    </row>
    <row r="8" spans="1:11" x14ac:dyDescent="0.2">
      <c r="A8" s="146" t="s">
        <v>37</v>
      </c>
      <c r="B8" s="147"/>
      <c r="C8" s="147"/>
      <c r="D8" s="49">
        <f>+$F$14</f>
        <v>3.88</v>
      </c>
      <c r="E8" s="133"/>
      <c r="F8" s="133"/>
      <c r="G8" s="134"/>
    </row>
    <row r="9" spans="1:11" x14ac:dyDescent="0.2">
      <c r="A9" s="146" t="s">
        <v>98</v>
      </c>
      <c r="B9" s="147"/>
      <c r="C9" s="147"/>
      <c r="D9" s="49">
        <f>+$E$23</f>
        <v>1.1100000000000001</v>
      </c>
      <c r="E9" s="133"/>
      <c r="F9" s="133"/>
      <c r="G9" s="134"/>
      <c r="I9">
        <f>+E7/0.2</f>
        <v>350.75000226811801</v>
      </c>
    </row>
    <row r="10" spans="1:11" x14ac:dyDescent="0.2">
      <c r="A10" s="146" t="s">
        <v>91</v>
      </c>
      <c r="B10" s="147"/>
      <c r="C10" s="147"/>
      <c r="D10" s="35">
        <f>1+$F$35</f>
        <v>0.91420000000000001</v>
      </c>
      <c r="E10" s="133"/>
      <c r="F10" s="133"/>
      <c r="G10" s="134"/>
      <c r="I10">
        <f>+I9*8</f>
        <v>2806.0000181449441</v>
      </c>
    </row>
    <row r="11" spans="1:11" x14ac:dyDescent="0.2">
      <c r="A11" s="6"/>
      <c r="B11" s="7"/>
      <c r="C11" s="7"/>
      <c r="D11" s="7"/>
      <c r="E11" s="7"/>
      <c r="F11" s="7"/>
      <c r="G11" s="23"/>
    </row>
    <row r="12" spans="1:11" x14ac:dyDescent="0.2">
      <c r="A12" s="138" t="s">
        <v>93</v>
      </c>
      <c r="B12" s="139"/>
      <c r="C12" s="139"/>
      <c r="D12" s="139"/>
      <c r="E12" s="139"/>
      <c r="F12" s="139"/>
      <c r="G12" s="140"/>
      <c r="H12" s="7"/>
    </row>
    <row r="13" spans="1:11" x14ac:dyDescent="0.2">
      <c r="A13" s="138" t="s">
        <v>16</v>
      </c>
      <c r="B13" s="139"/>
      <c r="C13" s="34" t="s">
        <v>26</v>
      </c>
      <c r="D13" s="34" t="s">
        <v>69</v>
      </c>
      <c r="E13" s="34" t="s">
        <v>34</v>
      </c>
      <c r="F13" s="14" t="s">
        <v>35</v>
      </c>
      <c r="G13" s="9" t="s">
        <v>92</v>
      </c>
    </row>
    <row r="14" spans="1:11" x14ac:dyDescent="0.2">
      <c r="A14" s="151" t="s">
        <v>18</v>
      </c>
      <c r="B14" s="152"/>
      <c r="C14" s="44">
        <f>+VLOOKUP(A14,'DATOS FINAL'!A12:C41,2,FALSE)</f>
        <v>15432</v>
      </c>
      <c r="D14" s="45">
        <f>+VLOOKUP(A14,'DATOS FINAL'!A12:C41,3,FALSE)</f>
        <v>155</v>
      </c>
      <c r="E14" s="44" t="s">
        <v>28</v>
      </c>
      <c r="F14" s="44">
        <f>+SUM('DATOS FINAL'!P12:P41)</f>
        <v>3.88</v>
      </c>
      <c r="G14" s="51">
        <f>+SUM('DATOS FINAL'!Q12:Q41)</f>
        <v>0.92400000000000004</v>
      </c>
    </row>
    <row r="15" spans="1:11" x14ac:dyDescent="0.2">
      <c r="A15" s="155" t="s">
        <v>99</v>
      </c>
      <c r="B15" s="156"/>
      <c r="C15" s="44">
        <v>1</v>
      </c>
      <c r="D15" s="29">
        <f>(SUM('DATOS FINAL'!X12:Y41)*1000)/60</f>
        <v>66.666666666666671</v>
      </c>
      <c r="E15" s="38" t="s">
        <v>100</v>
      </c>
      <c r="F15" s="44">
        <v>2</v>
      </c>
      <c r="G15" s="52">
        <f>(SUM('DATOS FINAL'!AF12:AG41)*1000)/60</f>
        <v>140</v>
      </c>
    </row>
    <row r="16" spans="1:11" x14ac:dyDescent="0.2">
      <c r="A16" s="6"/>
      <c r="B16" s="7"/>
      <c r="C16" s="7"/>
      <c r="D16" s="7"/>
      <c r="E16" s="7"/>
      <c r="F16" s="7"/>
      <c r="G16" s="23"/>
    </row>
    <row r="17" spans="1:8" x14ac:dyDescent="0.2">
      <c r="A17" s="6"/>
      <c r="B17" s="50"/>
      <c r="C17" s="150" t="s">
        <v>4</v>
      </c>
      <c r="D17" s="150"/>
      <c r="E17" s="150"/>
      <c r="F17" s="50"/>
      <c r="G17" s="53"/>
      <c r="H17" s="2"/>
    </row>
    <row r="18" spans="1:8" ht="27.75" x14ac:dyDescent="0.2">
      <c r="A18" s="6"/>
      <c r="B18" s="7"/>
      <c r="C18" s="42" t="s">
        <v>5</v>
      </c>
      <c r="D18" s="39" t="s">
        <v>6</v>
      </c>
      <c r="E18" s="42" t="s">
        <v>4</v>
      </c>
      <c r="F18" s="2"/>
      <c r="G18" s="8"/>
      <c r="H18" s="2"/>
    </row>
    <row r="19" spans="1:8" x14ac:dyDescent="0.2">
      <c r="A19" s="6"/>
      <c r="B19" s="7"/>
      <c r="C19" s="40" t="s">
        <v>9</v>
      </c>
      <c r="D19" s="40" t="s">
        <v>12</v>
      </c>
      <c r="E19" s="41">
        <f>+SUM('DATOS FINAL'!G3:G6)</f>
        <v>0.74099999999999999</v>
      </c>
      <c r="F19" s="7"/>
      <c r="G19" s="23"/>
    </row>
    <row r="20" spans="1:8" x14ac:dyDescent="0.2">
      <c r="A20" s="6"/>
      <c r="B20" s="7"/>
      <c r="C20" s="7"/>
      <c r="D20" s="7"/>
      <c r="E20" s="7"/>
      <c r="F20" s="7"/>
      <c r="G20" s="23"/>
      <c r="H20" s="7"/>
    </row>
    <row r="21" spans="1:8" x14ac:dyDescent="0.2">
      <c r="A21" s="138" t="s">
        <v>94</v>
      </c>
      <c r="B21" s="139"/>
      <c r="C21" s="139"/>
      <c r="D21" s="139"/>
      <c r="E21" s="139"/>
      <c r="F21" s="139"/>
      <c r="G21" s="140"/>
    </row>
    <row r="22" spans="1:8" ht="42.75" customHeight="1" x14ac:dyDescent="0.2">
      <c r="A22" s="157"/>
      <c r="B22" s="158"/>
      <c r="C22" s="158"/>
      <c r="D22" s="158"/>
      <c r="E22" s="158"/>
      <c r="F22" s="158"/>
      <c r="G22" s="159"/>
    </row>
    <row r="23" spans="1:8" x14ac:dyDescent="0.2">
      <c r="A23" s="146" t="s">
        <v>215</v>
      </c>
      <c r="B23" s="147"/>
      <c r="C23" s="147"/>
      <c r="D23" s="44">
        <v>25</v>
      </c>
      <c r="E23" s="133">
        <f>ROUND(+(D23/D24)+((D23+D25)/D26+(2*D25/D24)),2)</f>
        <v>1.1100000000000001</v>
      </c>
      <c r="F23" s="133"/>
      <c r="G23" s="134"/>
    </row>
    <row r="24" spans="1:8" x14ac:dyDescent="0.2">
      <c r="A24" s="146" t="s">
        <v>216</v>
      </c>
      <c r="B24" s="147"/>
      <c r="C24" s="147"/>
      <c r="D24" s="29">
        <f>+$D$15</f>
        <v>66.666666666666671</v>
      </c>
      <c r="E24" s="133"/>
      <c r="F24" s="133"/>
      <c r="G24" s="134"/>
    </row>
    <row r="25" spans="1:8" x14ac:dyDescent="0.2">
      <c r="A25" s="146" t="s">
        <v>217</v>
      </c>
      <c r="B25" s="147"/>
      <c r="C25" s="147"/>
      <c r="D25" s="44">
        <v>15</v>
      </c>
      <c r="E25" s="133"/>
      <c r="F25" s="133"/>
      <c r="G25" s="134"/>
    </row>
    <row r="26" spans="1:8" x14ac:dyDescent="0.2">
      <c r="A26" s="146" t="s">
        <v>218</v>
      </c>
      <c r="B26" s="147"/>
      <c r="C26" s="147"/>
      <c r="D26" s="29">
        <f>+$G$15</f>
        <v>140</v>
      </c>
      <c r="E26" s="133"/>
      <c r="F26" s="133"/>
      <c r="G26" s="134"/>
    </row>
    <row r="27" spans="1:8" x14ac:dyDescent="0.2">
      <c r="A27" s="6"/>
      <c r="B27" s="7"/>
      <c r="C27" s="7"/>
      <c r="D27" s="7"/>
      <c r="E27" s="7"/>
      <c r="F27" s="7"/>
      <c r="G27" s="23"/>
    </row>
    <row r="28" spans="1:8" x14ac:dyDescent="0.2">
      <c r="A28" s="138" t="s">
        <v>95</v>
      </c>
      <c r="B28" s="139"/>
      <c r="C28" s="139"/>
      <c r="D28" s="139"/>
      <c r="E28" s="139"/>
      <c r="F28" s="139"/>
      <c r="G28" s="140"/>
    </row>
    <row r="29" spans="1:8" ht="53.25" customHeight="1" x14ac:dyDescent="0.2">
      <c r="A29" s="135"/>
      <c r="B29" s="136"/>
      <c r="C29" s="136"/>
      <c r="D29" s="136"/>
      <c r="E29" s="136"/>
      <c r="F29" s="136"/>
      <c r="G29" s="137"/>
    </row>
    <row r="30" spans="1:8" x14ac:dyDescent="0.2">
      <c r="A30" s="146" t="s">
        <v>96</v>
      </c>
      <c r="B30" s="147"/>
      <c r="C30" s="147"/>
      <c r="D30" s="47">
        <f>+$G$14</f>
        <v>0.92400000000000004</v>
      </c>
      <c r="E30" s="148">
        <f>ROUND((0.405*(D30^2)*D31)/TAN(D32*3.14/180),2)</f>
        <v>1.6</v>
      </c>
      <c r="F30" s="148"/>
      <c r="G30" s="149"/>
    </row>
    <row r="31" spans="1:8" x14ac:dyDescent="0.2">
      <c r="A31" s="146" t="s">
        <v>37</v>
      </c>
      <c r="B31" s="147"/>
      <c r="C31" s="147"/>
      <c r="D31" s="40">
        <f>+$F$14</f>
        <v>3.88</v>
      </c>
      <c r="E31" s="148"/>
      <c r="F31" s="148"/>
      <c r="G31" s="149"/>
    </row>
    <row r="32" spans="1:8" x14ac:dyDescent="0.2">
      <c r="A32" s="144" t="s">
        <v>36</v>
      </c>
      <c r="B32" s="145"/>
      <c r="C32" s="145"/>
      <c r="D32" s="40">
        <v>40</v>
      </c>
      <c r="E32" s="148"/>
      <c r="F32" s="148"/>
      <c r="G32" s="149"/>
    </row>
    <row r="33" spans="1:7" x14ac:dyDescent="0.2">
      <c r="A33" s="6"/>
      <c r="B33" s="7"/>
      <c r="C33" s="7"/>
      <c r="D33" s="7"/>
      <c r="E33" s="7"/>
      <c r="F33" s="7"/>
      <c r="G33" s="23"/>
    </row>
    <row r="34" spans="1:7" x14ac:dyDescent="0.2">
      <c r="A34" s="138" t="s">
        <v>88</v>
      </c>
      <c r="B34" s="139"/>
      <c r="C34" s="139"/>
      <c r="D34" s="139"/>
      <c r="E34" s="139"/>
      <c r="F34" s="139"/>
      <c r="G34" s="140"/>
    </row>
    <row r="35" spans="1:7" ht="48.75" customHeight="1" thickBot="1" x14ac:dyDescent="0.25">
      <c r="A35" s="141"/>
      <c r="B35" s="142"/>
      <c r="C35" s="142"/>
      <c r="D35" s="142"/>
      <c r="E35" s="46">
        <v>142</v>
      </c>
      <c r="F35" s="142">
        <f>+(E35-1000)/10000</f>
        <v>-8.5800000000000001E-2</v>
      </c>
      <c r="G35" s="143"/>
    </row>
  </sheetData>
  <mergeCells count="31">
    <mergeCell ref="A1:G1"/>
    <mergeCell ref="A12:G12"/>
    <mergeCell ref="A4:G5"/>
    <mergeCell ref="A3:G3"/>
    <mergeCell ref="E6:G6"/>
    <mergeCell ref="A6:C6"/>
    <mergeCell ref="C17:E17"/>
    <mergeCell ref="A14:B14"/>
    <mergeCell ref="A13:B13"/>
    <mergeCell ref="E7:G10"/>
    <mergeCell ref="A31:C31"/>
    <mergeCell ref="A7:C7"/>
    <mergeCell ref="A8:C8"/>
    <mergeCell ref="A10:C10"/>
    <mergeCell ref="A9:C9"/>
    <mergeCell ref="A15:B15"/>
    <mergeCell ref="A22:G22"/>
    <mergeCell ref="A21:G21"/>
    <mergeCell ref="A23:C23"/>
    <mergeCell ref="A24:C24"/>
    <mergeCell ref="A25:C25"/>
    <mergeCell ref="A26:C26"/>
    <mergeCell ref="E23:G26"/>
    <mergeCell ref="A29:G29"/>
    <mergeCell ref="A34:G34"/>
    <mergeCell ref="A35:D35"/>
    <mergeCell ref="F35:G35"/>
    <mergeCell ref="A32:C32"/>
    <mergeCell ref="A28:G28"/>
    <mergeCell ref="A30:C30"/>
    <mergeCell ref="E30:G32"/>
  </mergeCells>
  <dataValidations count="5">
    <dataValidation type="list" allowBlank="1" showInputMessage="1" showErrorMessage="1" sqref="C19" xr:uid="{00000000-0002-0000-0000-000000000000}">
      <formula1>"EXCELENTES,BUENAS,REGULARES,MALAS"</formula1>
    </dataValidation>
    <dataValidation type="list" allowBlank="1" showInputMessage="1" showErrorMessage="1" sqref="D19" xr:uid="{00000000-0002-0000-0000-000001000000}">
      <formula1>"EXCELENTE,BUENA,REGULAR,MALA"</formula1>
    </dataValidation>
    <dataValidation type="list" allowBlank="1" showInputMessage="1" showErrorMessage="1" sqref="C15 F15" xr:uid="{00000000-0002-0000-0000-000002000000}">
      <formula1>"1,2,3,4,5,6"</formula1>
    </dataValidation>
    <dataValidation type="list" allowBlank="1" showInputMessage="1" showErrorMessage="1" sqref="A14:B14" xr:uid="{00000000-0002-0000-0000-000003000000}">
      <formula1>MODELOS_BULLDOZER</formula1>
    </dataValidation>
    <dataValidation type="list" allowBlank="1" showInputMessage="1" showErrorMessage="1" sqref="E14" xr:uid="{00000000-0002-0000-0000-000004000000}">
      <formula1>INDIRECT($A$14)</formula1>
    </dataValidation>
  </dataValidations>
  <pageMargins left="0.7" right="0.7" top="0.75" bottom="0.75" header="0.3" footer="0.3"/>
  <pageSetup paperSize="9" scale="77" orientation="portrait" r:id="rId1"/>
  <drawing r:id="rId2"/>
  <legacyDrawing r:id="rId3"/>
  <oleObjects>
    <mc:AlternateContent xmlns:mc="http://schemas.openxmlformats.org/markup-compatibility/2006">
      <mc:Choice Requires="x14">
        <oleObject progId="Equation.DSMT4" shapeId="1034" r:id="rId4">
          <objectPr defaultSize="0" autoPict="0" r:id="rId5">
            <anchor moveWithCells="1">
              <from>
                <xdr:col>1</xdr:col>
                <xdr:colOff>47625</xdr:colOff>
                <xdr:row>34</xdr:row>
                <xdr:rowOff>57150</xdr:rowOff>
              </from>
              <to>
                <xdr:col>3</xdr:col>
                <xdr:colOff>514350</xdr:colOff>
                <xdr:row>34</xdr:row>
                <xdr:rowOff>523875</xdr:rowOff>
              </to>
            </anchor>
          </objectPr>
        </oleObject>
      </mc:Choice>
      <mc:Fallback>
        <oleObject progId="Equation.DSMT4" shapeId="1034" r:id="rId4"/>
      </mc:Fallback>
    </mc:AlternateContent>
    <mc:AlternateContent xmlns:mc="http://schemas.openxmlformats.org/markup-compatibility/2006">
      <mc:Choice Requires="x14">
        <oleObject progId="Equation.DSMT4" shapeId="1036" r:id="rId6">
          <objectPr defaultSize="0" autoPict="0" r:id="rId7">
            <anchor moveWithCells="1">
              <from>
                <xdr:col>3</xdr:col>
                <xdr:colOff>161925</xdr:colOff>
                <xdr:row>21</xdr:row>
                <xdr:rowOff>28575</xdr:rowOff>
              </from>
              <to>
                <xdr:col>4</xdr:col>
                <xdr:colOff>38100</xdr:colOff>
                <xdr:row>21</xdr:row>
                <xdr:rowOff>485775</xdr:rowOff>
              </to>
            </anchor>
          </objectPr>
        </oleObject>
      </mc:Choice>
      <mc:Fallback>
        <oleObject progId="Equation.DSMT4" shapeId="1036" r:id="rId6"/>
      </mc:Fallback>
    </mc:AlternateContent>
    <mc:AlternateContent xmlns:mc="http://schemas.openxmlformats.org/markup-compatibility/2006">
      <mc:Choice Requires="x14">
        <oleObject progId="Equation.DSMT4" shapeId="1037" r:id="rId8">
          <objectPr defaultSize="0" autoPict="0" r:id="rId9">
            <anchor moveWithCells="1">
              <from>
                <xdr:col>3</xdr:col>
                <xdr:colOff>190500</xdr:colOff>
                <xdr:row>28</xdr:row>
                <xdr:rowOff>38100</xdr:rowOff>
              </from>
              <to>
                <xdr:col>3</xdr:col>
                <xdr:colOff>1152525</xdr:colOff>
                <xdr:row>28</xdr:row>
                <xdr:rowOff>647700</xdr:rowOff>
              </to>
            </anchor>
          </objectPr>
        </oleObject>
      </mc:Choice>
      <mc:Fallback>
        <oleObject progId="Equation.DSMT4" shapeId="1037" r:id="rId8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tabColor rgb="FF00B050"/>
  </sheetPr>
  <dimension ref="A1:H33"/>
  <sheetViews>
    <sheetView view="pageBreakPreview" topLeftCell="A13" zoomScaleNormal="100" zoomScaleSheetLayoutView="100" workbookViewId="0">
      <selection activeCell="D16" sqref="D16"/>
    </sheetView>
  </sheetViews>
  <sheetFormatPr defaultColWidth="10.76171875" defaultRowHeight="15" x14ac:dyDescent="0.2"/>
  <cols>
    <col min="3" max="3" width="13.85546875" customWidth="1"/>
    <col min="4" max="4" width="14.66015625" customWidth="1"/>
    <col min="5" max="5" width="12.10546875" customWidth="1"/>
    <col min="7" max="8" width="11.97265625" customWidth="1"/>
  </cols>
  <sheetData>
    <row r="1" spans="1:8" ht="18.75" x14ac:dyDescent="0.25">
      <c r="A1" s="176" t="s">
        <v>0</v>
      </c>
      <c r="B1" s="176"/>
      <c r="C1" s="176"/>
      <c r="D1" s="176"/>
      <c r="E1" s="176"/>
      <c r="F1" s="176"/>
      <c r="G1" s="176"/>
      <c r="H1" s="176"/>
    </row>
    <row r="3" spans="1:8" x14ac:dyDescent="0.2">
      <c r="A3" s="139" t="s">
        <v>224</v>
      </c>
      <c r="B3" s="139"/>
      <c r="C3" s="139"/>
      <c r="D3" s="139"/>
      <c r="E3" s="139"/>
      <c r="F3" s="139"/>
      <c r="G3" s="139"/>
      <c r="H3" s="139"/>
    </row>
    <row r="4" spans="1:8" ht="60" customHeight="1" x14ac:dyDescent="0.2">
      <c r="A4" s="177"/>
      <c r="B4" s="178"/>
      <c r="C4" s="178"/>
      <c r="D4" s="178"/>
      <c r="E4" s="178"/>
      <c r="F4" s="178"/>
      <c r="G4" s="178"/>
      <c r="H4" s="179"/>
    </row>
    <row r="5" spans="1:8" x14ac:dyDescent="0.2">
      <c r="A5" s="171" t="s">
        <v>225</v>
      </c>
      <c r="B5" s="171"/>
      <c r="C5" s="171"/>
      <c r="D5" s="171"/>
      <c r="E5" s="36">
        <v>91</v>
      </c>
      <c r="F5" s="169">
        <f>E5*E6*E7*E9*E8/(1+E10)</f>
        <v>802.99460823136826</v>
      </c>
      <c r="G5" s="169"/>
      <c r="H5" s="169"/>
    </row>
    <row r="6" spans="1:8" x14ac:dyDescent="0.2">
      <c r="A6" s="171" t="s">
        <v>226</v>
      </c>
      <c r="B6" s="171"/>
      <c r="C6" s="171"/>
      <c r="D6" s="171"/>
      <c r="E6" s="36">
        <v>0.9</v>
      </c>
      <c r="F6" s="169"/>
      <c r="G6" s="169"/>
      <c r="H6" s="169"/>
    </row>
    <row r="7" spans="1:8" x14ac:dyDescent="0.2">
      <c r="A7" s="171" t="s">
        <v>228</v>
      </c>
      <c r="B7" s="171"/>
      <c r="C7" s="171"/>
      <c r="D7" s="171"/>
      <c r="E7" s="36">
        <f>+G15</f>
        <v>0.876</v>
      </c>
      <c r="F7" s="169"/>
      <c r="G7" s="169"/>
      <c r="H7" s="169"/>
    </row>
    <row r="8" spans="1:8" x14ac:dyDescent="0.2">
      <c r="A8" s="171" t="s">
        <v>230</v>
      </c>
      <c r="B8" s="171"/>
      <c r="C8" s="171"/>
      <c r="D8" s="171"/>
      <c r="E8" s="22">
        <f>+E30</f>
        <v>0.74099999999999999</v>
      </c>
      <c r="F8" s="169"/>
      <c r="G8" s="169"/>
      <c r="H8" s="169"/>
    </row>
    <row r="9" spans="1:8" x14ac:dyDescent="0.2">
      <c r="A9" s="171" t="s">
        <v>234</v>
      </c>
      <c r="B9" s="171"/>
      <c r="C9" s="171"/>
      <c r="D9" s="171"/>
      <c r="E9" s="22">
        <f>+G25</f>
        <v>17.521222410865875</v>
      </c>
      <c r="F9" s="169"/>
      <c r="G9" s="169"/>
      <c r="H9" s="169"/>
    </row>
    <row r="10" spans="1:8" x14ac:dyDescent="0.2">
      <c r="A10" s="171" t="s">
        <v>231</v>
      </c>
      <c r="B10" s="171"/>
      <c r="C10" s="171"/>
      <c r="D10" s="171"/>
      <c r="E10" s="36">
        <f>+F33</f>
        <v>0.16</v>
      </c>
      <c r="F10" s="169"/>
      <c r="G10" s="169"/>
      <c r="H10" s="169"/>
    </row>
    <row r="11" spans="1:8" ht="30" customHeight="1" x14ac:dyDescent="0.2">
      <c r="A11" s="172" t="s">
        <v>235</v>
      </c>
      <c r="B11" s="172"/>
      <c r="C11" s="172"/>
      <c r="D11" s="172"/>
      <c r="E11" s="172"/>
      <c r="F11" s="172"/>
      <c r="G11" s="172"/>
      <c r="H11" s="172"/>
    </row>
    <row r="13" spans="1:8" x14ac:dyDescent="0.2">
      <c r="A13" s="139" t="s">
        <v>93</v>
      </c>
      <c r="B13" s="139"/>
      <c r="C13" s="139"/>
      <c r="D13" s="139"/>
      <c r="E13" s="139"/>
      <c r="F13" s="139"/>
      <c r="G13" s="139"/>
      <c r="H13" s="139"/>
    </row>
    <row r="14" spans="1:8" x14ac:dyDescent="0.2">
      <c r="A14" s="139" t="s">
        <v>196</v>
      </c>
      <c r="B14" s="139"/>
      <c r="C14" s="37" t="s">
        <v>26</v>
      </c>
      <c r="D14" s="37" t="s">
        <v>69</v>
      </c>
      <c r="E14" s="139" t="s">
        <v>195</v>
      </c>
      <c r="F14" s="139"/>
      <c r="G14" s="174" t="s">
        <v>227</v>
      </c>
      <c r="H14" s="174"/>
    </row>
    <row r="15" spans="1:8" ht="31.5" customHeight="1" x14ac:dyDescent="0.2">
      <c r="A15" s="170" t="s">
        <v>212</v>
      </c>
      <c r="B15" s="170"/>
      <c r="C15" s="58">
        <f>+VLOOKUP(A15,'DATOS FINAL'!AH12:AJ37,2,FALSE)</f>
        <v>65400</v>
      </c>
      <c r="D15" s="57">
        <f>+VLOOKUP(A15,'DATOS FINAL'!AH12:AJ37,3,FALSE)</f>
        <v>570</v>
      </c>
      <c r="E15" s="173" t="s">
        <v>193</v>
      </c>
      <c r="F15" s="173"/>
      <c r="G15" s="175">
        <f>+SUM('DATOS FINAL'!BE12:BF28)</f>
        <v>0.876</v>
      </c>
      <c r="H15" s="175"/>
    </row>
    <row r="16" spans="1:8" x14ac:dyDescent="0.2">
      <c r="A16" s="156" t="s">
        <v>99</v>
      </c>
      <c r="B16" s="156"/>
      <c r="C16" s="44">
        <v>1</v>
      </c>
      <c r="D16" s="29">
        <f>((SUM('DATOS FINAL'!$AQ$12:$AR$28)*1000)/60)*0.43</f>
        <v>28.666666666666668</v>
      </c>
      <c r="E16" s="184" t="s">
        <v>100</v>
      </c>
      <c r="F16" s="184"/>
      <c r="G16" s="44">
        <v>1</v>
      </c>
      <c r="H16" s="29">
        <f>((SUM('DATOS FINAL'!AY12:AZ28)*1000)/60)*0.43</f>
        <v>35.833333333333329</v>
      </c>
    </row>
    <row r="17" spans="1:8" ht="28.5" customHeight="1" x14ac:dyDescent="0.2">
      <c r="A17" s="186" t="s">
        <v>236</v>
      </c>
      <c r="B17" s="186"/>
      <c r="C17" s="186"/>
      <c r="D17" s="186"/>
      <c r="E17" s="186"/>
      <c r="F17" s="186"/>
      <c r="G17" s="186"/>
      <c r="H17" s="186"/>
    </row>
    <row r="19" spans="1:8" x14ac:dyDescent="0.2">
      <c r="A19" s="139" t="s">
        <v>222</v>
      </c>
      <c r="B19" s="139"/>
      <c r="C19" s="139"/>
      <c r="D19" s="139"/>
      <c r="E19" s="139"/>
      <c r="F19" s="139"/>
      <c r="G19" s="139"/>
      <c r="H19" s="139"/>
    </row>
    <row r="20" spans="1:8" x14ac:dyDescent="0.2">
      <c r="A20" s="164"/>
      <c r="B20" s="164"/>
      <c r="C20" s="171" t="s">
        <v>219</v>
      </c>
      <c r="D20" s="171"/>
      <c r="E20" s="171"/>
      <c r="F20" s="36">
        <v>91</v>
      </c>
      <c r="G20" s="169">
        <f>(F20/F21)+F22</f>
        <v>3.4244186046511627</v>
      </c>
      <c r="H20" s="169"/>
    </row>
    <row r="21" spans="1:8" ht="27.75" customHeight="1" x14ac:dyDescent="0.2">
      <c r="A21" s="164"/>
      <c r="B21" s="164"/>
      <c r="C21" s="185" t="s">
        <v>220</v>
      </c>
      <c r="D21" s="185"/>
      <c r="E21" s="185"/>
      <c r="F21" s="61">
        <f>+$D$16</f>
        <v>28.666666666666668</v>
      </c>
      <c r="G21" s="169"/>
      <c r="H21" s="169"/>
    </row>
    <row r="22" spans="1:8" x14ac:dyDescent="0.2">
      <c r="A22" s="164"/>
      <c r="B22" s="164"/>
      <c r="C22" s="168" t="s">
        <v>221</v>
      </c>
      <c r="D22" s="168"/>
      <c r="E22" s="168"/>
      <c r="F22" s="36">
        <v>0.25</v>
      </c>
      <c r="G22" s="169"/>
      <c r="H22" s="169"/>
    </row>
    <row r="24" spans="1:8" x14ac:dyDescent="0.2">
      <c r="A24" s="139" t="s">
        <v>232</v>
      </c>
      <c r="B24" s="139"/>
      <c r="C24" s="139"/>
      <c r="D24" s="139"/>
      <c r="E24" s="139"/>
      <c r="F24" s="139"/>
      <c r="G24" s="139"/>
      <c r="H24" s="139"/>
    </row>
    <row r="25" spans="1:8" ht="24" customHeight="1" x14ac:dyDescent="0.2">
      <c r="A25" s="164"/>
      <c r="B25" s="164"/>
      <c r="C25" s="185" t="s">
        <v>233</v>
      </c>
      <c r="D25" s="185"/>
      <c r="E25" s="185"/>
      <c r="F25" s="61">
        <v>60</v>
      </c>
      <c r="G25" s="169">
        <f>+F25/F26</f>
        <v>17.521222410865875</v>
      </c>
      <c r="H25" s="169"/>
    </row>
    <row r="26" spans="1:8" ht="24" customHeight="1" x14ac:dyDescent="0.2">
      <c r="A26" s="164"/>
      <c r="B26" s="164"/>
      <c r="C26" s="185" t="s">
        <v>229</v>
      </c>
      <c r="D26" s="185"/>
      <c r="E26" s="185"/>
      <c r="F26" s="61">
        <f>+G20</f>
        <v>3.4244186046511627</v>
      </c>
      <c r="G26" s="169"/>
      <c r="H26" s="169"/>
    </row>
    <row r="28" spans="1:8" x14ac:dyDescent="0.2">
      <c r="A28" s="6"/>
      <c r="B28" s="50"/>
      <c r="C28" s="150" t="s">
        <v>223</v>
      </c>
      <c r="D28" s="150"/>
      <c r="E28" s="150"/>
      <c r="F28" s="50"/>
      <c r="G28" s="50"/>
      <c r="H28" s="2"/>
    </row>
    <row r="29" spans="1:8" ht="27.75" x14ac:dyDescent="0.2">
      <c r="A29" s="6"/>
      <c r="B29" s="7"/>
      <c r="C29" s="42" t="s">
        <v>5</v>
      </c>
      <c r="D29" s="39" t="s">
        <v>6</v>
      </c>
      <c r="E29" s="42" t="s">
        <v>4</v>
      </c>
      <c r="F29" s="2"/>
      <c r="G29" s="2"/>
      <c r="H29" s="2"/>
    </row>
    <row r="30" spans="1:8" x14ac:dyDescent="0.2">
      <c r="A30" s="6"/>
      <c r="B30" s="7"/>
      <c r="C30" s="43" t="s">
        <v>9</v>
      </c>
      <c r="D30" s="43" t="s">
        <v>12</v>
      </c>
      <c r="E30" s="41">
        <f>+SUM('DATOS FINAL'!$H$3:$H$6)</f>
        <v>0.74099999999999999</v>
      </c>
      <c r="F30" s="7"/>
      <c r="G30" s="7"/>
      <c r="H30" s="7"/>
    </row>
    <row r="32" spans="1:8" x14ac:dyDescent="0.2">
      <c r="A32" s="182" t="s">
        <v>88</v>
      </c>
      <c r="B32" s="183"/>
      <c r="C32" s="183"/>
      <c r="D32" s="183"/>
      <c r="E32" s="183"/>
      <c r="F32" s="183"/>
      <c r="G32" s="183"/>
      <c r="H32" s="183"/>
    </row>
    <row r="33" spans="1:8" ht="45.75" customHeight="1" x14ac:dyDescent="0.2">
      <c r="A33" s="180"/>
      <c r="B33" s="180"/>
      <c r="C33" s="180"/>
      <c r="D33" s="180"/>
      <c r="E33" s="60">
        <v>2600</v>
      </c>
      <c r="F33" s="181">
        <f>+(E33-1000)/10000</f>
        <v>0.16</v>
      </c>
      <c r="G33" s="181"/>
      <c r="H33" s="181"/>
    </row>
  </sheetData>
  <mergeCells count="36">
    <mergeCell ref="A33:D33"/>
    <mergeCell ref="F33:H33"/>
    <mergeCell ref="A32:H32"/>
    <mergeCell ref="A16:B16"/>
    <mergeCell ref="E16:F16"/>
    <mergeCell ref="A19:H19"/>
    <mergeCell ref="C20:E20"/>
    <mergeCell ref="C28:E28"/>
    <mergeCell ref="C21:E21"/>
    <mergeCell ref="A24:H24"/>
    <mergeCell ref="C25:E25"/>
    <mergeCell ref="C26:E26"/>
    <mergeCell ref="A25:B26"/>
    <mergeCell ref="G25:H26"/>
    <mergeCell ref="A17:H17"/>
    <mergeCell ref="A1:H1"/>
    <mergeCell ref="A3:H3"/>
    <mergeCell ref="A5:D5"/>
    <mergeCell ref="A6:D6"/>
    <mergeCell ref="A7:D7"/>
    <mergeCell ref="A4:H4"/>
    <mergeCell ref="A13:H13"/>
    <mergeCell ref="C22:E22"/>
    <mergeCell ref="G20:H22"/>
    <mergeCell ref="A20:B22"/>
    <mergeCell ref="F5:H10"/>
    <mergeCell ref="A14:B14"/>
    <mergeCell ref="A15:B15"/>
    <mergeCell ref="E14:F14"/>
    <mergeCell ref="A8:D8"/>
    <mergeCell ref="A10:D10"/>
    <mergeCell ref="A9:D9"/>
    <mergeCell ref="A11:H11"/>
    <mergeCell ref="E15:F15"/>
    <mergeCell ref="G14:H14"/>
    <mergeCell ref="G15:H15"/>
  </mergeCells>
  <dataValidations count="5">
    <dataValidation type="list" allowBlank="1" showInputMessage="1" showErrorMessage="1" sqref="A15:B15" xr:uid="{00000000-0002-0000-0100-000000000000}">
      <formula1>MODELOS_2</formula1>
    </dataValidation>
    <dataValidation type="list" allowBlank="1" showInputMessage="1" showErrorMessage="1" sqref="E15:F15" xr:uid="{00000000-0002-0000-0100-000001000000}">
      <formula1>INDIRECT($A$15)</formula1>
    </dataValidation>
    <dataValidation type="list" allowBlank="1" showInputMessage="1" showErrorMessage="1" sqref="G16 C16" xr:uid="{00000000-0002-0000-0100-000002000000}">
      <formula1>"1,2,3,4,5,6"</formula1>
    </dataValidation>
    <dataValidation type="list" allowBlank="1" showInputMessage="1" showErrorMessage="1" sqref="D30" xr:uid="{00000000-0002-0000-0100-000003000000}">
      <formula1>"EXCELENTE,BUENA,REGULAR,MALA"</formula1>
    </dataValidation>
    <dataValidation type="list" allowBlank="1" showInputMessage="1" showErrorMessage="1" sqref="C30" xr:uid="{00000000-0002-0000-0100-000004000000}">
      <formula1>"EXCELENTES,BUENAS,REGULARES,MALAS"</formula1>
    </dataValidation>
  </dataValidations>
  <pageMargins left="0.7" right="0.7" top="0.75" bottom="0.75" header="0.3" footer="0.3"/>
  <pageSetup paperSize="9" scale="88" orientation="portrait" horizontalDpi="0" verticalDpi="0" r:id="rId1"/>
  <drawing r:id="rId2"/>
  <legacyDrawing r:id="rId3"/>
  <oleObjects>
    <mc:AlternateContent xmlns:mc="http://schemas.openxmlformats.org/markup-compatibility/2006">
      <mc:Choice Requires="x14">
        <oleObject progId="Equation.DSMT4" shapeId="16392" r:id="rId4">
          <objectPr defaultSize="0" autoPict="0" r:id="rId5">
            <anchor moveWithCells="1">
              <from>
                <xdr:col>0</xdr:col>
                <xdr:colOff>238125</xdr:colOff>
                <xdr:row>32</xdr:row>
                <xdr:rowOff>57150</xdr:rowOff>
              </from>
              <to>
                <xdr:col>3</xdr:col>
                <xdr:colOff>400050</xdr:colOff>
                <xdr:row>32</xdr:row>
                <xdr:rowOff>533400</xdr:rowOff>
              </to>
            </anchor>
          </objectPr>
        </oleObject>
      </mc:Choice>
      <mc:Fallback>
        <oleObject progId="Equation.DSMT4" shapeId="16392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>
    <tabColor rgb="FF00B050"/>
  </sheetPr>
  <dimension ref="A1:I22"/>
  <sheetViews>
    <sheetView view="pageBreakPreview" zoomScale="85" zoomScaleNormal="100" zoomScaleSheetLayoutView="85" workbookViewId="0">
      <selection activeCell="B15" sqref="B15:G15"/>
    </sheetView>
  </sheetViews>
  <sheetFormatPr defaultColWidth="10.76171875" defaultRowHeight="15" x14ac:dyDescent="0.2"/>
  <cols>
    <col min="3" max="3" width="13.85546875" customWidth="1"/>
    <col min="4" max="4" width="14.796875" customWidth="1"/>
    <col min="6" max="6" width="17.75390625" customWidth="1"/>
    <col min="7" max="7" width="15.46875" customWidth="1"/>
  </cols>
  <sheetData>
    <row r="1" spans="1:9" ht="18.75" x14ac:dyDescent="0.25">
      <c r="A1" s="176" t="s">
        <v>0</v>
      </c>
      <c r="B1" s="176"/>
      <c r="C1" s="176"/>
      <c r="D1" s="176"/>
      <c r="E1" s="176"/>
      <c r="F1" s="176"/>
      <c r="G1" s="176"/>
    </row>
    <row r="3" spans="1:9" x14ac:dyDescent="0.2">
      <c r="A3" s="150" t="s">
        <v>58</v>
      </c>
      <c r="B3" s="150"/>
      <c r="C3" s="150"/>
      <c r="D3" s="150"/>
      <c r="E3" s="150"/>
      <c r="F3" s="150"/>
      <c r="G3" s="150"/>
    </row>
    <row r="4" spans="1:9" ht="64.5" customHeight="1" x14ac:dyDescent="0.2">
      <c r="A4" s="164"/>
      <c r="B4" s="164"/>
      <c r="C4" s="164"/>
      <c r="D4" s="164"/>
      <c r="E4" s="164"/>
      <c r="F4" s="164"/>
      <c r="G4" s="164"/>
    </row>
    <row r="5" spans="1:9" x14ac:dyDescent="0.2">
      <c r="A5" s="150" t="s">
        <v>68</v>
      </c>
      <c r="B5" s="150"/>
      <c r="C5" s="150"/>
      <c r="D5" s="150"/>
      <c r="E5" s="150"/>
      <c r="F5" s="150"/>
      <c r="G5" s="150"/>
    </row>
    <row r="6" spans="1:9" x14ac:dyDescent="0.2">
      <c r="A6" s="113" t="s">
        <v>59</v>
      </c>
      <c r="B6" s="189" t="s">
        <v>245</v>
      </c>
      <c r="C6" s="189"/>
      <c r="D6" s="197" t="s">
        <v>60</v>
      </c>
      <c r="E6" s="197"/>
      <c r="F6" s="136" t="s">
        <v>62</v>
      </c>
      <c r="G6" s="136"/>
    </row>
    <row r="7" spans="1:9" x14ac:dyDescent="0.2">
      <c r="A7" s="189" t="s">
        <v>249</v>
      </c>
      <c r="B7" s="189"/>
      <c r="C7" s="189"/>
      <c r="D7" s="136" t="s">
        <v>76</v>
      </c>
      <c r="E7" s="136"/>
      <c r="F7" s="156" t="s">
        <v>70</v>
      </c>
      <c r="G7" s="156"/>
    </row>
    <row r="8" spans="1:9" x14ac:dyDescent="0.2">
      <c r="A8" s="189" t="s">
        <v>83</v>
      </c>
      <c r="B8" s="189"/>
      <c r="C8" s="189"/>
      <c r="D8" s="196">
        <f>+VLOOKUP($D$7,'DATOS FINAL'!$A$45:$C$56,3,FALSE)</f>
        <v>153</v>
      </c>
      <c r="E8" s="196"/>
      <c r="F8" s="187">
        <f>ROUND((((+$D$11*($D$13*1000)/$D$12)*$E$19)*($D$14/100))/(1+$F$22),2)</f>
        <v>243.88</v>
      </c>
      <c r="G8" s="187"/>
    </row>
    <row r="9" spans="1:9" x14ac:dyDescent="0.2">
      <c r="A9" s="189" t="s">
        <v>82</v>
      </c>
      <c r="B9" s="189"/>
      <c r="C9" s="189"/>
      <c r="D9" s="136">
        <f>+VLOOKUP($D$7,'DATOS FINAL'!$A$46:$G$56,7,FALSE)</f>
        <v>2.13</v>
      </c>
      <c r="E9" s="136"/>
      <c r="F9" s="187"/>
      <c r="G9" s="187"/>
      <c r="I9" s="28"/>
    </row>
    <row r="10" spans="1:9" x14ac:dyDescent="0.2">
      <c r="A10" s="189" t="s">
        <v>247</v>
      </c>
      <c r="B10" s="189"/>
      <c r="C10" s="189"/>
      <c r="D10" s="136">
        <v>0.2</v>
      </c>
      <c r="E10" s="136"/>
      <c r="F10" s="187"/>
      <c r="G10" s="187"/>
      <c r="I10" s="25"/>
    </row>
    <row r="11" spans="1:9" x14ac:dyDescent="0.2">
      <c r="A11" s="189" t="s">
        <v>86</v>
      </c>
      <c r="B11" s="189"/>
      <c r="C11" s="189"/>
      <c r="D11" s="136">
        <f>+D9-D10</f>
        <v>1.93</v>
      </c>
      <c r="E11" s="136"/>
      <c r="F11" s="187"/>
      <c r="G11" s="187"/>
    </row>
    <row r="12" spans="1:9" ht="15" customHeight="1" x14ac:dyDescent="0.2">
      <c r="A12" s="189" t="s">
        <v>85</v>
      </c>
      <c r="B12" s="189"/>
      <c r="C12" s="189"/>
      <c r="D12" s="136">
        <f>+VLOOKUP(D7,'DATOS FINAL'!A46:E56,5,FALSE)</f>
        <v>6</v>
      </c>
      <c r="E12" s="136"/>
      <c r="F12" s="187"/>
      <c r="G12" s="187"/>
    </row>
    <row r="13" spans="1:9" x14ac:dyDescent="0.2">
      <c r="A13" s="189" t="s">
        <v>90</v>
      </c>
      <c r="B13" s="189"/>
      <c r="C13" s="189"/>
      <c r="D13" s="136">
        <f>+VLOOKUP(D7,'DATOS FINAL'!A46:F56,6,FALSE)</f>
        <v>6.4</v>
      </c>
      <c r="E13" s="136"/>
      <c r="F13" s="187"/>
      <c r="G13" s="187"/>
    </row>
    <row r="14" spans="1:9" x14ac:dyDescent="0.2">
      <c r="A14" s="189" t="s">
        <v>87</v>
      </c>
      <c r="B14" s="189"/>
      <c r="C14" s="189"/>
      <c r="D14" s="136">
        <f>+VLOOKUP(D7,'DATOS FINAL'!A46:D56,4,FALSE)</f>
        <v>15.2</v>
      </c>
      <c r="E14" s="136"/>
      <c r="F14" s="187"/>
      <c r="G14" s="187"/>
    </row>
    <row r="15" spans="1:9" ht="32.25" customHeight="1" thickBot="1" x14ac:dyDescent="0.25">
      <c r="A15" s="112"/>
      <c r="B15" s="188" t="s">
        <v>84</v>
      </c>
      <c r="C15" s="188"/>
      <c r="D15" s="188"/>
      <c r="E15" s="188"/>
      <c r="F15" s="188"/>
      <c r="G15" s="188"/>
    </row>
    <row r="17" spans="1:7" x14ac:dyDescent="0.2">
      <c r="A17" s="114"/>
      <c r="B17" s="115"/>
      <c r="C17" s="193" t="s">
        <v>89</v>
      </c>
      <c r="D17" s="194"/>
      <c r="E17" s="195"/>
      <c r="F17" s="115"/>
      <c r="G17" s="116"/>
    </row>
    <row r="18" spans="1:7" ht="27.75" x14ac:dyDescent="0.2">
      <c r="A18" s="117"/>
      <c r="B18" s="7"/>
      <c r="C18" s="1" t="s">
        <v>5</v>
      </c>
      <c r="D18" s="15" t="s">
        <v>6</v>
      </c>
      <c r="E18" s="1" t="s">
        <v>4</v>
      </c>
      <c r="F18" s="2"/>
      <c r="G18" s="118"/>
    </row>
    <row r="19" spans="1:7" x14ac:dyDescent="0.2">
      <c r="A19" s="119"/>
      <c r="B19" s="120"/>
      <c r="C19" s="107" t="s">
        <v>9</v>
      </c>
      <c r="D19" s="107" t="s">
        <v>13</v>
      </c>
      <c r="E19" s="106">
        <f>+SUM('DATOS FINAL'!$I$3:$I$6)</f>
        <v>0.71249999999999991</v>
      </c>
      <c r="F19" s="120"/>
      <c r="G19" s="121"/>
    </row>
    <row r="21" spans="1:7" x14ac:dyDescent="0.2">
      <c r="A21" s="139" t="s">
        <v>88</v>
      </c>
      <c r="B21" s="139"/>
      <c r="C21" s="139"/>
      <c r="D21" s="139"/>
      <c r="E21" s="139"/>
      <c r="F21" s="139"/>
      <c r="G21" s="139"/>
    </row>
    <row r="22" spans="1:7" ht="39.75" customHeight="1" x14ac:dyDescent="0.2">
      <c r="A22" s="190"/>
      <c r="B22" s="191"/>
      <c r="C22" s="191"/>
      <c r="D22" s="191"/>
      <c r="E22" s="109">
        <v>142</v>
      </c>
      <c r="F22" s="191">
        <f>+(E22-1000)/10000</f>
        <v>-8.5800000000000001E-2</v>
      </c>
      <c r="G22" s="192"/>
    </row>
  </sheetData>
  <mergeCells count="30">
    <mergeCell ref="A1:G1"/>
    <mergeCell ref="A3:G3"/>
    <mergeCell ref="B6:C6"/>
    <mergeCell ref="D6:E6"/>
    <mergeCell ref="F6:G6"/>
    <mergeCell ref="A5:G5"/>
    <mergeCell ref="A4:G4"/>
    <mergeCell ref="A21:G21"/>
    <mergeCell ref="A22:D22"/>
    <mergeCell ref="F22:G22"/>
    <mergeCell ref="C17:E17"/>
    <mergeCell ref="D8:E8"/>
    <mergeCell ref="D9:E9"/>
    <mergeCell ref="D10:E10"/>
    <mergeCell ref="D11:E11"/>
    <mergeCell ref="D12:E12"/>
    <mergeCell ref="D13:E13"/>
    <mergeCell ref="D14:E14"/>
    <mergeCell ref="A9:C9"/>
    <mergeCell ref="A10:C10"/>
    <mergeCell ref="A11:C11"/>
    <mergeCell ref="A12:C12"/>
    <mergeCell ref="A8:C8"/>
    <mergeCell ref="F7:G7"/>
    <mergeCell ref="F8:G14"/>
    <mergeCell ref="B15:G15"/>
    <mergeCell ref="A7:C7"/>
    <mergeCell ref="D7:E7"/>
    <mergeCell ref="A14:C14"/>
    <mergeCell ref="A13:C13"/>
  </mergeCells>
  <dataValidations count="5">
    <dataValidation type="list" allowBlank="1" showInputMessage="1" showErrorMessage="1" sqref="B6:C6" xr:uid="{00000000-0002-0000-0200-000000000000}">
      <formula1>REDOMENDACION</formula1>
    </dataValidation>
    <dataValidation type="list" allowBlank="1" showInputMessage="1" showErrorMessage="1" sqref="C19" xr:uid="{00000000-0002-0000-0200-000001000000}">
      <formula1>"EXCELENTES,BUENAS,REGULARES,MALAS"</formula1>
    </dataValidation>
    <dataValidation type="list" allowBlank="1" showInputMessage="1" showErrorMessage="1" sqref="D19" xr:uid="{00000000-0002-0000-0200-000002000000}">
      <formula1>"EXCELENTE,BUENA,REGULAR,MALA"</formula1>
    </dataValidation>
    <dataValidation type="list" allowBlank="1" showInputMessage="1" showErrorMessage="1" sqref="F6:G6" xr:uid="{00000000-0002-0000-0200-000003000000}">
      <formula1>INDIRECT($B$6)</formula1>
    </dataValidation>
    <dataValidation type="list" allowBlank="1" showInputMessage="1" showErrorMessage="1" sqref="D7:E7" xr:uid="{00000000-0002-0000-0200-000004000000}">
      <formula1>MODELOS_3</formula1>
    </dataValidation>
  </dataValidations>
  <pageMargins left="0.7" right="0.7" top="0.75" bottom="0.75" header="0.3" footer="0.3"/>
  <pageSetup paperSize="9" scale="90" orientation="portrait" horizontalDpi="0" verticalDpi="0" r:id="rId1"/>
  <drawing r:id="rId2"/>
  <legacyDrawing r:id="rId3"/>
  <oleObjects>
    <mc:AlternateContent xmlns:mc="http://schemas.openxmlformats.org/markup-compatibility/2006">
      <mc:Choice Requires="x14">
        <oleObject progId="Equation.DSMT4" shapeId="3074" r:id="rId4">
          <objectPr defaultSize="0" autoPict="0" r:id="rId5">
            <anchor moveWithCells="1">
              <from>
                <xdr:col>0</xdr:col>
                <xdr:colOff>257175</xdr:colOff>
                <xdr:row>21</xdr:row>
                <xdr:rowOff>38100</xdr:rowOff>
              </from>
              <to>
                <xdr:col>3</xdr:col>
                <xdr:colOff>419100</xdr:colOff>
                <xdr:row>21</xdr:row>
                <xdr:rowOff>447675</xdr:rowOff>
              </to>
            </anchor>
          </objectPr>
        </oleObject>
      </mc:Choice>
      <mc:Fallback>
        <oleObject progId="Equation.DSMT4" shapeId="7169" r:id="rId4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>
    <tabColor rgb="FF00B050"/>
  </sheetPr>
  <dimension ref="A1:L35"/>
  <sheetViews>
    <sheetView view="pageBreakPreview" topLeftCell="A5" zoomScale="85" zoomScaleNormal="100" zoomScaleSheetLayoutView="85" workbookViewId="0">
      <selection activeCell="H14" sqref="H14"/>
    </sheetView>
  </sheetViews>
  <sheetFormatPr defaultColWidth="10.76171875" defaultRowHeight="15" x14ac:dyDescent="0.2"/>
  <cols>
    <col min="1" max="1" width="18.29296875" customWidth="1"/>
    <col min="2" max="2" width="22.05859375" bestFit="1" customWidth="1"/>
    <col min="3" max="3" width="15.19921875" bestFit="1" customWidth="1"/>
    <col min="4" max="4" width="15.87109375" customWidth="1"/>
    <col min="5" max="5" width="15.19921875" bestFit="1" customWidth="1"/>
    <col min="6" max="6" width="16.94921875" customWidth="1"/>
    <col min="7" max="7" width="12.23828125" customWidth="1"/>
  </cols>
  <sheetData>
    <row r="1" spans="1:12" ht="19.5" thickBot="1" x14ac:dyDescent="0.3">
      <c r="A1" s="204" t="s">
        <v>0</v>
      </c>
      <c r="B1" s="205"/>
      <c r="C1" s="205"/>
      <c r="D1" s="205"/>
      <c r="E1" s="205"/>
      <c r="F1" s="205"/>
      <c r="G1" s="206"/>
    </row>
    <row r="2" spans="1:12" ht="15.75" thickBot="1" x14ac:dyDescent="0.25"/>
    <row r="3" spans="1:12" x14ac:dyDescent="0.2">
      <c r="A3" s="207" t="s">
        <v>101</v>
      </c>
      <c r="B3" s="208"/>
      <c r="C3" s="208"/>
      <c r="D3" s="208"/>
      <c r="E3" s="208"/>
      <c r="F3" s="208"/>
      <c r="G3" s="209"/>
    </row>
    <row r="4" spans="1:12" ht="63.75" customHeight="1" x14ac:dyDescent="0.2">
      <c r="A4" s="218"/>
      <c r="B4" s="219"/>
      <c r="C4" s="219"/>
      <c r="D4" s="219"/>
      <c r="E4" s="219"/>
      <c r="F4" s="219"/>
      <c r="G4" s="220"/>
    </row>
    <row r="5" spans="1:12" ht="15.75" customHeight="1" x14ac:dyDescent="0.2">
      <c r="A5" s="221" t="s">
        <v>149</v>
      </c>
      <c r="B5" s="222"/>
      <c r="C5" s="222"/>
      <c r="D5" s="43">
        <f>+F11</f>
        <v>18</v>
      </c>
      <c r="E5" s="187">
        <f>ROUND(+((F11*(60/D24))*E18)/(1+F14),2)</f>
        <v>274.24</v>
      </c>
      <c r="F5" s="187"/>
      <c r="G5" s="224"/>
      <c r="I5" s="33"/>
      <c r="J5" s="33"/>
      <c r="K5" s="33"/>
      <c r="L5" s="33"/>
    </row>
    <row r="6" spans="1:12" x14ac:dyDescent="0.2">
      <c r="A6" s="223" t="s">
        <v>150</v>
      </c>
      <c r="B6" s="171"/>
      <c r="C6" s="171"/>
      <c r="D6" s="41">
        <f>+D24</f>
        <v>2.38</v>
      </c>
      <c r="E6" s="187"/>
      <c r="F6" s="187"/>
      <c r="G6" s="224"/>
    </row>
    <row r="7" spans="1:12" x14ac:dyDescent="0.2">
      <c r="A7" s="223" t="s">
        <v>151</v>
      </c>
      <c r="B7" s="171"/>
      <c r="C7" s="171"/>
      <c r="D7" s="43">
        <f>+E18</f>
        <v>0.55249999999999999</v>
      </c>
      <c r="E7" s="187"/>
      <c r="F7" s="187"/>
      <c r="G7" s="224"/>
    </row>
    <row r="8" spans="1:12" ht="15.75" thickBot="1" x14ac:dyDescent="0.25">
      <c r="A8" s="216" t="s">
        <v>153</v>
      </c>
      <c r="B8" s="217"/>
      <c r="C8" s="217"/>
      <c r="D8" s="63">
        <f>+F14</f>
        <v>-8.5800000000000001E-2</v>
      </c>
      <c r="E8" s="225"/>
      <c r="F8" s="225"/>
      <c r="G8" s="226"/>
    </row>
    <row r="9" spans="1:12" ht="15.75" thickBot="1" x14ac:dyDescent="0.25"/>
    <row r="10" spans="1:12" x14ac:dyDescent="0.2">
      <c r="A10" s="210" t="s">
        <v>104</v>
      </c>
      <c r="B10" s="211"/>
      <c r="C10" s="211"/>
      <c r="D10" s="211"/>
      <c r="E10" s="211"/>
      <c r="F10" s="211"/>
      <c r="G10" s="212"/>
    </row>
    <row r="11" spans="1:12" x14ac:dyDescent="0.2">
      <c r="A11" s="66" t="s">
        <v>250</v>
      </c>
      <c r="B11" s="43" t="s">
        <v>262</v>
      </c>
      <c r="C11" s="64" t="s">
        <v>69</v>
      </c>
      <c r="D11" s="45">
        <f>+VLOOKUP(B11,'DATOS FINAL'!A61:C77,3,FALSE)</f>
        <v>200</v>
      </c>
      <c r="E11" s="65" t="s">
        <v>103</v>
      </c>
      <c r="F11" s="43">
        <v>18</v>
      </c>
      <c r="G11" s="27"/>
    </row>
    <row r="12" spans="1:12" ht="15.75" thickBot="1" x14ac:dyDescent="0.25"/>
    <row r="13" spans="1:12" x14ac:dyDescent="0.2">
      <c r="A13" s="210" t="s">
        <v>88</v>
      </c>
      <c r="B13" s="211"/>
      <c r="C13" s="211"/>
      <c r="D13" s="211"/>
      <c r="E13" s="211"/>
      <c r="F13" s="211"/>
      <c r="G13" s="212"/>
    </row>
    <row r="14" spans="1:12" ht="36.75" customHeight="1" thickBot="1" x14ac:dyDescent="0.25">
      <c r="A14" s="213"/>
      <c r="B14" s="214"/>
      <c r="C14" s="214"/>
      <c r="D14" s="214"/>
      <c r="E14" s="54">
        <v>142</v>
      </c>
      <c r="F14" s="214">
        <f>+(E14-1000)/10000</f>
        <v>-8.5800000000000001E-2</v>
      </c>
      <c r="G14" s="215"/>
    </row>
    <row r="15" spans="1:12" ht="15.75" thickBot="1" x14ac:dyDescent="0.25"/>
    <row r="16" spans="1:12" x14ac:dyDescent="0.2">
      <c r="A16" s="3"/>
      <c r="B16" s="4"/>
      <c r="C16" s="198" t="s">
        <v>152</v>
      </c>
      <c r="D16" s="199"/>
      <c r="E16" s="200"/>
      <c r="F16" s="4"/>
      <c r="G16" s="5"/>
    </row>
    <row r="17" spans="1:9" ht="27.75" x14ac:dyDescent="0.2">
      <c r="A17" s="6"/>
      <c r="B17" s="7"/>
      <c r="C17" s="1" t="s">
        <v>5</v>
      </c>
      <c r="D17" s="15" t="s">
        <v>6</v>
      </c>
      <c r="E17" s="1" t="s">
        <v>4</v>
      </c>
      <c r="F17" s="2"/>
      <c r="G17" s="8"/>
    </row>
    <row r="18" spans="1:9" ht="15.75" thickBot="1" x14ac:dyDescent="0.25">
      <c r="A18" s="10"/>
      <c r="B18" s="11"/>
      <c r="C18" s="21" t="s">
        <v>10</v>
      </c>
      <c r="D18" s="21" t="s">
        <v>14</v>
      </c>
      <c r="E18" s="63">
        <f>+SUM('DATOS FINAL'!J3:J6)</f>
        <v>0.55249999999999999</v>
      </c>
      <c r="F18" s="11"/>
      <c r="G18" s="12"/>
    </row>
    <row r="20" spans="1:9" x14ac:dyDescent="0.2">
      <c r="A20" s="201" t="s">
        <v>45</v>
      </c>
      <c r="B20" s="201"/>
      <c r="C20" s="201"/>
      <c r="D20" s="201"/>
      <c r="E20" s="201"/>
      <c r="F20" s="201"/>
      <c r="G20" s="201"/>
    </row>
    <row r="21" spans="1:9" x14ac:dyDescent="0.2">
      <c r="A21" s="202" t="s">
        <v>110</v>
      </c>
      <c r="B21" s="202"/>
      <c r="C21" s="67" t="s">
        <v>118</v>
      </c>
      <c r="D21" s="152" t="s">
        <v>272</v>
      </c>
      <c r="E21" s="152"/>
      <c r="F21" s="30">
        <v>2</v>
      </c>
      <c r="G21" s="22">
        <f>(SUM('DATOS FINAL'!N61:O77)*1000)/60</f>
        <v>211.66666666666666</v>
      </c>
    </row>
    <row r="22" spans="1:9" x14ac:dyDescent="0.2">
      <c r="A22" s="203" t="s">
        <v>112</v>
      </c>
      <c r="B22" s="203"/>
      <c r="C22" s="67" t="str">
        <f>+IF(F11&lt;=3,"&lt;=3M3",IF(AND(F11&gt;3,F11&lt;5),"3.1M3 A 5M3",IF(F11&gt;5,"&gt;5M3",FALSE)))</f>
        <v>&gt;5M3</v>
      </c>
      <c r="D22" s="152" t="s">
        <v>273</v>
      </c>
      <c r="E22" s="152"/>
      <c r="F22" s="30">
        <v>4</v>
      </c>
      <c r="G22" s="22">
        <f>(SUM('DATOS FINAL'!T61:U77)*1000)/60</f>
        <v>675</v>
      </c>
    </row>
    <row r="23" spans="1:9" ht="21" x14ac:dyDescent="0.2">
      <c r="A23" s="202" t="s">
        <v>145</v>
      </c>
      <c r="B23" s="202"/>
      <c r="C23" s="62" t="s">
        <v>113</v>
      </c>
      <c r="D23" s="170" t="s">
        <v>146</v>
      </c>
      <c r="E23" s="170"/>
      <c r="F23" s="170"/>
      <c r="G23" s="22">
        <v>130</v>
      </c>
      <c r="I23" s="31"/>
    </row>
    <row r="24" spans="1:9" x14ac:dyDescent="0.2">
      <c r="A24" s="189" t="s">
        <v>270</v>
      </c>
      <c r="B24" s="189"/>
      <c r="C24" s="68">
        <f>+SUM('DATOS FINAL'!AD62:AF65)+SUM('DATOS FINAL'!AJ62:AL65)</f>
        <v>0.85</v>
      </c>
      <c r="D24" s="133">
        <f>ROUND(+(G23/G21)+(G23/G22)+(C24+C25+C26+C27+C28),2)</f>
        <v>2.38</v>
      </c>
      <c r="E24" s="133"/>
      <c r="F24" s="133"/>
      <c r="G24" s="133"/>
    </row>
    <row r="25" spans="1:9" x14ac:dyDescent="0.2">
      <c r="A25" s="59" t="s">
        <v>141</v>
      </c>
      <c r="B25" s="69" t="s">
        <v>122</v>
      </c>
      <c r="C25" s="67">
        <f>+VLOOKUP(B25,'DATOS FINAL'!Z67:AA72,2,FALSE)</f>
        <v>0.02</v>
      </c>
      <c r="D25" s="133"/>
      <c r="E25" s="133"/>
      <c r="F25" s="133"/>
      <c r="G25" s="133"/>
    </row>
    <row r="26" spans="1:9" x14ac:dyDescent="0.2">
      <c r="A26" s="59" t="s">
        <v>142</v>
      </c>
      <c r="B26" s="67" t="s">
        <v>128</v>
      </c>
      <c r="C26" s="67">
        <f>+VLOOKUP(B26,'DATOS FINAL'!AB67:AC71,2,FALSE)</f>
        <v>0</v>
      </c>
      <c r="D26" s="133"/>
      <c r="E26" s="133"/>
      <c r="F26" s="133"/>
      <c r="G26" s="133"/>
    </row>
    <row r="27" spans="1:9" ht="25.5" x14ac:dyDescent="0.2">
      <c r="A27" s="70" t="s">
        <v>143</v>
      </c>
      <c r="B27" s="67" t="s">
        <v>140</v>
      </c>
      <c r="C27" s="67">
        <f>+SUM('DATOS FINAL'!X61:Y77)</f>
        <v>0.66</v>
      </c>
      <c r="D27" s="133"/>
      <c r="E27" s="133"/>
      <c r="F27" s="133"/>
      <c r="G27" s="133"/>
    </row>
    <row r="28" spans="1:9" x14ac:dyDescent="0.2">
      <c r="A28" s="71" t="s">
        <v>144</v>
      </c>
      <c r="B28" s="62" t="s">
        <v>136</v>
      </c>
      <c r="C28" s="67">
        <f>+VLOOKUP(B28,'DATOS FINAL'!AD67:AE72,2,FALSE)</f>
        <v>0.04</v>
      </c>
      <c r="D28" s="133"/>
      <c r="E28" s="133"/>
      <c r="F28" s="133"/>
      <c r="G28" s="133"/>
    </row>
    <row r="29" spans="1:9" x14ac:dyDescent="0.2">
      <c r="G29" s="17"/>
    </row>
    <row r="31" spans="1:9" ht="15" customHeight="1" x14ac:dyDescent="0.2">
      <c r="G31" s="32"/>
    </row>
    <row r="32" spans="1:9" ht="15" customHeight="1" x14ac:dyDescent="0.2">
      <c r="G32" s="32"/>
    </row>
    <row r="33" spans="7:7" x14ac:dyDescent="0.2">
      <c r="G33" s="7"/>
    </row>
    <row r="34" spans="7:7" x14ac:dyDescent="0.2">
      <c r="G34" s="17"/>
    </row>
    <row r="35" spans="7:7" x14ac:dyDescent="0.2">
      <c r="G35" s="17"/>
    </row>
  </sheetData>
  <mergeCells count="22">
    <mergeCell ref="A1:G1"/>
    <mergeCell ref="A3:G3"/>
    <mergeCell ref="A13:G13"/>
    <mergeCell ref="A14:D14"/>
    <mergeCell ref="F14:G14"/>
    <mergeCell ref="A10:G10"/>
    <mergeCell ref="A8:C8"/>
    <mergeCell ref="A4:G4"/>
    <mergeCell ref="A5:C5"/>
    <mergeCell ref="A6:C6"/>
    <mergeCell ref="A7:C7"/>
    <mergeCell ref="E5:G8"/>
    <mergeCell ref="D24:G28"/>
    <mergeCell ref="C16:E16"/>
    <mergeCell ref="A20:G20"/>
    <mergeCell ref="A21:B21"/>
    <mergeCell ref="A22:B22"/>
    <mergeCell ref="D21:E21"/>
    <mergeCell ref="D22:E22"/>
    <mergeCell ref="D23:F23"/>
    <mergeCell ref="A24:B24"/>
    <mergeCell ref="A23:B23"/>
  </mergeCells>
  <dataValidations count="8">
    <dataValidation type="list" allowBlank="1" showInputMessage="1" showErrorMessage="1" sqref="D18" xr:uid="{00000000-0002-0000-0300-000000000000}">
      <formula1>"EXCELENTE,BUENA,REGULAR,MALA"</formula1>
    </dataValidation>
    <dataValidation type="list" allowBlank="1" showInputMessage="1" showErrorMessage="1" sqref="C18" xr:uid="{00000000-0002-0000-0300-000001000000}">
      <formula1>"EXCELENTES,BUENAS,REGULARES,MALAS"</formula1>
    </dataValidation>
    <dataValidation type="list" allowBlank="1" showInputMessage="1" showErrorMessage="1" sqref="C21" xr:uid="{00000000-0002-0000-0300-000002000000}">
      <formula1>"EN V,EN CRUZ"</formula1>
    </dataValidation>
    <dataValidation type="list" allowBlank="1" showInputMessage="1" showErrorMessage="1" sqref="C23" xr:uid="{00000000-0002-0000-0300-000003000000}">
      <formula1>"FACIL, PROMEDIO, MODERADAMENTE DIFICIL,DIFICIL"</formula1>
    </dataValidation>
    <dataValidation type="list" allowBlank="1" showInputMessage="1" showErrorMessage="1" sqref="B27" xr:uid="{00000000-0002-0000-0300-000004000000}">
      <formula1>"CAMION,PILA"</formula1>
    </dataValidation>
    <dataValidation type="list" allowBlank="1" showInputMessage="1" showErrorMessage="1" sqref="F21:F22" xr:uid="{00000000-0002-0000-0300-000005000000}">
      <formula1>"1,2,3,4"</formula1>
    </dataValidation>
    <dataValidation type="list" allowBlank="1" showInputMessage="1" showErrorMessage="1" sqref="B11" xr:uid="{00000000-0002-0000-0300-000006000000}">
      <formula1>MODELOS_4</formula1>
    </dataValidation>
    <dataValidation type="list" allowBlank="1" showInputMessage="1" showErrorMessage="1" sqref="F11" xr:uid="{00000000-0002-0000-0300-000007000000}">
      <formula1>INDIRECT($B$11)</formula1>
    </dataValidation>
  </dataValidations>
  <pageMargins left="0.7" right="0.7" top="0.75" bottom="0.75" header="0.3" footer="0.3"/>
  <pageSetup paperSize="9" scale="75" orientation="portrait" horizontalDpi="0" verticalDpi="0" r:id="rId1"/>
  <drawing r:id="rId2"/>
  <legacyDrawing r:id="rId3"/>
  <oleObjects>
    <mc:AlternateContent xmlns:mc="http://schemas.openxmlformats.org/markup-compatibility/2006">
      <mc:Choice Requires="x14">
        <oleObject progId="Equation.DSMT4" shapeId="5124" r:id="rId4">
          <objectPr defaultSize="0" autoPict="0" r:id="rId5">
            <anchor moveWithCells="1">
              <from>
                <xdr:col>1</xdr:col>
                <xdr:colOff>38100</xdr:colOff>
                <xdr:row>13</xdr:row>
                <xdr:rowOff>38100</xdr:rowOff>
              </from>
              <to>
                <xdr:col>3</xdr:col>
                <xdr:colOff>171450</xdr:colOff>
                <xdr:row>13</xdr:row>
                <xdr:rowOff>419100</xdr:rowOff>
              </to>
            </anchor>
          </objectPr>
        </oleObject>
      </mc:Choice>
      <mc:Fallback>
        <oleObject progId="Equation.DSMT4" shapeId="6145" r:id="rId4"/>
      </mc:Fallback>
    </mc:AlternateContent>
  </oleObjec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300-000008000000}">
          <x14:formula1>
            <xm:f>'DATOS FINAL'!$AD$67:$AD$72</xm:f>
          </x14:formula1>
          <xm:sqref>B28</xm:sqref>
        </x14:dataValidation>
        <x14:dataValidation type="list" allowBlank="1" showInputMessage="1" showErrorMessage="1" xr:uid="{00000000-0002-0000-0300-000009000000}">
          <x14:formula1>
            <xm:f>'DATOS FINAL'!$Z$67:$Z$72</xm:f>
          </x14:formula1>
          <xm:sqref>B25</xm:sqref>
        </x14:dataValidation>
        <x14:dataValidation type="list" allowBlank="1" showInputMessage="1" showErrorMessage="1" xr:uid="{00000000-0002-0000-0300-00000A000000}">
          <x14:formula1>
            <xm:f>'DATOS FINAL'!$AB$67:$AB$71</xm:f>
          </x14:formula1>
          <xm:sqref>B26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>
    <tabColor rgb="FF00B050"/>
  </sheetPr>
  <dimension ref="A1:O24"/>
  <sheetViews>
    <sheetView view="pageBreakPreview" topLeftCell="A3" zoomScaleNormal="100" zoomScaleSheetLayoutView="100" workbookViewId="0">
      <selection activeCell="J5" sqref="J5"/>
    </sheetView>
  </sheetViews>
  <sheetFormatPr defaultColWidth="10.76171875" defaultRowHeight="15" x14ac:dyDescent="0.2"/>
  <cols>
    <col min="1" max="1" width="12.64453125" bestFit="1" customWidth="1"/>
    <col min="3" max="3" width="38.875" bestFit="1" customWidth="1"/>
    <col min="4" max="4" width="18.5625" bestFit="1" customWidth="1"/>
    <col min="5" max="5" width="13.31640625" customWidth="1"/>
    <col min="6" max="6" width="11.703125" customWidth="1"/>
    <col min="8" max="8" width="14.52734375" customWidth="1"/>
  </cols>
  <sheetData>
    <row r="1" spans="1:15" ht="19.5" thickBot="1" x14ac:dyDescent="0.3">
      <c r="A1" s="204" t="s">
        <v>0</v>
      </c>
      <c r="B1" s="205"/>
      <c r="C1" s="205"/>
      <c r="D1" s="205"/>
      <c r="E1" s="205"/>
      <c r="F1" s="205"/>
      <c r="G1" s="239"/>
      <c r="H1" s="206"/>
    </row>
    <row r="2" spans="1:15" ht="15.75" thickBot="1" x14ac:dyDescent="0.25"/>
    <row r="3" spans="1:15" x14ac:dyDescent="0.2">
      <c r="A3" s="207" t="s">
        <v>38</v>
      </c>
      <c r="B3" s="208"/>
      <c r="C3" s="208"/>
      <c r="D3" s="208"/>
      <c r="E3" s="208"/>
      <c r="F3" s="208"/>
      <c r="G3" s="198"/>
      <c r="H3" s="209"/>
    </row>
    <row r="4" spans="1:15" ht="18" customHeight="1" x14ac:dyDescent="0.2">
      <c r="A4" s="163"/>
      <c r="B4" s="164"/>
      <c r="C4" s="164"/>
      <c r="D4" s="164"/>
      <c r="E4" s="164"/>
      <c r="F4" s="164"/>
      <c r="G4" s="229"/>
      <c r="H4" s="165"/>
    </row>
    <row r="5" spans="1:15" ht="27.75" customHeight="1" x14ac:dyDescent="0.2">
      <c r="A5" s="163"/>
      <c r="B5" s="164"/>
      <c r="C5" s="164"/>
      <c r="D5" s="164"/>
      <c r="E5" s="164"/>
      <c r="F5" s="164"/>
      <c r="G5" s="229"/>
      <c r="H5" s="165"/>
      <c r="K5" s="25"/>
      <c r="L5" s="56"/>
      <c r="M5" s="56"/>
      <c r="N5" s="56"/>
      <c r="O5" s="56"/>
    </row>
    <row r="6" spans="1:15" x14ac:dyDescent="0.2">
      <c r="A6" s="223" t="s">
        <v>39</v>
      </c>
      <c r="B6" s="171"/>
      <c r="C6" s="171"/>
      <c r="D6" s="18">
        <f>+$H$13</f>
        <v>1.02</v>
      </c>
      <c r="E6" s="164" t="s">
        <v>3</v>
      </c>
      <c r="F6" s="164"/>
      <c r="G6" s="229"/>
      <c r="H6" s="165"/>
      <c r="J6" s="25"/>
      <c r="L6" s="73"/>
      <c r="M6" s="56"/>
      <c r="N6" s="56"/>
      <c r="O6" s="56"/>
    </row>
    <row r="7" spans="1:15" ht="15.75" customHeight="1" x14ac:dyDescent="0.2">
      <c r="A7" s="223" t="s">
        <v>41</v>
      </c>
      <c r="B7" s="171"/>
      <c r="C7" s="171"/>
      <c r="D7" s="18">
        <f>+$F$17</f>
        <v>26</v>
      </c>
      <c r="E7" s="230">
        <f>ROUND((D6*(3600/D7)*D8)/(1+D9),2)</f>
        <v>90.61</v>
      </c>
      <c r="F7" s="231"/>
      <c r="G7" s="231"/>
      <c r="H7" s="232"/>
    </row>
    <row r="8" spans="1:15" ht="15" customHeight="1" x14ac:dyDescent="0.2">
      <c r="A8" s="223" t="s">
        <v>40</v>
      </c>
      <c r="B8" s="171"/>
      <c r="C8" s="171"/>
      <c r="D8" s="18">
        <f>+$E$21</f>
        <v>0.58649999999999991</v>
      </c>
      <c r="E8" s="233"/>
      <c r="F8" s="234"/>
      <c r="G8" s="234"/>
      <c r="H8" s="235"/>
    </row>
    <row r="9" spans="1:15" ht="15" customHeight="1" thickBot="1" x14ac:dyDescent="0.25">
      <c r="A9" s="216" t="s">
        <v>56</v>
      </c>
      <c r="B9" s="217"/>
      <c r="C9" s="217"/>
      <c r="D9" s="26">
        <f>+$F$24</f>
        <v>-8.5800000000000001E-2</v>
      </c>
      <c r="E9" s="236"/>
      <c r="F9" s="237"/>
      <c r="G9" s="237"/>
      <c r="H9" s="238"/>
    </row>
    <row r="10" spans="1:15" ht="15.75" thickBot="1" x14ac:dyDescent="0.25"/>
    <row r="11" spans="1:15" x14ac:dyDescent="0.2">
      <c r="A11" s="207" t="s">
        <v>104</v>
      </c>
      <c r="B11" s="208"/>
      <c r="C11" s="208"/>
      <c r="D11" s="208"/>
      <c r="E11" s="208"/>
      <c r="F11" s="208"/>
      <c r="G11" s="198"/>
      <c r="H11" s="209"/>
    </row>
    <row r="12" spans="1:15" x14ac:dyDescent="0.2">
      <c r="A12" s="227" t="s">
        <v>154</v>
      </c>
      <c r="B12" s="228"/>
      <c r="C12" s="55" t="s">
        <v>306</v>
      </c>
      <c r="D12" s="72" t="s">
        <v>69</v>
      </c>
      <c r="E12" s="45">
        <f>+VLOOKUP(C12,'DATOS FINAL'!F83:H110,2,FALSE)</f>
        <v>138</v>
      </c>
      <c r="F12" s="74" t="s">
        <v>26</v>
      </c>
      <c r="G12" s="136">
        <f>+VLOOKUP(C12,'DATOS FINAL'!F83:H110,3,FALSE)</f>
        <v>19700</v>
      </c>
      <c r="H12" s="136"/>
    </row>
    <row r="13" spans="1:15" x14ac:dyDescent="0.2">
      <c r="A13" s="240" t="s">
        <v>315</v>
      </c>
      <c r="B13" s="240"/>
      <c r="C13" s="89" t="s">
        <v>372</v>
      </c>
      <c r="D13" s="67" t="s">
        <v>316</v>
      </c>
      <c r="E13" s="87">
        <v>1370</v>
      </c>
      <c r="F13" s="67" t="s">
        <v>282</v>
      </c>
      <c r="G13" s="88">
        <f>+SUM('DATOS FINAL'!$E$83:$E$905)</f>
        <v>1000</v>
      </c>
      <c r="H13" s="67">
        <f>ROUND(+G13*0.00133928571428571*0.765,2)</f>
        <v>1.02</v>
      </c>
    </row>
    <row r="14" spans="1:15" ht="15.75" thickBot="1" x14ac:dyDescent="0.25"/>
    <row r="15" spans="1:15" x14ac:dyDescent="0.2">
      <c r="A15" s="207" t="s">
        <v>45</v>
      </c>
      <c r="B15" s="208"/>
      <c r="C15" s="208"/>
      <c r="D15" s="208"/>
      <c r="E15" s="208"/>
      <c r="F15" s="208"/>
      <c r="G15" s="198"/>
      <c r="H15" s="209"/>
    </row>
    <row r="16" spans="1:15" x14ac:dyDescent="0.2">
      <c r="A16" s="6"/>
      <c r="B16" s="19" t="s">
        <v>46</v>
      </c>
      <c r="C16" s="19" t="s">
        <v>47</v>
      </c>
      <c r="D16" s="19" t="s">
        <v>48</v>
      </c>
      <c r="E16" s="19" t="s">
        <v>49</v>
      </c>
      <c r="F16" s="19" t="s">
        <v>50</v>
      </c>
      <c r="G16" s="77"/>
      <c r="H16" s="8"/>
    </row>
    <row r="17" spans="1:8" ht="15.75" thickBot="1" x14ac:dyDescent="0.25">
      <c r="A17" s="10"/>
      <c r="B17" s="24" t="s">
        <v>55</v>
      </c>
      <c r="C17" s="24" t="s">
        <v>14</v>
      </c>
      <c r="D17" s="20" t="s">
        <v>507</v>
      </c>
      <c r="E17" s="24" t="s">
        <v>54</v>
      </c>
      <c r="F17" s="76">
        <f>+SUM('DATOS FINAL'!H118:H122)+SUM('DATOS FINAL'!K114:K116)</f>
        <v>26</v>
      </c>
      <c r="G17" s="78"/>
      <c r="H17" s="79"/>
    </row>
    <row r="18" spans="1:8" ht="15.75" thickBot="1" x14ac:dyDescent="0.25"/>
    <row r="19" spans="1:8" x14ac:dyDescent="0.2">
      <c r="A19" s="3"/>
      <c r="B19" s="4"/>
      <c r="C19" s="208" t="s">
        <v>42</v>
      </c>
      <c r="D19" s="208"/>
      <c r="E19" s="208"/>
      <c r="F19" s="4"/>
      <c r="G19" s="4"/>
      <c r="H19" s="5"/>
    </row>
    <row r="20" spans="1:8" ht="27.75" x14ac:dyDescent="0.2">
      <c r="A20" s="6"/>
      <c r="B20" s="7"/>
      <c r="C20" s="1" t="s">
        <v>5</v>
      </c>
      <c r="D20" s="15" t="s">
        <v>6</v>
      </c>
      <c r="E20" s="1" t="s">
        <v>4</v>
      </c>
      <c r="F20" s="2"/>
      <c r="G20" s="2"/>
      <c r="H20" s="8"/>
    </row>
    <row r="21" spans="1:8" ht="15.75" thickBot="1" x14ac:dyDescent="0.25">
      <c r="A21" s="10"/>
      <c r="B21" s="11"/>
      <c r="C21" s="13" t="s">
        <v>10</v>
      </c>
      <c r="D21" s="13" t="s">
        <v>13</v>
      </c>
      <c r="E21" s="63">
        <f>+SUM('DATOS FINAL'!K3:K6)</f>
        <v>0.58649999999999991</v>
      </c>
      <c r="F21" s="11"/>
      <c r="G21" s="11"/>
      <c r="H21" s="12"/>
    </row>
    <row r="22" spans="1:8" ht="15.75" thickBot="1" x14ac:dyDescent="0.25"/>
    <row r="23" spans="1:8" x14ac:dyDescent="0.2">
      <c r="A23" s="210" t="s">
        <v>57</v>
      </c>
      <c r="B23" s="211"/>
      <c r="C23" s="211"/>
      <c r="D23" s="211"/>
      <c r="E23" s="211"/>
      <c r="F23" s="211"/>
      <c r="G23" s="241"/>
      <c r="H23" s="212"/>
    </row>
    <row r="24" spans="1:8" ht="41.25" customHeight="1" thickBot="1" x14ac:dyDescent="0.25">
      <c r="A24" s="213"/>
      <c r="B24" s="214"/>
      <c r="C24" s="214"/>
      <c r="D24" s="214"/>
      <c r="E24" s="54">
        <v>142</v>
      </c>
      <c r="F24" s="214">
        <f>+(E24-1000)/10000</f>
        <v>-8.5800000000000001E-2</v>
      </c>
      <c r="G24" s="214"/>
      <c r="H24" s="215"/>
    </row>
  </sheetData>
  <mergeCells count="18">
    <mergeCell ref="A13:B13"/>
    <mergeCell ref="A15:H15"/>
    <mergeCell ref="A24:D24"/>
    <mergeCell ref="F24:H24"/>
    <mergeCell ref="A23:H23"/>
    <mergeCell ref="C19:E19"/>
    <mergeCell ref="A1:H1"/>
    <mergeCell ref="A3:H3"/>
    <mergeCell ref="A4:H5"/>
    <mergeCell ref="A6:C6"/>
    <mergeCell ref="A8:C8"/>
    <mergeCell ref="A12:B12"/>
    <mergeCell ref="A11:H11"/>
    <mergeCell ref="A9:C9"/>
    <mergeCell ref="A7:C7"/>
    <mergeCell ref="E6:H6"/>
    <mergeCell ref="E7:H9"/>
    <mergeCell ref="G12:H12"/>
  </mergeCells>
  <dataValidations count="9">
    <dataValidation type="list" allowBlank="1" showInputMessage="1" showErrorMessage="1" sqref="D21" xr:uid="{00000000-0002-0000-0400-000000000000}">
      <formula1>"EXCELENTE,BUENA,REGULAR,MALA"</formula1>
    </dataValidation>
    <dataValidation type="list" allowBlank="1" showInputMessage="1" showErrorMessage="1" sqref="C21" xr:uid="{00000000-0002-0000-0400-000001000000}">
      <formula1>"EXCELENTES,BUENAS,REGULARES,MALAS"</formula1>
    </dataValidation>
    <dataValidation type="list" allowBlank="1" showInputMessage="1" showErrorMessage="1" sqref="B17" xr:uid="{00000000-0002-0000-0400-000002000000}">
      <formula1>"0-2m,2-4m,&gt;4m"</formula1>
    </dataValidation>
    <dataValidation type="list" allowBlank="1" showInputMessage="1" showErrorMessage="1" sqref="C17" xr:uid="{00000000-0002-0000-0400-000003000000}">
      <formula1>"FACIL,MEDIO,REGULAR,DIFICIL"</formula1>
    </dataValidation>
    <dataValidation type="list" allowBlank="1" showInputMessage="1" showErrorMessage="1" sqref="D17" xr:uid="{00000000-0002-0000-0400-000004000000}">
      <formula1>"45°-90°,90°-180°"</formula1>
    </dataValidation>
    <dataValidation type="list" allowBlank="1" showInputMessage="1" showErrorMessage="1" sqref="E17" xr:uid="{00000000-0002-0000-0400-000005000000}">
      <formula1>"VOLQUETA,FIJA"</formula1>
    </dataValidation>
    <dataValidation type="list" allowBlank="1" showInputMessage="1" showErrorMessage="1" sqref="C12" xr:uid="{00000000-0002-0000-0400-000006000000}">
      <formula1>RETROEXCAVADORAS</formula1>
    </dataValidation>
    <dataValidation type="list" allowBlank="1" showInputMessage="1" showErrorMessage="1" sqref="C13" xr:uid="{00000000-0002-0000-0400-000007000000}">
      <formula1>INDIRECT($C$12)</formula1>
    </dataValidation>
    <dataValidation type="list" allowBlank="1" showInputMessage="1" showErrorMessage="1" sqref="E13" xr:uid="{00000000-0002-0000-0400-000008000000}">
      <formula1>INDIRECT($C$13)</formula1>
    </dataValidation>
  </dataValidations>
  <pageMargins left="0.7" right="0.7" top="0.75" bottom="0.75" header="0.3" footer="0.3"/>
  <pageSetup paperSize="9" scale="65" orientation="portrait" horizontalDpi="0" verticalDpi="0" r:id="rId1"/>
  <drawing r:id="rId2"/>
  <legacyDrawing r:id="rId3"/>
  <oleObjects>
    <mc:AlternateContent xmlns:mc="http://schemas.openxmlformats.org/markup-compatibility/2006">
      <mc:Choice Requires="x14">
        <oleObject progId="Equation.DSMT4" shapeId="2063" r:id="rId4">
          <objectPr defaultSize="0" autoPict="0" r:id="rId5">
            <anchor moveWithCells="1">
              <from>
                <xdr:col>1</xdr:col>
                <xdr:colOff>742950</xdr:colOff>
                <xdr:row>23</xdr:row>
                <xdr:rowOff>47625</xdr:rowOff>
              </from>
              <to>
                <xdr:col>3</xdr:col>
                <xdr:colOff>0</xdr:colOff>
                <xdr:row>23</xdr:row>
                <xdr:rowOff>466725</xdr:rowOff>
              </to>
            </anchor>
          </objectPr>
        </oleObject>
      </mc:Choice>
      <mc:Fallback>
        <oleObject progId="Equation.DSMT4" shapeId="5121" r:id="rId4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7">
    <tabColor rgb="FF00B050"/>
  </sheetPr>
  <dimension ref="A1:I31"/>
  <sheetViews>
    <sheetView view="pageBreakPreview" zoomScaleNormal="85" zoomScaleSheetLayoutView="100" workbookViewId="0">
      <selection activeCell="L11" sqref="L11"/>
    </sheetView>
  </sheetViews>
  <sheetFormatPr defaultColWidth="10.76171875" defaultRowHeight="15" x14ac:dyDescent="0.2"/>
  <cols>
    <col min="2" max="2" width="22.1953125" customWidth="1"/>
    <col min="3" max="3" width="21.38671875" customWidth="1"/>
    <col min="4" max="4" width="15.73828125" customWidth="1"/>
    <col min="5" max="5" width="16.54296875" customWidth="1"/>
    <col min="6" max="6" width="16.27734375" bestFit="1" customWidth="1"/>
  </cols>
  <sheetData>
    <row r="1" spans="1:9" ht="19.5" thickBot="1" x14ac:dyDescent="0.3">
      <c r="A1" s="204" t="s">
        <v>0</v>
      </c>
      <c r="B1" s="205"/>
      <c r="C1" s="205"/>
      <c r="D1" s="205"/>
      <c r="E1" s="205"/>
      <c r="F1" s="205"/>
      <c r="G1" s="239"/>
      <c r="H1" s="239"/>
      <c r="I1" s="206"/>
    </row>
    <row r="2" spans="1:9" ht="15.75" thickBot="1" x14ac:dyDescent="0.25"/>
    <row r="3" spans="1:9" x14ac:dyDescent="0.2">
      <c r="A3" s="207" t="s">
        <v>514</v>
      </c>
      <c r="B3" s="208"/>
      <c r="C3" s="208"/>
      <c r="D3" s="208"/>
      <c r="E3" s="208"/>
      <c r="F3" s="208"/>
      <c r="G3" s="198"/>
      <c r="H3" s="198"/>
      <c r="I3" s="209"/>
    </row>
    <row r="4" spans="1:9" ht="62.25" customHeight="1" x14ac:dyDescent="0.2">
      <c r="A4" s="164"/>
      <c r="B4" s="164"/>
      <c r="C4" s="164"/>
      <c r="D4" s="164"/>
      <c r="E4" s="164"/>
      <c r="F4" s="164"/>
      <c r="G4" s="164"/>
      <c r="H4" s="164"/>
      <c r="I4" s="164"/>
    </row>
    <row r="5" spans="1:9" x14ac:dyDescent="0.2">
      <c r="A5" s="185" t="s">
        <v>542</v>
      </c>
      <c r="B5" s="185"/>
      <c r="C5" s="185"/>
      <c r="D5" s="61">
        <v>500</v>
      </c>
      <c r="E5" s="187">
        <f>ROUND((((60*$D$5*$D$6*($D$9-$D$10))/($D$11*$D$12))*$D$13)/(1+$D$14),2)</f>
        <v>164.3</v>
      </c>
      <c r="F5" s="187"/>
      <c r="G5" s="187"/>
      <c r="H5" s="187"/>
      <c r="I5" s="187"/>
    </row>
    <row r="6" spans="1:9" x14ac:dyDescent="0.2">
      <c r="A6" s="243" t="s">
        <v>545</v>
      </c>
      <c r="B6" s="244"/>
      <c r="C6" s="98" t="s">
        <v>111</v>
      </c>
      <c r="D6" s="98">
        <f>+IF(C6="EN V",0.292,IF(C6="RECTO",0.317,0))</f>
        <v>0.29199999999999998</v>
      </c>
      <c r="E6" s="187"/>
      <c r="F6" s="187"/>
      <c r="G6" s="187"/>
      <c r="H6" s="187"/>
      <c r="I6" s="187"/>
    </row>
    <row r="7" spans="1:9" x14ac:dyDescent="0.2">
      <c r="A7" s="185" t="s">
        <v>549</v>
      </c>
      <c r="B7" s="185"/>
      <c r="C7" s="185"/>
      <c r="D7" s="98">
        <f>+$G$17</f>
        <v>3.66</v>
      </c>
      <c r="E7" s="187"/>
      <c r="F7" s="187"/>
      <c r="G7" s="187"/>
      <c r="H7" s="187"/>
      <c r="I7" s="187"/>
    </row>
    <row r="8" spans="1:9" x14ac:dyDescent="0.2">
      <c r="A8" s="185" t="s">
        <v>548</v>
      </c>
      <c r="B8" s="185"/>
      <c r="C8" s="185"/>
      <c r="D8" s="61">
        <v>50</v>
      </c>
      <c r="E8" s="187"/>
      <c r="F8" s="187"/>
      <c r="G8" s="187"/>
      <c r="H8" s="187"/>
      <c r="I8" s="187"/>
    </row>
    <row r="9" spans="1:9" x14ac:dyDescent="0.2">
      <c r="A9" s="185" t="s">
        <v>546</v>
      </c>
      <c r="B9" s="185"/>
      <c r="C9" s="185"/>
      <c r="D9" s="61">
        <f>+ROUND($D$7*COS($D$8*3.1416/180),2)</f>
        <v>2.35</v>
      </c>
      <c r="E9" s="187"/>
      <c r="F9" s="187"/>
      <c r="G9" s="187"/>
      <c r="H9" s="187"/>
      <c r="I9" s="187"/>
    </row>
    <row r="10" spans="1:9" x14ac:dyDescent="0.2">
      <c r="A10" s="185" t="s">
        <v>547</v>
      </c>
      <c r="B10" s="185"/>
      <c r="C10" s="185"/>
      <c r="D10" s="61">
        <v>0.2</v>
      </c>
      <c r="E10" s="187"/>
      <c r="F10" s="187"/>
      <c r="G10" s="187"/>
      <c r="H10" s="187"/>
      <c r="I10" s="187"/>
    </row>
    <row r="11" spans="1:9" ht="27.75" x14ac:dyDescent="0.2">
      <c r="A11" s="243" t="s">
        <v>550</v>
      </c>
      <c r="B11" s="244"/>
      <c r="C11" s="103" t="s">
        <v>553</v>
      </c>
      <c r="D11" s="98">
        <f>+IF($C$11="NIVELACION",6,IF($C$11="LIMPIEZA DE MALEZA",4,IF($C$11="ESCARIFICADO DE SUELOS",2,IF($C$11="MEZCLA DE MATERIALES",9,IF($C$11="CONFORMACION DE SUBRASANTES",6,0)))))</f>
        <v>6</v>
      </c>
      <c r="E11" s="187"/>
      <c r="F11" s="187"/>
      <c r="G11" s="187"/>
      <c r="H11" s="187"/>
      <c r="I11" s="187"/>
    </row>
    <row r="12" spans="1:9" x14ac:dyDescent="0.2">
      <c r="A12" s="185" t="s">
        <v>150</v>
      </c>
      <c r="B12" s="185"/>
      <c r="C12" s="185"/>
      <c r="D12" s="98">
        <f>+$E$21</f>
        <v>14.89</v>
      </c>
      <c r="E12" s="187"/>
      <c r="F12" s="187"/>
      <c r="G12" s="187"/>
      <c r="H12" s="187"/>
      <c r="I12" s="187"/>
    </row>
    <row r="13" spans="1:9" x14ac:dyDescent="0.2">
      <c r="A13" s="185" t="s">
        <v>552</v>
      </c>
      <c r="B13" s="185"/>
      <c r="C13" s="185"/>
      <c r="D13" s="98">
        <f>+$E$28</f>
        <v>0.71249999999999991</v>
      </c>
      <c r="E13" s="187"/>
      <c r="F13" s="187"/>
      <c r="G13" s="187"/>
      <c r="H13" s="187"/>
      <c r="I13" s="187"/>
    </row>
    <row r="14" spans="1:9" x14ac:dyDescent="0.2">
      <c r="A14" s="185" t="s">
        <v>551</v>
      </c>
      <c r="B14" s="185"/>
      <c r="C14" s="185"/>
      <c r="D14" s="98">
        <f>+$F$31</f>
        <v>-8.5800000000000001E-2</v>
      </c>
      <c r="E14" s="187"/>
      <c r="F14" s="187"/>
      <c r="G14" s="187"/>
      <c r="H14" s="187"/>
      <c r="I14" s="187"/>
    </row>
    <row r="16" spans="1:9" x14ac:dyDescent="0.2">
      <c r="A16" s="150" t="s">
        <v>104</v>
      </c>
      <c r="B16" s="150"/>
      <c r="C16" s="150"/>
      <c r="D16" s="150"/>
      <c r="E16" s="150"/>
      <c r="F16" s="150"/>
      <c r="G16" s="150"/>
      <c r="H16" s="150"/>
      <c r="I16" s="150"/>
    </row>
    <row r="17" spans="1:9" x14ac:dyDescent="0.2">
      <c r="A17" s="97" t="s">
        <v>196</v>
      </c>
      <c r="B17" s="164" t="s">
        <v>515</v>
      </c>
      <c r="C17" s="164"/>
      <c r="D17" s="97" t="s">
        <v>69</v>
      </c>
      <c r="E17" s="45">
        <f>+VLOOKUP(B17,'DATOS FINAL'!F126:I144,2,FALSE)</f>
        <v>140</v>
      </c>
      <c r="F17" s="97" t="s">
        <v>537</v>
      </c>
      <c r="G17" s="97">
        <f>+VLOOKUP(B17,'DATOS FINAL'!F126:I144,3,FALSE)</f>
        <v>3.66</v>
      </c>
      <c r="H17" s="97" t="s">
        <v>538</v>
      </c>
      <c r="I17" s="97">
        <f>+VLOOKUP(B17,'DATOS FINAL'!F126:I144,4,FALSE)</f>
        <v>0.61</v>
      </c>
    </row>
    <row r="19" spans="1:9" x14ac:dyDescent="0.2">
      <c r="A19" s="150" t="s">
        <v>539</v>
      </c>
      <c r="B19" s="150"/>
      <c r="C19" s="150"/>
      <c r="D19" s="150"/>
      <c r="E19" s="150"/>
      <c r="F19" s="150"/>
      <c r="G19" s="150"/>
      <c r="H19" s="150"/>
      <c r="I19" s="150"/>
    </row>
    <row r="20" spans="1:9" s="101" customFormat="1" ht="63" customHeight="1" x14ac:dyDescent="0.2">
      <c r="A20" s="219"/>
      <c r="B20" s="219"/>
      <c r="C20" s="219"/>
      <c r="D20" s="219"/>
      <c r="E20" s="219"/>
      <c r="F20" s="219"/>
      <c r="G20" s="219"/>
      <c r="H20" s="219"/>
      <c r="I20" s="219"/>
    </row>
    <row r="21" spans="1:9" x14ac:dyDescent="0.2">
      <c r="A21" s="171" t="s">
        <v>542</v>
      </c>
      <c r="B21" s="171"/>
      <c r="C21" s="171"/>
      <c r="D21" s="22">
        <f>+D5</f>
        <v>500</v>
      </c>
      <c r="E21" s="187">
        <f>ROUND(+(D21/D22)+(D21/D23)+D24,2)</f>
        <v>14.89</v>
      </c>
      <c r="F21" s="187"/>
      <c r="G21" s="187"/>
      <c r="H21" s="187"/>
      <c r="I21" s="187"/>
    </row>
    <row r="22" spans="1:9" x14ac:dyDescent="0.2">
      <c r="A22" s="171" t="s">
        <v>540</v>
      </c>
      <c r="B22" s="171"/>
      <c r="C22" s="97">
        <v>1</v>
      </c>
      <c r="D22" s="22">
        <f>ROUND(+(SUM('DATOS FINAL'!$R$126:$R$144)*1000)/60,2)</f>
        <v>60</v>
      </c>
      <c r="E22" s="187"/>
      <c r="F22" s="187"/>
      <c r="G22" s="187"/>
      <c r="H22" s="187"/>
      <c r="I22" s="187"/>
    </row>
    <row r="23" spans="1:9" x14ac:dyDescent="0.2">
      <c r="A23" s="171" t="s">
        <v>273</v>
      </c>
      <c r="B23" s="171"/>
      <c r="C23" s="97">
        <v>2</v>
      </c>
      <c r="D23" s="97">
        <f>ROUND(+(SUM('DATOS FINAL'!$AA$126:$AA$144)*1000)/60,2)</f>
        <v>90</v>
      </c>
      <c r="E23" s="187"/>
      <c r="F23" s="187"/>
      <c r="G23" s="187"/>
      <c r="H23" s="187"/>
      <c r="I23" s="187"/>
    </row>
    <row r="24" spans="1:9" x14ac:dyDescent="0.2">
      <c r="A24" s="171" t="s">
        <v>541</v>
      </c>
      <c r="B24" s="171"/>
      <c r="C24" s="171"/>
      <c r="D24" s="22">
        <v>1</v>
      </c>
      <c r="E24" s="187"/>
      <c r="F24" s="187"/>
      <c r="G24" s="187"/>
      <c r="H24" s="187"/>
      <c r="I24" s="187"/>
    </row>
    <row r="25" spans="1:9" ht="15.75" thickBot="1" x14ac:dyDescent="0.25">
      <c r="A25" s="102"/>
      <c r="B25" s="102"/>
      <c r="C25" s="102"/>
    </row>
    <row r="26" spans="1:9" x14ac:dyDescent="0.2">
      <c r="A26" s="3"/>
      <c r="B26" s="4"/>
      <c r="C26" s="208" t="s">
        <v>42</v>
      </c>
      <c r="D26" s="208"/>
      <c r="E26" s="208"/>
      <c r="F26" s="4"/>
      <c r="G26" s="4"/>
      <c r="H26" s="4"/>
      <c r="I26" s="5"/>
    </row>
    <row r="27" spans="1:9" ht="27.75" x14ac:dyDescent="0.2">
      <c r="A27" s="6"/>
      <c r="B27" s="7"/>
      <c r="C27" s="1" t="s">
        <v>5</v>
      </c>
      <c r="D27" s="15" t="s">
        <v>6</v>
      </c>
      <c r="E27" s="1" t="s">
        <v>4</v>
      </c>
      <c r="F27" s="2"/>
      <c r="G27" s="2"/>
      <c r="H27" s="2"/>
      <c r="I27" s="8"/>
    </row>
    <row r="28" spans="1:9" ht="15.75" thickBot="1" x14ac:dyDescent="0.25">
      <c r="A28" s="10"/>
      <c r="B28" s="11"/>
      <c r="C28" s="21" t="s">
        <v>9</v>
      </c>
      <c r="D28" s="21" t="s">
        <v>13</v>
      </c>
      <c r="E28" s="94">
        <f>+SUM('DATOS FINAL'!L3:L6)</f>
        <v>0.71249999999999991</v>
      </c>
      <c r="F28" s="11"/>
      <c r="G28" s="11"/>
      <c r="H28" s="11"/>
      <c r="I28" s="12"/>
    </row>
    <row r="30" spans="1:9" x14ac:dyDescent="0.2">
      <c r="A30" s="139" t="s">
        <v>57</v>
      </c>
      <c r="B30" s="139"/>
      <c r="C30" s="139"/>
      <c r="D30" s="139"/>
      <c r="E30" s="139"/>
      <c r="F30" s="139"/>
      <c r="G30" s="139"/>
      <c r="H30" s="139"/>
      <c r="I30" s="139"/>
    </row>
    <row r="31" spans="1:9" ht="41.25" customHeight="1" x14ac:dyDescent="0.2">
      <c r="A31" s="164"/>
      <c r="B31" s="164"/>
      <c r="C31" s="164"/>
      <c r="D31" s="164"/>
      <c r="E31" s="104">
        <v>142</v>
      </c>
      <c r="F31" s="242">
        <f>+(E31-1000)/10000</f>
        <v>-8.5800000000000001E-2</v>
      </c>
      <c r="G31" s="242"/>
      <c r="H31" s="242"/>
      <c r="I31" s="242"/>
    </row>
  </sheetData>
  <mergeCells count="27">
    <mergeCell ref="A1:I1"/>
    <mergeCell ref="A3:I3"/>
    <mergeCell ref="A16:I16"/>
    <mergeCell ref="C26:E26"/>
    <mergeCell ref="B17:C17"/>
    <mergeCell ref="A19:I19"/>
    <mergeCell ref="A22:B22"/>
    <mergeCell ref="A23:B23"/>
    <mergeCell ref="A20:I20"/>
    <mergeCell ref="A4:I4"/>
    <mergeCell ref="E5:I14"/>
    <mergeCell ref="A5:C5"/>
    <mergeCell ref="A7:C7"/>
    <mergeCell ref="A8:C8"/>
    <mergeCell ref="A9:C9"/>
    <mergeCell ref="A10:C10"/>
    <mergeCell ref="A12:C12"/>
    <mergeCell ref="A13:C13"/>
    <mergeCell ref="A14:C14"/>
    <mergeCell ref="A6:B6"/>
    <mergeCell ref="A11:B11"/>
    <mergeCell ref="A31:D31"/>
    <mergeCell ref="A24:C24"/>
    <mergeCell ref="A21:C21"/>
    <mergeCell ref="E21:I24"/>
    <mergeCell ref="A30:I30"/>
    <mergeCell ref="F31:I31"/>
  </mergeCells>
  <dataValidations count="6">
    <dataValidation type="list" allowBlank="1" showInputMessage="1" showErrorMessage="1" sqref="C28" xr:uid="{00000000-0002-0000-0500-000000000000}">
      <formula1>"EXCELENTES,BUENAS,REGULARES,MALAS"</formula1>
    </dataValidation>
    <dataValidation type="list" allowBlank="1" showInputMessage="1" showErrorMessage="1" sqref="D28" xr:uid="{00000000-0002-0000-0500-000001000000}">
      <formula1>"EXCELENTE,BUENA,REGULAR,MALA"</formula1>
    </dataValidation>
    <dataValidation type="list" allowBlank="1" showInputMessage="1" showErrorMessage="1" sqref="B17:C17" xr:uid="{00000000-0002-0000-0500-000002000000}">
      <formula1>MOTONIVELADORAS</formula1>
    </dataValidation>
    <dataValidation type="list" allowBlank="1" showInputMessage="1" showErrorMessage="1" sqref="C22:C23" xr:uid="{00000000-0002-0000-0500-000003000000}">
      <formula1>"1,2,3,4,5,6,7,8"</formula1>
    </dataValidation>
    <dataValidation type="list" allowBlank="1" showInputMessage="1" showErrorMessage="1" sqref="C6" xr:uid="{00000000-0002-0000-0500-000004000000}">
      <formula1>"EN V,RECTO"</formula1>
    </dataValidation>
    <dataValidation type="list" allowBlank="1" showInputMessage="1" showErrorMessage="1" sqref="C11" xr:uid="{00000000-0002-0000-0500-000005000000}">
      <formula1>"NIVELACION,LIMPIEZA DE MALEZA,ESCARIFICADO DE SUELOS,MEZCLA DE MATERIALES,CONFORMACION DE SUBRASANTES"</formula1>
    </dataValidation>
  </dataValidations>
  <pageMargins left="0.7" right="0.7" top="0.75" bottom="0.75" header="0.3" footer="0.3"/>
  <pageSetup paperSize="9" scale="63" orientation="portrait" horizontalDpi="0" verticalDpi="0" r:id="rId1"/>
  <drawing r:id="rId2"/>
  <legacyDrawing r:id="rId3"/>
  <oleObjects>
    <mc:AlternateContent xmlns:mc="http://schemas.openxmlformats.org/markup-compatibility/2006">
      <mc:Choice Requires="x14">
        <oleObject progId="Equation.DSMT4" shapeId="20481" r:id="rId4">
          <objectPr defaultSize="0" autoPict="0" r:id="rId5">
            <anchor moveWithCells="1">
              <from>
                <xdr:col>1</xdr:col>
                <xdr:colOff>295275</xdr:colOff>
                <xdr:row>30</xdr:row>
                <xdr:rowOff>57150</xdr:rowOff>
              </from>
              <to>
                <xdr:col>2</xdr:col>
                <xdr:colOff>1428750</xdr:colOff>
                <xdr:row>30</xdr:row>
                <xdr:rowOff>485775</xdr:rowOff>
              </to>
            </anchor>
          </objectPr>
        </oleObject>
      </mc:Choice>
      <mc:Fallback>
        <oleObject progId="Equation.DSMT4" shapeId="20481" r:id="rId4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B050"/>
  </sheetPr>
  <dimension ref="A1:G29"/>
  <sheetViews>
    <sheetView view="pageBreakPreview" topLeftCell="A7" zoomScaleNormal="100" zoomScaleSheetLayoutView="100" workbookViewId="0">
      <selection activeCell="E20" sqref="E20"/>
    </sheetView>
  </sheetViews>
  <sheetFormatPr defaultColWidth="10.76171875" defaultRowHeight="15" x14ac:dyDescent="0.2"/>
  <cols>
    <col min="2" max="2" width="13.44921875" customWidth="1"/>
    <col min="3" max="3" width="13.5859375" customWidth="1"/>
    <col min="4" max="4" width="16.0078125" customWidth="1"/>
  </cols>
  <sheetData>
    <row r="1" spans="1:7" ht="18.75" x14ac:dyDescent="0.25">
      <c r="A1" s="176" t="s">
        <v>554</v>
      </c>
      <c r="B1" s="176"/>
      <c r="C1" s="176"/>
      <c r="D1" s="176"/>
      <c r="E1" s="176"/>
      <c r="F1" s="176"/>
      <c r="G1" s="176"/>
    </row>
    <row r="3" spans="1:7" x14ac:dyDescent="0.2">
      <c r="A3" s="139" t="s">
        <v>574</v>
      </c>
      <c r="B3" s="139"/>
      <c r="C3" s="139"/>
      <c r="D3" s="139"/>
      <c r="E3" s="139"/>
      <c r="F3" s="139"/>
      <c r="G3" s="139"/>
    </row>
    <row r="4" spans="1:7" ht="58.5" customHeight="1" x14ac:dyDescent="0.2">
      <c r="A4" s="177"/>
      <c r="B4" s="178"/>
      <c r="C4" s="178"/>
      <c r="D4" s="178"/>
      <c r="E4" s="178"/>
      <c r="F4" s="178"/>
      <c r="G4" s="179"/>
    </row>
    <row r="5" spans="1:7" ht="15" customHeight="1" x14ac:dyDescent="0.2">
      <c r="A5" s="171" t="s">
        <v>555</v>
      </c>
      <c r="B5" s="171"/>
      <c r="C5" s="171"/>
      <c r="D5" s="108">
        <v>7</v>
      </c>
      <c r="E5" s="247" t="s">
        <v>575</v>
      </c>
      <c r="F5" s="247"/>
      <c r="G5" s="247"/>
    </row>
    <row r="6" spans="1:7" ht="15" customHeight="1" x14ac:dyDescent="0.2">
      <c r="A6" s="252" t="s">
        <v>570</v>
      </c>
      <c r="B6" s="252"/>
      <c r="C6" s="252"/>
      <c r="D6" s="107">
        <f>+F22</f>
        <v>10.58</v>
      </c>
      <c r="E6" s="248" t="s">
        <v>576</v>
      </c>
      <c r="F6" s="249"/>
      <c r="G6" s="245">
        <f>ROUND(((((D7/D6)*D5)*D8)/(1+D9))/8,2)</f>
        <v>36.479999999999997</v>
      </c>
    </row>
    <row r="7" spans="1:7" ht="15" customHeight="1" x14ac:dyDescent="0.2">
      <c r="A7" s="252" t="s">
        <v>572</v>
      </c>
      <c r="B7" s="252"/>
      <c r="C7" s="252"/>
      <c r="D7" s="107">
        <f>8*60</f>
        <v>480</v>
      </c>
      <c r="E7" s="250"/>
      <c r="F7" s="251"/>
      <c r="G7" s="246"/>
    </row>
    <row r="8" spans="1:7" ht="15" customHeight="1" x14ac:dyDescent="0.2">
      <c r="A8" s="171" t="s">
        <v>552</v>
      </c>
      <c r="B8" s="171"/>
      <c r="C8" s="171"/>
      <c r="D8" s="107">
        <f>+E26</f>
        <v>0.84</v>
      </c>
      <c r="E8" s="248" t="s">
        <v>577</v>
      </c>
      <c r="F8" s="249"/>
      <c r="G8" s="245">
        <f>ROUND(+G6*8/D5,0)</f>
        <v>42</v>
      </c>
    </row>
    <row r="9" spans="1:7" ht="15" customHeight="1" x14ac:dyDescent="0.2">
      <c r="A9" s="171" t="s">
        <v>573</v>
      </c>
      <c r="B9" s="171"/>
      <c r="C9" s="171"/>
      <c r="D9" s="107">
        <f>+F29</f>
        <v>-8.5800000000000001E-2</v>
      </c>
      <c r="E9" s="250"/>
      <c r="F9" s="251"/>
      <c r="G9" s="246"/>
    </row>
    <row r="10" spans="1:7" x14ac:dyDescent="0.2">
      <c r="A10" s="105"/>
      <c r="B10" s="105"/>
      <c r="C10" s="105"/>
    </row>
    <row r="11" spans="1:7" x14ac:dyDescent="0.2">
      <c r="A11" s="139" t="s">
        <v>556</v>
      </c>
      <c r="B11" s="139"/>
      <c r="C11" s="139"/>
      <c r="D11" s="139"/>
      <c r="E11" s="139"/>
      <c r="F11" s="139"/>
      <c r="G11" s="139"/>
    </row>
    <row r="12" spans="1:7" x14ac:dyDescent="0.2">
      <c r="A12" s="253" t="s">
        <v>562</v>
      </c>
      <c r="B12" s="253"/>
      <c r="C12" s="253"/>
      <c r="D12" s="253"/>
      <c r="E12" s="253"/>
      <c r="F12" s="108" t="s">
        <v>558</v>
      </c>
      <c r="G12" s="124">
        <f>+IF(F12="SI",RETROEXCAVADORA!$H$13,0)</f>
        <v>0</v>
      </c>
    </row>
    <row r="13" spans="1:7" x14ac:dyDescent="0.2">
      <c r="A13" s="253" t="s">
        <v>561</v>
      </c>
      <c r="B13" s="253"/>
      <c r="C13" s="253"/>
      <c r="D13" s="253"/>
      <c r="E13" s="253"/>
      <c r="F13" s="108" t="s">
        <v>557</v>
      </c>
      <c r="G13" s="124">
        <f>+IF(F13="SI",'CARGADOR FRONTAL'!$F$11,0)</f>
        <v>18</v>
      </c>
    </row>
    <row r="14" spans="1:7" x14ac:dyDescent="0.2">
      <c r="A14" s="254" t="s">
        <v>560</v>
      </c>
      <c r="B14" s="254"/>
      <c r="C14" s="254"/>
      <c r="D14" s="254"/>
      <c r="E14" s="254"/>
      <c r="F14" s="254"/>
      <c r="G14" s="107">
        <f>ROUND(+$D$5/SUM($G$12:$G$13),2)</f>
        <v>0.39</v>
      </c>
    </row>
    <row r="15" spans="1:7" x14ac:dyDescent="0.2">
      <c r="A15" s="254" t="s">
        <v>559</v>
      </c>
      <c r="B15" s="254"/>
      <c r="C15" s="254"/>
      <c r="D15" s="254"/>
      <c r="E15" s="254"/>
      <c r="F15" s="254"/>
      <c r="G15" s="107">
        <f>+IF($G$12&gt;0,RETROEXCAVADORA!$F$17,IF($G$13&gt;0,'CARGADOR FRONTAL'!$D$24*60,0))</f>
        <v>142.79999999999998</v>
      </c>
    </row>
    <row r="16" spans="1:7" x14ac:dyDescent="0.2">
      <c r="A16" s="254" t="s">
        <v>563</v>
      </c>
      <c r="B16" s="254"/>
      <c r="C16" s="254"/>
      <c r="D16" s="254"/>
      <c r="E16" s="254"/>
      <c r="F16" s="254"/>
      <c r="G16" s="122">
        <f>ROUND((+$G$14*$G$15)/60,2)</f>
        <v>0.93</v>
      </c>
    </row>
    <row r="17" spans="1:7" ht="15" customHeight="1" x14ac:dyDescent="0.2">
      <c r="A17" s="172" t="s">
        <v>564</v>
      </c>
      <c r="B17" s="172"/>
      <c r="C17" s="172"/>
      <c r="D17" s="172"/>
      <c r="E17" s="172"/>
      <c r="F17" s="172"/>
      <c r="G17" s="126">
        <v>1.3</v>
      </c>
    </row>
    <row r="18" spans="1:7" ht="15" customHeight="1" x14ac:dyDescent="0.2">
      <c r="A18" s="252" t="s">
        <v>565</v>
      </c>
      <c r="B18" s="252"/>
      <c r="C18" s="252"/>
      <c r="D18" s="252"/>
      <c r="E18" s="252"/>
      <c r="F18" s="252"/>
      <c r="G18" s="126">
        <v>0.35</v>
      </c>
    </row>
    <row r="19" spans="1:7" x14ac:dyDescent="0.2">
      <c r="A19" s="171" t="s">
        <v>569</v>
      </c>
      <c r="B19" s="171"/>
      <c r="C19" s="171"/>
      <c r="D19" s="171"/>
      <c r="E19" s="171"/>
      <c r="F19" s="171"/>
      <c r="G19" s="22">
        <v>1000</v>
      </c>
    </row>
    <row r="20" spans="1:7" x14ac:dyDescent="0.2">
      <c r="A20" s="255" t="s">
        <v>567</v>
      </c>
      <c r="B20" s="255"/>
      <c r="C20" s="123" t="s">
        <v>566</v>
      </c>
      <c r="D20" s="123"/>
      <c r="E20" s="125">
        <v>15</v>
      </c>
      <c r="F20" s="107">
        <f>ROUND((E20*1000)/60,2)</f>
        <v>250</v>
      </c>
      <c r="G20" s="127">
        <f>ROUND(+IF(F20&gt;0,G19/F20,0),2)</f>
        <v>4</v>
      </c>
    </row>
    <row r="21" spans="1:7" x14ac:dyDescent="0.2">
      <c r="A21" s="255" t="s">
        <v>568</v>
      </c>
      <c r="B21" s="255"/>
      <c r="C21" s="123" t="s">
        <v>566</v>
      </c>
      <c r="D21" s="123"/>
      <c r="E21" s="125">
        <f>+E20</f>
        <v>15</v>
      </c>
      <c r="F21" s="107">
        <f>ROUND((E21*1000)/60,2)</f>
        <v>250</v>
      </c>
      <c r="G21" s="127">
        <f>ROUND(+IF(F21&gt;0,G19/F21,0),2)</f>
        <v>4</v>
      </c>
    </row>
    <row r="22" spans="1:7" ht="33" customHeight="1" x14ac:dyDescent="0.2">
      <c r="A22" s="242" t="s">
        <v>571</v>
      </c>
      <c r="B22" s="242"/>
      <c r="C22" s="242"/>
      <c r="D22" s="242"/>
      <c r="E22" s="242"/>
      <c r="F22" s="256">
        <f>+G16+G17+G18+G20+G21</f>
        <v>10.58</v>
      </c>
      <c r="G22" s="256"/>
    </row>
    <row r="23" spans="1:7" x14ac:dyDescent="0.2">
      <c r="A23" s="110"/>
      <c r="B23" s="110"/>
      <c r="C23" s="110"/>
    </row>
    <row r="24" spans="1:7" x14ac:dyDescent="0.2">
      <c r="A24" s="114"/>
      <c r="B24" s="115"/>
      <c r="C24" s="150" t="s">
        <v>42</v>
      </c>
      <c r="D24" s="150"/>
      <c r="E24" s="150"/>
      <c r="F24" s="115"/>
      <c r="G24" s="116"/>
    </row>
    <row r="25" spans="1:7" ht="27.75" x14ac:dyDescent="0.2">
      <c r="A25" s="117"/>
      <c r="B25" s="7"/>
      <c r="C25" s="1" t="s">
        <v>5</v>
      </c>
      <c r="D25" s="15" t="s">
        <v>6</v>
      </c>
      <c r="E25" s="1" t="s">
        <v>4</v>
      </c>
      <c r="F25" s="2"/>
      <c r="G25" s="118"/>
    </row>
    <row r="26" spans="1:7" x14ac:dyDescent="0.2">
      <c r="A26" s="119"/>
      <c r="B26" s="120"/>
      <c r="C26" s="107" t="s">
        <v>8</v>
      </c>
      <c r="D26" s="107" t="s">
        <v>12</v>
      </c>
      <c r="E26" s="106">
        <f>+SUM('DATOS FINAL'!$M$3:$M$6)</f>
        <v>0.84</v>
      </c>
      <c r="F26" s="120"/>
      <c r="G26" s="121"/>
    </row>
    <row r="28" spans="1:7" x14ac:dyDescent="0.2">
      <c r="A28" s="139" t="s">
        <v>57</v>
      </c>
      <c r="B28" s="139"/>
      <c r="C28" s="139"/>
      <c r="D28" s="139"/>
      <c r="E28" s="139"/>
      <c r="F28" s="139"/>
      <c r="G28" s="139"/>
    </row>
    <row r="29" spans="1:7" ht="42" customHeight="1" x14ac:dyDescent="0.2">
      <c r="A29" s="180">
        <v>142</v>
      </c>
      <c r="B29" s="180"/>
      <c r="C29" s="180"/>
      <c r="D29" s="180"/>
      <c r="E29" s="109">
        <v>142</v>
      </c>
      <c r="F29" s="242">
        <f>+(E29-1000)/10000</f>
        <v>-8.5800000000000001E-2</v>
      </c>
      <c r="G29" s="242"/>
    </row>
  </sheetData>
  <mergeCells count="30">
    <mergeCell ref="A1:G1"/>
    <mergeCell ref="C24:E24"/>
    <mergeCell ref="A28:G28"/>
    <mergeCell ref="F29:G29"/>
    <mergeCell ref="A29:D29"/>
    <mergeCell ref="A5:C5"/>
    <mergeCell ref="A12:E12"/>
    <mergeCell ref="A13:E13"/>
    <mergeCell ref="A14:F14"/>
    <mergeCell ref="A15:F15"/>
    <mergeCell ref="A16:F16"/>
    <mergeCell ref="A17:F17"/>
    <mergeCell ref="A20:B20"/>
    <mergeCell ref="A21:B21"/>
    <mergeCell ref="A22:E22"/>
    <mergeCell ref="F22:G22"/>
    <mergeCell ref="A18:F18"/>
    <mergeCell ref="A19:F19"/>
    <mergeCell ref="E8:F9"/>
    <mergeCell ref="G8:G9"/>
    <mergeCell ref="A8:C8"/>
    <mergeCell ref="A9:C9"/>
    <mergeCell ref="A11:G11"/>
    <mergeCell ref="A3:G3"/>
    <mergeCell ref="A4:G4"/>
    <mergeCell ref="G6:G7"/>
    <mergeCell ref="E5:G5"/>
    <mergeCell ref="E6:F7"/>
    <mergeCell ref="A6:C6"/>
    <mergeCell ref="A7:C7"/>
  </mergeCells>
  <dataValidations disablePrompts="1" count="3">
    <dataValidation type="list" allowBlank="1" showInputMessage="1" showErrorMessage="1" sqref="D26" xr:uid="{00000000-0002-0000-0600-000000000000}">
      <formula1>"EXCELENTE,BUENA,REGULAR,MALA"</formula1>
    </dataValidation>
    <dataValidation type="list" allowBlank="1" showInputMessage="1" showErrorMessage="1" sqref="C26" xr:uid="{00000000-0002-0000-0600-000001000000}">
      <formula1>"EXCELENTES,BUENAS,REGULARES,MALAS"</formula1>
    </dataValidation>
    <dataValidation type="list" allowBlank="1" showInputMessage="1" showErrorMessage="1" sqref="F12:F13" xr:uid="{00000000-0002-0000-0600-000002000000}">
      <formula1>"SI,NO"</formula1>
    </dataValidation>
  </dataValidations>
  <pageMargins left="0.7" right="0.7" top="0.75" bottom="0.75" header="0.3" footer="0.3"/>
  <pageSetup paperSize="9" scale="98" orientation="portrait" horizontalDpi="0" verticalDpi="0" r:id="rId1"/>
  <drawing r:id="rId2"/>
  <legacyDrawing r:id="rId3"/>
  <oleObjects>
    <mc:AlternateContent xmlns:mc="http://schemas.openxmlformats.org/markup-compatibility/2006">
      <mc:Choice Requires="x14">
        <oleObject progId="Equation.DSMT4" shapeId="23553" r:id="rId4">
          <objectPr defaultSize="0" autoPict="0" r:id="rId5">
            <anchor moveWithCells="1">
              <from>
                <xdr:col>0</xdr:col>
                <xdr:colOff>457200</xdr:colOff>
                <xdr:row>28</xdr:row>
                <xdr:rowOff>38100</xdr:rowOff>
              </from>
              <to>
                <xdr:col>3</xdr:col>
                <xdr:colOff>495300</xdr:colOff>
                <xdr:row>28</xdr:row>
                <xdr:rowOff>476250</xdr:rowOff>
              </to>
            </anchor>
          </objectPr>
        </oleObject>
      </mc:Choice>
      <mc:Fallback>
        <oleObject progId="Equation.DSMT4" shapeId="23553" r:id="rId4"/>
      </mc:Fallback>
    </mc:AlternateContent>
  </oleObjec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B050"/>
  </sheetPr>
  <dimension ref="A1:M23"/>
  <sheetViews>
    <sheetView view="pageBreakPreview" topLeftCell="A4" zoomScale="60" zoomScaleNormal="100" workbookViewId="0">
      <selection activeCell="I6" sqref="I6"/>
    </sheetView>
  </sheetViews>
  <sheetFormatPr defaultColWidth="10.76171875" defaultRowHeight="15" x14ac:dyDescent="0.2"/>
  <cols>
    <col min="2" max="2" width="20.04296875" customWidth="1"/>
    <col min="3" max="3" width="14.66015625" bestFit="1" customWidth="1"/>
    <col min="4" max="4" width="14.2578125" customWidth="1"/>
    <col min="6" max="6" width="11.1640625" customWidth="1"/>
  </cols>
  <sheetData>
    <row r="1" spans="1:13" ht="18.75" x14ac:dyDescent="0.25">
      <c r="A1" s="176" t="s">
        <v>578</v>
      </c>
      <c r="B1" s="176"/>
      <c r="C1" s="176"/>
      <c r="D1" s="176"/>
      <c r="E1" s="176"/>
      <c r="F1" s="176"/>
      <c r="G1" s="176"/>
    </row>
    <row r="3" spans="1:13" x14ac:dyDescent="0.2">
      <c r="A3" s="139" t="s">
        <v>588</v>
      </c>
      <c r="B3" s="139"/>
      <c r="C3" s="139"/>
      <c r="D3" s="139"/>
      <c r="E3" s="139"/>
      <c r="F3" s="139"/>
      <c r="G3" s="139"/>
    </row>
    <row r="4" spans="1:13" x14ac:dyDescent="0.2">
      <c r="A4" s="164"/>
      <c r="B4" s="164"/>
      <c r="C4" s="164"/>
      <c r="D4" s="164"/>
      <c r="E4" s="164"/>
      <c r="F4" s="164"/>
      <c r="G4" s="164"/>
    </row>
    <row r="5" spans="1:13" ht="33.75" customHeight="1" x14ac:dyDescent="0.2">
      <c r="A5" s="164"/>
      <c r="B5" s="164"/>
      <c r="C5" s="164"/>
      <c r="D5" s="164"/>
      <c r="E5" s="164"/>
      <c r="F5" s="164"/>
      <c r="G5" s="164"/>
    </row>
    <row r="6" spans="1:13" ht="28.5" customHeight="1" x14ac:dyDescent="0.2">
      <c r="A6" s="164"/>
      <c r="B6" s="164"/>
      <c r="C6" s="164"/>
      <c r="D6" s="164"/>
      <c r="E6" s="164"/>
      <c r="F6" s="164"/>
      <c r="G6" s="164"/>
    </row>
    <row r="7" spans="1:13" ht="15" customHeight="1" x14ac:dyDescent="0.2">
      <c r="A7" s="171" t="s">
        <v>581</v>
      </c>
      <c r="B7" s="171"/>
      <c r="C7" s="171"/>
      <c r="D7" s="129">
        <v>10000</v>
      </c>
      <c r="E7" s="273" t="s">
        <v>591</v>
      </c>
      <c r="F7" s="274"/>
      <c r="G7" s="275"/>
      <c r="J7" s="25"/>
      <c r="M7" s="25"/>
    </row>
    <row r="8" spans="1:13" ht="15" customHeight="1" x14ac:dyDescent="0.2">
      <c r="A8" s="171" t="s">
        <v>579</v>
      </c>
      <c r="B8" s="171"/>
      <c r="C8" s="171"/>
      <c r="D8" s="129">
        <v>480</v>
      </c>
      <c r="E8" s="264">
        <f>ROUND((D7/(D10+D11+D12+D13+(D14/D15)+(D14/D16))*E20)/(1+F23),2)</f>
        <v>111.25</v>
      </c>
      <c r="F8" s="265"/>
      <c r="G8" s="266"/>
    </row>
    <row r="9" spans="1:13" ht="15" customHeight="1" x14ac:dyDescent="0.2">
      <c r="A9" s="171" t="s">
        <v>580</v>
      </c>
      <c r="B9" s="171"/>
      <c r="C9" s="171"/>
      <c r="D9" s="129">
        <v>420</v>
      </c>
      <c r="E9" s="267"/>
      <c r="F9" s="268"/>
      <c r="G9" s="269"/>
      <c r="K9" s="25"/>
    </row>
    <row r="10" spans="1:13" ht="15" customHeight="1" x14ac:dyDescent="0.2">
      <c r="A10" s="171" t="s">
        <v>582</v>
      </c>
      <c r="B10" s="171"/>
      <c r="C10" s="171"/>
      <c r="D10" s="129">
        <f>ROUND(D7/D8,2)</f>
        <v>20.83</v>
      </c>
      <c r="E10" s="267"/>
      <c r="F10" s="268"/>
      <c r="G10" s="269"/>
      <c r="I10" s="25"/>
    </row>
    <row r="11" spans="1:13" ht="15" customHeight="1" x14ac:dyDescent="0.2">
      <c r="A11" s="171" t="s">
        <v>583</v>
      </c>
      <c r="B11" s="171"/>
      <c r="C11" s="129" t="s">
        <v>593</v>
      </c>
      <c r="D11" s="129">
        <f>+IF(C11="FAVORABLE",0.9,IF(C11="PROMEDIO",1.65,IF(C11="DESFAVORABLE",2.5,0)))</f>
        <v>2.5</v>
      </c>
      <c r="E11" s="270"/>
      <c r="F11" s="271"/>
      <c r="G11" s="272"/>
    </row>
    <row r="12" spans="1:13" ht="15" customHeight="1" x14ac:dyDescent="0.2">
      <c r="A12" s="171" t="s">
        <v>584</v>
      </c>
      <c r="B12" s="171"/>
      <c r="C12" s="171"/>
      <c r="D12" s="22">
        <f>ROUND(D7/D9,2)</f>
        <v>23.81</v>
      </c>
      <c r="E12" s="273" t="s">
        <v>592</v>
      </c>
      <c r="F12" s="274"/>
      <c r="G12" s="275"/>
      <c r="K12" s="25"/>
    </row>
    <row r="13" spans="1:13" ht="15" customHeight="1" x14ac:dyDescent="0.2">
      <c r="A13" s="171" t="s">
        <v>585</v>
      </c>
      <c r="B13" s="171"/>
      <c r="C13" s="129" t="s">
        <v>593</v>
      </c>
      <c r="D13" s="129">
        <f>+IF(C13="FAVORABLE",0.9,IF(C13="PROMEDIO",1.65,IF(C13="DESFAVORABLE",2.5,0)))</f>
        <v>2.5</v>
      </c>
      <c r="E13" s="230">
        <f>ROUND((D7/E8)/60,2)</f>
        <v>1.5</v>
      </c>
      <c r="F13" s="231"/>
      <c r="G13" s="259"/>
      <c r="I13" s="25"/>
    </row>
    <row r="14" spans="1:13" ht="15" customHeight="1" x14ac:dyDescent="0.2">
      <c r="A14" s="171" t="s">
        <v>589</v>
      </c>
      <c r="B14" s="171"/>
      <c r="C14" s="171"/>
      <c r="D14" s="22">
        <v>5000</v>
      </c>
      <c r="E14" s="233"/>
      <c r="F14" s="234"/>
      <c r="G14" s="260"/>
    </row>
    <row r="15" spans="1:13" ht="15" customHeight="1" x14ac:dyDescent="0.2">
      <c r="A15" s="257" t="s">
        <v>586</v>
      </c>
      <c r="B15" s="258"/>
      <c r="C15" s="132">
        <v>20</v>
      </c>
      <c r="D15" s="129">
        <f>ROUND((C15*1000)/60,2)</f>
        <v>333.33</v>
      </c>
      <c r="E15" s="233"/>
      <c r="F15" s="234"/>
      <c r="G15" s="260"/>
    </row>
    <row r="16" spans="1:13" ht="15" customHeight="1" x14ac:dyDescent="0.2">
      <c r="A16" s="257" t="s">
        <v>587</v>
      </c>
      <c r="B16" s="258"/>
      <c r="C16" s="132">
        <v>20</v>
      </c>
      <c r="D16" s="129">
        <f>ROUND((C16*1000)/60,2)</f>
        <v>333.33</v>
      </c>
      <c r="E16" s="261"/>
      <c r="F16" s="262"/>
      <c r="G16" s="263"/>
      <c r="I16" s="25"/>
    </row>
    <row r="18" spans="1:7" x14ac:dyDescent="0.2">
      <c r="A18" s="114"/>
      <c r="B18" s="115"/>
      <c r="C18" s="150" t="s">
        <v>89</v>
      </c>
      <c r="D18" s="150"/>
      <c r="E18" s="150"/>
      <c r="F18" s="115"/>
      <c r="G18" s="116"/>
    </row>
    <row r="19" spans="1:7" ht="27.75" x14ac:dyDescent="0.2">
      <c r="A19" s="117"/>
      <c r="B19" s="7"/>
      <c r="C19" s="1" t="s">
        <v>5</v>
      </c>
      <c r="D19" s="15" t="s">
        <v>6</v>
      </c>
      <c r="E19" s="1" t="s">
        <v>4</v>
      </c>
      <c r="F19" s="2"/>
      <c r="G19" s="118"/>
    </row>
    <row r="20" spans="1:7" x14ac:dyDescent="0.2">
      <c r="A20" s="119"/>
      <c r="B20" s="120"/>
      <c r="C20" s="129" t="s">
        <v>8</v>
      </c>
      <c r="D20" s="129" t="s">
        <v>13</v>
      </c>
      <c r="E20" s="128">
        <f>+SUM('DATOS FINAL'!$N$3:$N$6)</f>
        <v>0.81</v>
      </c>
      <c r="F20" s="120"/>
      <c r="G20" s="121"/>
    </row>
    <row r="22" spans="1:7" x14ac:dyDescent="0.2">
      <c r="A22" s="139" t="s">
        <v>590</v>
      </c>
      <c r="B22" s="139"/>
      <c r="C22" s="139"/>
      <c r="D22" s="139"/>
      <c r="E22" s="139"/>
      <c r="F22" s="139"/>
      <c r="G22" s="139"/>
    </row>
    <row r="23" spans="1:7" ht="51.75" customHeight="1" x14ac:dyDescent="0.2">
      <c r="A23" s="180"/>
      <c r="B23" s="180"/>
      <c r="C23" s="180"/>
      <c r="D23" s="180"/>
      <c r="E23" s="130">
        <v>142</v>
      </c>
      <c r="F23" s="242">
        <f>+(E23-1000)/10000</f>
        <v>-8.5800000000000001E-2</v>
      </c>
      <c r="G23" s="242"/>
    </row>
  </sheetData>
  <mergeCells count="21">
    <mergeCell ref="A1:G1"/>
    <mergeCell ref="A7:C7"/>
    <mergeCell ref="A8:C8"/>
    <mergeCell ref="A10:C10"/>
    <mergeCell ref="A4:G6"/>
    <mergeCell ref="A3:G3"/>
    <mergeCell ref="E7:G7"/>
    <mergeCell ref="A11:B11"/>
    <mergeCell ref="C18:E18"/>
    <mergeCell ref="E8:G11"/>
    <mergeCell ref="E12:G12"/>
    <mergeCell ref="A13:B13"/>
    <mergeCell ref="A9:C9"/>
    <mergeCell ref="A12:C12"/>
    <mergeCell ref="A14:C14"/>
    <mergeCell ref="A22:G22"/>
    <mergeCell ref="A23:D23"/>
    <mergeCell ref="F23:G23"/>
    <mergeCell ref="A15:B15"/>
    <mergeCell ref="A16:B16"/>
    <mergeCell ref="E13:G16"/>
  </mergeCells>
  <dataValidations disablePrompts="1" count="3">
    <dataValidation type="list" allowBlank="1" showInputMessage="1" showErrorMessage="1" sqref="C13 C11" xr:uid="{00000000-0002-0000-0700-000000000000}">
      <formula1>"FAVORABLE,PROMEDIO,DESFAVORABLE"</formula1>
    </dataValidation>
    <dataValidation type="list" allowBlank="1" showInputMessage="1" showErrorMessage="1" sqref="C20" xr:uid="{00000000-0002-0000-0700-000001000000}">
      <formula1>"EXCELENTES,BUENAS,REGULARES,MALAS"</formula1>
    </dataValidation>
    <dataValidation type="list" allowBlank="1" showInputMessage="1" showErrorMessage="1" sqref="D20" xr:uid="{00000000-0002-0000-0700-000002000000}">
      <formula1>"EXCELENTE,BUENA,REGULAR,MALA"</formula1>
    </dataValidation>
  </dataValidations>
  <pageMargins left="0.7" right="0.7" top="0.75" bottom="0.75" header="0.3" footer="0.3"/>
  <pageSetup paperSize="9" scale="92" orientation="portrait" horizontalDpi="0" verticalDpi="0" r:id="rId1"/>
  <drawing r:id="rId2"/>
  <legacyDrawing r:id="rId3"/>
  <oleObjects>
    <mc:AlternateContent xmlns:mc="http://schemas.openxmlformats.org/markup-compatibility/2006">
      <mc:Choice Requires="x14">
        <oleObject progId="Equation.DSMT4" shapeId="24579" r:id="rId4">
          <objectPr defaultSize="0" autoPict="0" r:id="rId5">
            <anchor moveWithCells="1">
              <from>
                <xdr:col>1</xdr:col>
                <xdr:colOff>47625</xdr:colOff>
                <xdr:row>22</xdr:row>
                <xdr:rowOff>28575</xdr:rowOff>
              </from>
              <to>
                <xdr:col>3</xdr:col>
                <xdr:colOff>333375</xdr:colOff>
                <xdr:row>22</xdr:row>
                <xdr:rowOff>628650</xdr:rowOff>
              </to>
            </anchor>
          </objectPr>
        </oleObject>
      </mc:Choice>
      <mc:Fallback>
        <oleObject progId="Equation.DSMT4" shapeId="24579" r:id="rId4"/>
      </mc:Fallback>
    </mc:AlternateContent>
  </oleObjec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6">
    <pageSetUpPr fitToPage="1"/>
  </sheetPr>
  <dimension ref="A1:BF905"/>
  <sheetViews>
    <sheetView topLeftCell="A346" zoomScaleNormal="100" workbookViewId="0">
      <selection activeCell="D355" sqref="D355"/>
    </sheetView>
  </sheetViews>
  <sheetFormatPr defaultColWidth="11.43359375" defaultRowHeight="15" x14ac:dyDescent="0.2"/>
  <cols>
    <col min="1" max="1" width="22.1953125" style="90" bestFit="1" customWidth="1"/>
    <col min="2" max="2" width="21.1171875" style="90" customWidth="1"/>
    <col min="3" max="3" width="15.46875" style="90" bestFit="1" customWidth="1"/>
    <col min="4" max="4" width="18.6953125" style="90" customWidth="1"/>
    <col min="5" max="5" width="20.84765625" style="90" customWidth="1"/>
    <col min="6" max="6" width="20.58203125" style="90" customWidth="1"/>
    <col min="7" max="7" width="18.6953125" style="90" customWidth="1"/>
    <col min="8" max="8" width="19.234375" style="90" bestFit="1" customWidth="1"/>
    <col min="9" max="9" width="22.8671875" style="90" customWidth="1"/>
    <col min="10" max="10" width="18.6953125" style="90" customWidth="1"/>
    <col min="11" max="11" width="19.37109375" style="90" customWidth="1"/>
    <col min="12" max="12" width="19.50390625" style="90" customWidth="1"/>
    <col min="13" max="13" width="25.55859375" style="90" bestFit="1" customWidth="1"/>
    <col min="14" max="14" width="23.13671875" style="90" customWidth="1"/>
    <col min="15" max="15" width="23.67578125" style="90" customWidth="1"/>
    <col min="16" max="16" width="21.7890625" style="90" customWidth="1"/>
    <col min="17" max="17" width="24.34765625" style="90" customWidth="1"/>
    <col min="18" max="18" width="22.05859375" style="90" bestFit="1" customWidth="1"/>
    <col min="19" max="22" width="26.36328125" style="90" bestFit="1" customWidth="1"/>
    <col min="23" max="23" width="31.87890625" style="90" customWidth="1"/>
    <col min="24" max="24" width="21.65625" style="90" customWidth="1"/>
    <col min="25" max="45" width="21.7890625" style="90" customWidth="1"/>
    <col min="46" max="47" width="17.890625" style="90" bestFit="1" customWidth="1"/>
    <col min="48" max="49" width="18.0234375" style="90" bestFit="1" customWidth="1"/>
    <col min="50" max="50" width="18.5625" style="90" bestFit="1" customWidth="1"/>
    <col min="51" max="51" width="18.29296875" style="90" bestFit="1" customWidth="1"/>
    <col min="52" max="52" width="16.94921875" style="90" bestFit="1" customWidth="1"/>
    <col min="53" max="53" width="17.08203125" style="90" customWidth="1"/>
    <col min="54" max="54" width="18.16015625" style="90" customWidth="1"/>
    <col min="55" max="57" width="14.66015625" style="90" bestFit="1" customWidth="1"/>
    <col min="58" max="58" width="16.8125" style="90" customWidth="1"/>
    <col min="59" max="60" width="11.43359375" style="90"/>
    <col min="61" max="61" width="14.9296875" style="90" bestFit="1" customWidth="1"/>
    <col min="62" max="68" width="11.43359375" style="90"/>
    <col min="69" max="76" width="20.71484375" style="90" bestFit="1" customWidth="1"/>
    <col min="77" max="77" width="23.13671875" style="90" customWidth="1"/>
    <col min="78" max="86" width="20.71484375" style="90" bestFit="1" customWidth="1"/>
    <col min="87" max="87" width="16.27734375" style="90" bestFit="1" customWidth="1"/>
    <col min="88" max="91" width="18.5625" style="90" bestFit="1" customWidth="1"/>
    <col min="92" max="92" width="18.29296875" style="90" bestFit="1" customWidth="1"/>
    <col min="93" max="93" width="18.5625" style="90" bestFit="1" customWidth="1"/>
    <col min="94" max="94" width="18.0234375" style="90" bestFit="1" customWidth="1"/>
    <col min="95" max="95" width="18.29296875" style="90" bestFit="1" customWidth="1"/>
    <col min="96" max="96" width="18.5625" style="90" bestFit="1" customWidth="1"/>
    <col min="97" max="97" width="14.390625" style="90" customWidth="1"/>
    <col min="98" max="98" width="15.87109375" style="90" customWidth="1"/>
    <col min="99" max="99" width="15.6015625" style="90" customWidth="1"/>
    <col min="100" max="100" width="15.19921875" style="90" bestFit="1" customWidth="1"/>
    <col min="101" max="101" width="14.9296875" style="90" bestFit="1" customWidth="1"/>
    <col min="102" max="106" width="13.1796875" style="90" bestFit="1" customWidth="1"/>
    <col min="107" max="16384" width="11.43359375" style="90"/>
  </cols>
  <sheetData>
    <row r="1" spans="1:58" x14ac:dyDescent="0.2">
      <c r="A1" s="278" t="s">
        <v>7</v>
      </c>
      <c r="B1" s="278"/>
      <c r="C1" s="278" t="s">
        <v>6</v>
      </c>
      <c r="D1" s="278"/>
      <c r="E1" s="278"/>
      <c r="F1" s="278"/>
      <c r="G1" s="278"/>
      <c r="H1" s="278"/>
      <c r="I1" s="278"/>
      <c r="J1" s="278"/>
      <c r="K1" s="278"/>
      <c r="L1" s="278"/>
      <c r="M1" s="278"/>
      <c r="N1" s="278"/>
    </row>
    <row r="2" spans="1:58" x14ac:dyDescent="0.2">
      <c r="A2" s="278"/>
      <c r="B2" s="278"/>
      <c r="C2" s="90" t="s">
        <v>12</v>
      </c>
      <c r="D2" s="90" t="s">
        <v>13</v>
      </c>
      <c r="E2" s="90" t="s">
        <v>14</v>
      </c>
      <c r="F2" s="90" t="s">
        <v>15</v>
      </c>
      <c r="G2" s="90" t="s">
        <v>43</v>
      </c>
      <c r="H2" s="90" t="s">
        <v>160</v>
      </c>
      <c r="I2" s="82" t="s">
        <v>106</v>
      </c>
      <c r="J2" s="90" t="s">
        <v>107</v>
      </c>
      <c r="K2" s="83" t="s">
        <v>105</v>
      </c>
      <c r="L2" s="90" t="s">
        <v>108</v>
      </c>
      <c r="M2" s="90" t="s">
        <v>54</v>
      </c>
      <c r="N2" s="90" t="s">
        <v>109</v>
      </c>
    </row>
    <row r="3" spans="1:58" x14ac:dyDescent="0.2">
      <c r="A3" s="90" t="s">
        <v>8</v>
      </c>
      <c r="B3" s="92">
        <v>1</v>
      </c>
      <c r="C3" s="92">
        <v>0.84</v>
      </c>
      <c r="D3" s="92">
        <v>0.81</v>
      </c>
      <c r="E3" s="92">
        <v>0.76</v>
      </c>
      <c r="F3" s="92">
        <v>0.7</v>
      </c>
      <c r="G3" s="90">
        <f>+IF($A$3=$G$7,B3,0)*(IF(C2=G8,C3,IF(D2=G8,D3,IF(E2=G8,E3,IF(F2=G8,F3,0)))))</f>
        <v>0</v>
      </c>
      <c r="H3" s="90">
        <f>+IF(A3=$H$7,B3,0)*(IF(C2=H8,C3,IF(D2=H8,D3,IF(E2=H8,E3,IF(F2=H8,F3,0)))))</f>
        <v>0</v>
      </c>
      <c r="I3" s="90">
        <f>+IF(A3=$I$7,B3,0)*(IF(C2=I8,C3,IF(D2=I8,D3,IF(E2=I8,E3,IF(F2=I8,F3,0)))))</f>
        <v>0</v>
      </c>
      <c r="J3" s="90">
        <f>+IF(A3=$J$7,B3,0)*(IF(C2=J8,C3,IF(D2=J8,D3,IF(E2=J8,E3,IF(F2=J8,F3,0)))))</f>
        <v>0</v>
      </c>
      <c r="K3" s="90">
        <f>+IF(A3=$K$7,B3,0)*(IF($C$2=$K$8,C3,IF($D$2=$K$8,D3,IF($E$2=$K$8,E3,IF($F$2=$K$8,F3,0)))))</f>
        <v>0</v>
      </c>
      <c r="L3" s="95">
        <f>+IF(A3=$L$7,B3,0)*(IF($C$2=$L$8,C3,IF($D$2=$L$8,D3,IF($E$2=$L$8,E3,IF($F$2=$L$8,F3,0)))))</f>
        <v>0</v>
      </c>
      <c r="M3" s="111">
        <f>+IF(A3=$M$7,B3,0)*(IF($C$2=$M$8,C3,IF($D$2=$M$8,D3,IF($E$2=$M$8,E3,IF($F$2=$M$8,F3,0)))))</f>
        <v>0.84</v>
      </c>
      <c r="N3" s="131">
        <f>+IF(A3=$N$7,B3,0)*(IF($C$2=$N$8,C3,IF($D$2=$N$8,D3,IF($E$2=$N$8,E3,IF($F$2=$N$8,F3,0)))))</f>
        <v>0.81</v>
      </c>
    </row>
    <row r="4" spans="1:58" x14ac:dyDescent="0.2">
      <c r="A4" s="90" t="s">
        <v>9</v>
      </c>
      <c r="B4" s="92">
        <v>0.95</v>
      </c>
      <c r="C4" s="92">
        <v>0.78</v>
      </c>
      <c r="D4" s="92">
        <v>0.75</v>
      </c>
      <c r="E4" s="92">
        <v>0.71</v>
      </c>
      <c r="F4" s="92">
        <v>0.65</v>
      </c>
      <c r="G4" s="90">
        <f>+IF($A$4=$G$7,B4,0)*(IF(C2=G8,C4,IF(D2=G8,D4,IF(E2=G8,E4,IF(F2=G8,F4,0)))))</f>
        <v>0.74099999999999999</v>
      </c>
      <c r="H4" s="90">
        <f>+IF(A4=$H$7,B4,0)*(IF(C2=H8,C4,IF(D2=H8,D4,IF(E2=H8,E4,IF(F2=H8,F4,0)))))</f>
        <v>0.74099999999999999</v>
      </c>
      <c r="I4" s="90">
        <f>+IF(A4=$I$7,B4,0)*(IF(C2=I8,C4,IF(D2=I8,D4,IF(E2=I8,E4,IF(F2=I8,F4,0)))))</f>
        <v>0.71249999999999991</v>
      </c>
      <c r="J4" s="90">
        <f>+IF(A4=$J$7,B4,0)*(IF(C2=J8,C4,IF(D2=J8,D4,IF(E2=J8,E4,IF(F2=J8,F4,0)))))</f>
        <v>0</v>
      </c>
      <c r="K4" s="90">
        <f>+IF(A4=$K$7,B4,0)*(IF(C2=K8,C4,IF(D2=K8,D4,IF(E2=K8,E4,IF(F2=K8,F4,0)))))</f>
        <v>0</v>
      </c>
      <c r="L4" s="95">
        <f t="shared" ref="L4:L6" si="0">+IF(A4=$L$7,B4,0)*(IF($C$2=$L$8,C4,IF($D$2=$L$8,D4,IF($E$2=$L$8,E4,IF($F$2=$L$8,F4,0)))))</f>
        <v>0.71249999999999991</v>
      </c>
      <c r="M4" s="111">
        <f t="shared" ref="M4:M6" si="1">+IF(A4=$M$7,B4,0)*(IF($C$2=$M$8,C4,IF($D$2=$M$8,D4,IF($E$2=$M$8,E4,IF($F$2=$M$8,F4,0)))))</f>
        <v>0</v>
      </c>
      <c r="N4" s="131">
        <f t="shared" ref="N4:N6" si="2">+IF(A4=$N$7,B4,0)*(IF($C$2=$N$8,C4,IF($D$2=$N$8,D4,IF($E$2=$N$8,E4,IF($F$2=$N$8,F4,0)))))</f>
        <v>0</v>
      </c>
    </row>
    <row r="5" spans="1:58" x14ac:dyDescent="0.2">
      <c r="A5" s="90" t="s">
        <v>10</v>
      </c>
      <c r="B5" s="92">
        <v>0.85</v>
      </c>
      <c r="C5" s="92">
        <v>0.72</v>
      </c>
      <c r="D5" s="92">
        <v>0.69</v>
      </c>
      <c r="E5" s="92">
        <v>0.65</v>
      </c>
      <c r="F5" s="92">
        <v>0.6</v>
      </c>
      <c r="G5" s="90">
        <f>+IF($A$5=$G$7,B5,0)*(IF(C2=G8,C5,IF(D2=G8,D5,IF(E2=G8,E5,IF(F2=G8,F5,0)))))</f>
        <v>0</v>
      </c>
      <c r="H5" s="90">
        <f>+IF(A5=$H$7,B5,0)*(IF(C2=H8,C5,IF(D2=H8,D5,IF(E2=H8,E5,IF(F2=H8,F5,0)))))</f>
        <v>0</v>
      </c>
      <c r="I5" s="90">
        <f>+IF(A5=$I$7,B5,0)*(IF(C2=I8,C5,IF(D2=I8,D5,IF(E2=I8,E5,IF(F2=I8,F5,0)))))</f>
        <v>0</v>
      </c>
      <c r="J5" s="90">
        <f>+IF(A5=$J$7,B5,0)*(IF(C2=J8,C5,IF(D2=J8,D5,IF(E2=J8,E5,IF(F2=J8,F5,0)))))</f>
        <v>0.55249999999999999</v>
      </c>
      <c r="K5" s="90">
        <f>+IF(A5=$K$7,B5,0)*(IF(C2=K8,C5,IF(D2=K8,D5,IF(E2=K8,E5,IF(F2=K8,F5,0)))))</f>
        <v>0.58649999999999991</v>
      </c>
      <c r="L5" s="95">
        <f t="shared" si="0"/>
        <v>0</v>
      </c>
      <c r="M5" s="111">
        <f t="shared" si="1"/>
        <v>0</v>
      </c>
      <c r="N5" s="131">
        <f t="shared" si="2"/>
        <v>0</v>
      </c>
    </row>
    <row r="6" spans="1:58" x14ac:dyDescent="0.2">
      <c r="A6" s="90" t="s">
        <v>11</v>
      </c>
      <c r="B6" s="92">
        <v>0.75</v>
      </c>
      <c r="C6" s="92">
        <v>0.72</v>
      </c>
      <c r="D6" s="92">
        <v>0.69</v>
      </c>
      <c r="E6" s="92">
        <v>0.65</v>
      </c>
      <c r="F6" s="92">
        <v>0.6</v>
      </c>
      <c r="G6" s="90">
        <f>+IF($A$6=$G$7,B6,0)*(IF(C2=G8,C6,IF(D2=G8,D6,IF(E2=G8,E6,IF(F2=G8,F6,0)))))</f>
        <v>0</v>
      </c>
      <c r="H6" s="90">
        <f>+IF(A6=$H$7,B6,0)*(IF(C2=H8,C6,IF(D2=H8,D6,IF(E2=H8,E6,IF(F2=H8,F6,0)))))</f>
        <v>0</v>
      </c>
      <c r="I6" s="90">
        <f>+IF(A6=$I$7,B6,0)*(IF(C2=I8,C6,IF(D2=I8,D6,IF(E2=I8,E6,IF(F2=I8,F6,0)))))</f>
        <v>0</v>
      </c>
      <c r="J6" s="90">
        <f>+IF(A6=$J$7,B6,0)*(IF(C2=J8,C6,IF(D2=J8,D6,IF(E2=J8,E6,IF(F2=J8,F6,0)))))</f>
        <v>0</v>
      </c>
      <c r="K6" s="90">
        <f>+IF(A6=$K$7,B6,0)*(IF(C2=K8,C6,IF(D2=K8,D6,IF(E2=K8,E6,IF(F2=K8,F6,0)))))</f>
        <v>0</v>
      </c>
      <c r="L6" s="95">
        <f t="shared" si="0"/>
        <v>0</v>
      </c>
      <c r="M6" s="111">
        <f t="shared" si="1"/>
        <v>0</v>
      </c>
      <c r="N6" s="131">
        <f t="shared" si="2"/>
        <v>0</v>
      </c>
    </row>
    <row r="7" spans="1:58" x14ac:dyDescent="0.2">
      <c r="A7" s="278" t="s">
        <v>161</v>
      </c>
      <c r="B7" s="278"/>
      <c r="C7" s="278"/>
      <c r="D7" s="278"/>
      <c r="E7" s="278"/>
      <c r="F7" s="278"/>
      <c r="G7" s="90" t="str">
        <f>+BULLDOZER!$C$19</f>
        <v>BUENAS</v>
      </c>
      <c r="H7" s="90" t="str">
        <f>+DESGARADORES!$C$30</f>
        <v>BUENAS</v>
      </c>
      <c r="I7" s="90" t="str">
        <f>+'COMPACT MAT GRANULAR'!$C$19</f>
        <v>BUENAS</v>
      </c>
      <c r="J7" s="90" t="str">
        <f>+'CARGADOR FRONTAL'!$C$18</f>
        <v>REGULARES</v>
      </c>
      <c r="K7" s="90" t="str">
        <f>+RETROEXCAVADORA!$C$21</f>
        <v>REGULARES</v>
      </c>
      <c r="L7" s="90" t="str">
        <f>+MOTONIVELADORA!$C$28</f>
        <v>BUENAS</v>
      </c>
      <c r="M7" s="90" t="str">
        <f>+VOLQUETA!$C$26</f>
        <v>EXCELENTES</v>
      </c>
      <c r="N7" s="90" t="str">
        <f>+CARROTANQUE!$C$20</f>
        <v>EXCELENTES</v>
      </c>
    </row>
    <row r="8" spans="1:58" x14ac:dyDescent="0.2">
      <c r="A8" s="278"/>
      <c r="B8" s="278"/>
      <c r="C8" s="278"/>
      <c r="D8" s="278"/>
      <c r="E8" s="278"/>
      <c r="F8" s="278"/>
      <c r="G8" s="90" t="str">
        <f>+BULLDOZER!$D$19</f>
        <v>EXCELENTE</v>
      </c>
      <c r="H8" s="90" t="str">
        <f>+DESGARADORES!$D$30</f>
        <v>EXCELENTE</v>
      </c>
      <c r="I8" s="90" t="str">
        <f>+'COMPACT MAT GRANULAR'!$D$19</f>
        <v>BUENA</v>
      </c>
      <c r="J8" s="90" t="str">
        <f>+'CARGADOR FRONTAL'!$D$18</f>
        <v>REGULAR</v>
      </c>
      <c r="K8" s="90" t="str">
        <f>+RETROEXCAVADORA!$D$21</f>
        <v>BUENA</v>
      </c>
      <c r="L8" s="90" t="str">
        <f>+MOTONIVELADORA!$D$28</f>
        <v>BUENA</v>
      </c>
      <c r="M8" s="90" t="str">
        <f>+VOLQUETA!$D$26</f>
        <v>EXCELENTE</v>
      </c>
      <c r="N8" s="90" t="str">
        <f>+CARROTANQUE!$D$20</f>
        <v>BUENA</v>
      </c>
    </row>
    <row r="9" spans="1:58" x14ac:dyDescent="0.2">
      <c r="A9" s="90" t="s">
        <v>166</v>
      </c>
    </row>
    <row r="10" spans="1:58" ht="15" customHeight="1" x14ac:dyDescent="0.2">
      <c r="A10" s="278" t="s">
        <v>93</v>
      </c>
      <c r="B10" s="278"/>
      <c r="C10" s="278"/>
      <c r="D10" s="278" t="s">
        <v>188</v>
      </c>
      <c r="E10" s="278"/>
      <c r="F10" s="278"/>
      <c r="G10" s="278"/>
      <c r="H10" s="278" t="s">
        <v>189</v>
      </c>
      <c r="I10" s="278"/>
      <c r="J10" s="278"/>
      <c r="K10" s="278"/>
      <c r="L10" s="278"/>
      <c r="M10" s="278"/>
      <c r="N10" s="278"/>
      <c r="O10" s="278"/>
      <c r="P10" s="278" t="s">
        <v>190</v>
      </c>
      <c r="Q10" s="278"/>
      <c r="R10" s="278" t="s">
        <v>191</v>
      </c>
      <c r="S10" s="278"/>
      <c r="T10" s="278"/>
      <c r="U10" s="278"/>
      <c r="V10" s="278"/>
      <c r="W10" s="278"/>
      <c r="X10" s="278" t="s">
        <v>190</v>
      </c>
      <c r="Y10" s="278"/>
      <c r="Z10" s="278" t="s">
        <v>192</v>
      </c>
      <c r="AA10" s="278"/>
      <c r="AB10" s="278"/>
      <c r="AC10" s="278"/>
      <c r="AD10" s="278"/>
      <c r="AE10" s="278"/>
      <c r="AF10" s="278" t="s">
        <v>190</v>
      </c>
      <c r="AG10" s="278"/>
      <c r="AH10" s="278" t="s">
        <v>93</v>
      </c>
      <c r="AI10" s="278"/>
      <c r="AJ10" s="278"/>
      <c r="AK10" s="278" t="s">
        <v>191</v>
      </c>
      <c r="AL10" s="278"/>
      <c r="AM10" s="278"/>
      <c r="AN10" s="278"/>
      <c r="AO10" s="278"/>
      <c r="AP10" s="278"/>
      <c r="AQ10" s="278" t="s">
        <v>102</v>
      </c>
      <c r="AR10" s="278"/>
      <c r="AS10" s="278" t="s">
        <v>192</v>
      </c>
      <c r="AT10" s="278"/>
      <c r="AU10" s="278"/>
      <c r="AV10" s="278"/>
      <c r="AW10" s="278"/>
      <c r="AX10" s="278"/>
      <c r="AY10" s="278" t="s">
        <v>102</v>
      </c>
      <c r="AZ10" s="278"/>
      <c r="BA10" s="278" t="s">
        <v>194</v>
      </c>
      <c r="BB10" s="278"/>
      <c r="BC10" s="278" t="s">
        <v>51</v>
      </c>
      <c r="BD10" s="278"/>
      <c r="BE10" s="278" t="s">
        <v>190</v>
      </c>
      <c r="BF10" s="278"/>
    </row>
    <row r="11" spans="1:58" ht="30.75" customHeight="1" x14ac:dyDescent="0.15">
      <c r="A11" s="90" t="s">
        <v>162</v>
      </c>
      <c r="B11" s="90" t="s">
        <v>163</v>
      </c>
      <c r="C11" s="90" t="s">
        <v>69</v>
      </c>
      <c r="D11" s="278"/>
      <c r="E11" s="278"/>
      <c r="F11" s="278"/>
      <c r="G11" s="278"/>
      <c r="H11" s="278"/>
      <c r="I11" s="278"/>
      <c r="J11" s="278"/>
      <c r="K11" s="278"/>
      <c r="L11" s="278"/>
      <c r="M11" s="278"/>
      <c r="N11" s="278"/>
      <c r="O11" s="278"/>
      <c r="P11" s="90" t="str">
        <f>+BULLDOZER!$A$14</f>
        <v>D6G</v>
      </c>
      <c r="Q11" s="90" t="str">
        <f>+BULLDOZER!$E$14</f>
        <v>ORIENTABLE</v>
      </c>
      <c r="R11" s="90">
        <v>1</v>
      </c>
      <c r="S11" s="90">
        <v>2</v>
      </c>
      <c r="T11" s="90">
        <v>3</v>
      </c>
      <c r="U11" s="90">
        <v>4</v>
      </c>
      <c r="V11" s="90">
        <v>5</v>
      </c>
      <c r="W11" s="90">
        <v>6</v>
      </c>
      <c r="X11" s="90" t="str">
        <f>+BULLDOZER!$A$14</f>
        <v>D6G</v>
      </c>
      <c r="Y11" s="90">
        <f>+BULLDOZER!$C$15</f>
        <v>1</v>
      </c>
      <c r="Z11" s="90">
        <v>1</v>
      </c>
      <c r="AA11" s="90">
        <v>2</v>
      </c>
      <c r="AB11" s="90">
        <v>3</v>
      </c>
      <c r="AC11" s="90">
        <v>4</v>
      </c>
      <c r="AD11" s="90">
        <v>5</v>
      </c>
      <c r="AE11" s="90">
        <v>6</v>
      </c>
      <c r="AF11" s="90" t="str">
        <f>+BULLDOZER!$A$14</f>
        <v>D6G</v>
      </c>
      <c r="AG11" s="90">
        <f>+BULLDOZER!$F$15</f>
        <v>2</v>
      </c>
      <c r="AH11" s="90" t="s">
        <v>197</v>
      </c>
      <c r="AI11" s="90" t="s">
        <v>163</v>
      </c>
      <c r="AJ11" s="90" t="s">
        <v>69</v>
      </c>
      <c r="AK11" s="90">
        <v>1</v>
      </c>
      <c r="AL11" s="90">
        <v>2</v>
      </c>
      <c r="AM11" s="90">
        <v>3</v>
      </c>
      <c r="AN11" s="90">
        <v>4</v>
      </c>
      <c r="AO11" s="90">
        <v>5</v>
      </c>
      <c r="AP11" s="90">
        <v>6</v>
      </c>
      <c r="AQ11" s="90" t="str">
        <f>+DESGARADORES!$A$15</f>
        <v>D10R_</v>
      </c>
      <c r="AR11" s="90">
        <f>+DESGARADORES!$C$16</f>
        <v>1</v>
      </c>
      <c r="AS11" s="90">
        <v>1</v>
      </c>
      <c r="AT11" s="90">
        <v>2</v>
      </c>
      <c r="AU11" s="90">
        <v>3</v>
      </c>
      <c r="AV11" s="90">
        <v>4</v>
      </c>
      <c r="AW11" s="90">
        <v>5</v>
      </c>
      <c r="AX11" s="90">
        <v>6</v>
      </c>
      <c r="AY11" s="90" t="str">
        <f>+$AQ$11</f>
        <v>D10R_</v>
      </c>
      <c r="AZ11" s="90">
        <f>+DESGARADORES!$G$16</f>
        <v>1</v>
      </c>
      <c r="BA11" s="278"/>
      <c r="BB11" s="278"/>
      <c r="BC11" s="278"/>
      <c r="BD11" s="278"/>
      <c r="BE11" s="90" t="str">
        <f>+DESGARADORES!$A$15</f>
        <v>D10R_</v>
      </c>
      <c r="BF11" s="75" t="str">
        <f>+DESGARADORES!$E$15</f>
        <v>PARALELOGRAMO AJUSTABLE MULTIPLES VASTAGOS</v>
      </c>
    </row>
    <row r="12" spans="1:58" x14ac:dyDescent="0.2">
      <c r="A12" s="90" t="s">
        <v>167</v>
      </c>
      <c r="B12" s="90">
        <v>7112</v>
      </c>
      <c r="C12" s="90">
        <v>70</v>
      </c>
      <c r="D12" s="90" t="s">
        <v>27</v>
      </c>
      <c r="H12" s="90">
        <v>2.5499999999999998</v>
      </c>
      <c r="I12" s="90">
        <v>0.83599999999999997</v>
      </c>
      <c r="P12" s="90" t="str">
        <f>+IF(AND($P$11=A12,D3C_SERIE_III=$Q$11),H12,IF(AND($P$11=A12,E12=$Q$11),J12,IF(AND($P$11=A12,F12=$Q$11),L12,IF(AND($P$11=A12,G12=$Q$11),N12,"0"))))</f>
        <v>0</v>
      </c>
      <c r="Q12" s="90" t="str">
        <f>+IF(AND($P$11=A12,D3C_SERIE_III=$Q$11),I12,IF(AND($P$11=A12,E12=$Q$11),K12,IF(AND($P$11=A12,F12=$Q$11),M12,IF(AND($P$11=A12,G12=$Q$11),O12,"0"))))</f>
        <v>0</v>
      </c>
      <c r="R12" s="91">
        <v>4.5</v>
      </c>
      <c r="S12" s="91">
        <v>4.5</v>
      </c>
      <c r="T12" s="91">
        <v>4.5</v>
      </c>
      <c r="U12" s="91">
        <v>4.5</v>
      </c>
      <c r="V12" s="91">
        <v>4.5</v>
      </c>
      <c r="W12" s="91">
        <v>4.5</v>
      </c>
      <c r="X12" s="278">
        <f t="shared" ref="X12:X41" si="3">+IF(AND(A12=$X$11,$Y$11=$R$11),R12,IF(AND($X$11=A12,$Y$11=$S$11),S12,IF(AND($X$11=A12,$Y$11=$T$11),T12,IF(AND($X$11=A12,$Y$11=$U$11),U12,IF(AND($X$11=A12,$Y$11=$V$11),V12,IF(AND($X$11=A12,$Y$11=$W$11),W12,0))))))</f>
        <v>0</v>
      </c>
      <c r="Y12" s="278"/>
      <c r="Z12" s="90">
        <v>4.5</v>
      </c>
      <c r="AA12" s="90">
        <v>4.5</v>
      </c>
      <c r="AB12" s="90">
        <v>4.5</v>
      </c>
      <c r="AC12" s="90">
        <v>4.5</v>
      </c>
      <c r="AD12" s="90">
        <v>4.5</v>
      </c>
      <c r="AE12" s="90">
        <v>4.5</v>
      </c>
      <c r="AF12" s="278">
        <f t="shared" ref="AF12:AF41" si="4">+IF(AND(A12=$AF$11,$AG$11=$Z$11),Z12,IF(AND($AF$11=A12,$AG$11=$AA$11),AA12,IF(AND($AF$11=A12,$AG$11=$AB$11),AB12,IF(AND($AF$11=A12,$AG$11=$AC$11),AC12,IF(AND($AF$11=A12,$AG$11=$AD$11),AD12,IF(AND($AF$11=A12,$AG$11=$AE$11),AE12,0))))))</f>
        <v>0</v>
      </c>
      <c r="AG12" s="278"/>
      <c r="AH12" s="90" t="s">
        <v>198</v>
      </c>
      <c r="AI12" s="90">
        <v>7112</v>
      </c>
      <c r="AJ12" s="90">
        <v>70</v>
      </c>
      <c r="AK12" s="90">
        <v>4.5</v>
      </c>
      <c r="AL12" s="90">
        <v>4.5</v>
      </c>
      <c r="AM12" s="90">
        <v>4.5</v>
      </c>
      <c r="AN12" s="90">
        <v>4.5</v>
      </c>
      <c r="AO12" s="90">
        <v>4.5</v>
      </c>
      <c r="AP12" s="90">
        <v>4.5</v>
      </c>
      <c r="AQ12" s="278" t="b">
        <f t="shared" ref="AQ12:AQ24" si="5">+IF(AND(AH12=$AQ$11,$AK$11=$AR$11),AK12,IF(AND(AH12=$AQ$11,$AL$11=$AR$11),AL12+IF(AND(AH12=$AQ$11,$AM$11=$AR$11),AM12,IF(AND(AH12=$AQ$11,$AN$11=$AR$11),AN12,IF(AND(AH12=$AQ$11,$AO$11=$AR$11),AO12,IF(AND(AH12=$AQ$11,$AP$11=$AR$11),AP12,"0"))))))</f>
        <v>0</v>
      </c>
      <c r="AR12" s="278"/>
      <c r="AS12" s="90">
        <v>4.5</v>
      </c>
      <c r="AT12" s="91">
        <v>4.5</v>
      </c>
      <c r="AU12" s="91">
        <v>4.5</v>
      </c>
      <c r="AV12" s="91">
        <v>4.5</v>
      </c>
      <c r="AW12" s="91">
        <v>4.5</v>
      </c>
      <c r="AX12" s="91">
        <v>4.5</v>
      </c>
      <c r="AY12" s="279" t="b">
        <f>+IF(AND(AH12=$AY$11,$AS$11=$AZ$11),AS12,IF(AND(AH12=$AY$11,$AT$11=$AZ$11),AT12+IF(AND(AH12=$AY$11,$AU$11=$AZ$11),AU12,IF(AND(AH12=$AY$11,$AV$11=$AZ$11),AV12,IF(AND(AH12=$AY$11,$AW$11=$AZ$11),AW12,IF(AND(AH12=$AY$11,$AX$11=$AZ$11),AX12,"0"))))))</f>
        <v>0</v>
      </c>
      <c r="AZ12" s="279"/>
      <c r="BA12" s="90" t="s">
        <v>155</v>
      </c>
      <c r="BC12" s="91">
        <v>0.28399999999999997</v>
      </c>
      <c r="BD12" s="91"/>
      <c r="BE12" s="278">
        <f>+IF(AND(AH12=$BE$11,D3C_SERIE_III_=$BF$11),BC12,IF(AND(AH12=$BE$11,BB12=$BF$11),BD12,0))</f>
        <v>0</v>
      </c>
      <c r="BF12" s="278"/>
    </row>
    <row r="13" spans="1:58" x14ac:dyDescent="0.2">
      <c r="A13" s="90" t="s">
        <v>168</v>
      </c>
      <c r="B13" s="90">
        <v>7304</v>
      </c>
      <c r="C13" s="90">
        <v>70</v>
      </c>
      <c r="D13" s="90" t="s">
        <v>27</v>
      </c>
      <c r="H13" s="90">
        <v>2.5499999999999998</v>
      </c>
      <c r="I13" s="90">
        <v>0.83599999999999997</v>
      </c>
      <c r="P13" s="90" t="str">
        <f>+IF(AND($P$11=A13,D3C_XL_SERIE_III=$Q$11),H13,IF(AND($P$11=A13,E13=$Q$11),J13,IF(AND($P$11=A13,F13=$Q$11),L13,IF(AND($P$11=A13,G13=$Q$11),N13,"0"))))</f>
        <v>0</v>
      </c>
      <c r="Q13" s="90" t="str">
        <f>+IF(AND($P$11=A13,D3C_XL_SERIE_III=$Q$11),I13,IF(AND($P$11=A13,E13=$Q$11),K13,IF(AND($P$11=A13,F13=$Q$11),M13,IF(AND($P$11=A13,G13=$Q$11),O13,"0"))))</f>
        <v>0</v>
      </c>
      <c r="R13" s="91">
        <v>4.5</v>
      </c>
      <c r="S13" s="91">
        <v>4.5</v>
      </c>
      <c r="T13" s="91">
        <v>4.5</v>
      </c>
      <c r="U13" s="91">
        <v>4.5</v>
      </c>
      <c r="V13" s="91">
        <v>4.5</v>
      </c>
      <c r="W13" s="91">
        <v>4.5</v>
      </c>
      <c r="X13" s="278">
        <f t="shared" si="3"/>
        <v>0</v>
      </c>
      <c r="Y13" s="278"/>
      <c r="Z13" s="90">
        <v>4.5</v>
      </c>
      <c r="AA13" s="90">
        <v>4.5</v>
      </c>
      <c r="AB13" s="90">
        <v>4.5</v>
      </c>
      <c r="AC13" s="90">
        <v>4.5</v>
      </c>
      <c r="AD13" s="90">
        <v>4.5</v>
      </c>
      <c r="AE13" s="90">
        <v>4.5</v>
      </c>
      <c r="AF13" s="278">
        <f t="shared" si="4"/>
        <v>0</v>
      </c>
      <c r="AG13" s="278"/>
      <c r="AH13" s="90" t="s">
        <v>199</v>
      </c>
      <c r="AI13" s="90">
        <v>7326</v>
      </c>
      <c r="AJ13" s="90">
        <v>80</v>
      </c>
      <c r="AK13" s="90">
        <v>4.5</v>
      </c>
      <c r="AL13" s="90">
        <v>4.5</v>
      </c>
      <c r="AM13" s="90">
        <v>4.5</v>
      </c>
      <c r="AN13" s="90">
        <v>4.5</v>
      </c>
      <c r="AO13" s="90">
        <v>4.5</v>
      </c>
      <c r="AP13" s="90">
        <v>4.5</v>
      </c>
      <c r="AQ13" s="278" t="b">
        <f t="shared" si="5"/>
        <v>0</v>
      </c>
      <c r="AR13" s="278"/>
      <c r="AS13" s="90">
        <v>4.5</v>
      </c>
      <c r="AT13" s="91">
        <v>4.5</v>
      </c>
      <c r="AU13" s="91">
        <v>4.5</v>
      </c>
      <c r="AV13" s="91">
        <v>4.5</v>
      </c>
      <c r="AW13" s="91">
        <v>4.5</v>
      </c>
      <c r="AX13" s="91">
        <v>4.5</v>
      </c>
      <c r="AY13" s="279" t="b">
        <f t="shared" ref="AY13:AY28" si="6">+IF(AND(AH13=$AY$11,$AS$11=$AZ$11),AS13,IF(AND(AH13=$AY$11,$AT$11=$AZ$11),AT13+IF(AND(AH13=$AY$11,$AU$11=$AZ$11),AU13,IF(AND(AH13=$AY$11,$AV$11=$AZ$11),AV13,IF(AND(AH13=$AY$11,$AW$11=$AZ$11),AW13,IF(AND(AH13=$AY$11,$AX$11=$AZ$11),AX13,"0"))))))</f>
        <v>0</v>
      </c>
      <c r="AZ13" s="279"/>
      <c r="BA13" s="90" t="s">
        <v>155</v>
      </c>
      <c r="BC13" s="91">
        <v>0.23100000000000001</v>
      </c>
      <c r="BD13" s="91"/>
      <c r="BE13" s="278">
        <f>+IF(AND(AH13=$BE$11,D4C_SERIE_III_=$BF$11),BC13,IF(AND(AH13=$BE$11,BB13=$BF$11),BD13,0))</f>
        <v>0</v>
      </c>
      <c r="BF13" s="278"/>
    </row>
    <row r="14" spans="1:58" x14ac:dyDescent="0.2">
      <c r="A14" s="90" t="s">
        <v>169</v>
      </c>
      <c r="B14" s="90">
        <v>7713</v>
      </c>
      <c r="C14" s="90">
        <v>70</v>
      </c>
      <c r="D14" s="90" t="s">
        <v>165</v>
      </c>
      <c r="H14" s="90">
        <v>3.19</v>
      </c>
      <c r="I14" s="90">
        <v>0.746</v>
      </c>
      <c r="P14" s="90" t="str">
        <f>+IF(AND($P$11=A14,D3C_LGP_SERIE_III=$Q$11),H14,IF(AND($P$11=A14,E14=$Q$11),J14,IF(AND($P$11=A14,F14=$Q$11),L14,IF(AND($P$11=A14,G14=$Q$11),N14,"0"))))</f>
        <v>0</v>
      </c>
      <c r="Q14" s="90" t="str">
        <f>+IF(AND($P$11=A14,D3C_LGP_SERIE_III=$Q$11),I14,IF(AND($P$11=A14,E14=$Q$11),K14,IF(AND($P$11=A14,F14=$Q$11),M14,IF(AND($P$11=A14,G14=$Q$11),O14,"0"))))</f>
        <v>0</v>
      </c>
      <c r="R14" s="91">
        <v>4.5</v>
      </c>
      <c r="S14" s="91">
        <v>4.5</v>
      </c>
      <c r="T14" s="91">
        <v>4.5</v>
      </c>
      <c r="U14" s="91">
        <v>4.5</v>
      </c>
      <c r="V14" s="91">
        <v>4.5</v>
      </c>
      <c r="W14" s="91">
        <v>4.5</v>
      </c>
      <c r="X14" s="278">
        <f t="shared" si="3"/>
        <v>0</v>
      </c>
      <c r="Y14" s="278"/>
      <c r="Z14" s="90">
        <v>4.5</v>
      </c>
      <c r="AA14" s="90">
        <v>4.5</v>
      </c>
      <c r="AB14" s="90">
        <v>4.5</v>
      </c>
      <c r="AC14" s="90">
        <v>4.5</v>
      </c>
      <c r="AD14" s="90">
        <v>4.5</v>
      </c>
      <c r="AE14" s="90">
        <v>4.5</v>
      </c>
      <c r="AF14" s="278">
        <f t="shared" si="4"/>
        <v>0</v>
      </c>
      <c r="AG14" s="278"/>
      <c r="AH14" s="90" t="s">
        <v>200</v>
      </c>
      <c r="AI14" s="90">
        <v>8487</v>
      </c>
      <c r="AJ14" s="90">
        <v>90</v>
      </c>
      <c r="AK14" s="90">
        <v>4.5</v>
      </c>
      <c r="AL14" s="90">
        <v>4.5</v>
      </c>
      <c r="AM14" s="90">
        <v>4.5</v>
      </c>
      <c r="AN14" s="90">
        <v>4.5</v>
      </c>
      <c r="AO14" s="90">
        <v>4.5</v>
      </c>
      <c r="AP14" s="90">
        <v>4.5</v>
      </c>
      <c r="AQ14" s="278" t="b">
        <f t="shared" si="5"/>
        <v>0</v>
      </c>
      <c r="AR14" s="278"/>
      <c r="AS14" s="90">
        <v>4.5</v>
      </c>
      <c r="AT14" s="91">
        <v>4.5</v>
      </c>
      <c r="AU14" s="91">
        <v>4.5</v>
      </c>
      <c r="AV14" s="91">
        <v>4.5</v>
      </c>
      <c r="AW14" s="91">
        <v>4.5</v>
      </c>
      <c r="AX14" s="91">
        <v>4.5</v>
      </c>
      <c r="AY14" s="279" t="b">
        <f t="shared" si="6"/>
        <v>0</v>
      </c>
      <c r="AZ14" s="279"/>
      <c r="BA14" s="90" t="s">
        <v>155</v>
      </c>
      <c r="BC14" s="91">
        <v>0.22</v>
      </c>
      <c r="BD14" s="91"/>
      <c r="BE14" s="278">
        <f>+IF(AND(AH14=$BE$11,D5C_SERIE_III_=$BF$11),BC14,IF(AND(AH14=$BE$11,BB14=$BF$11),BD14,0))</f>
        <v>0</v>
      </c>
      <c r="BF14" s="278"/>
    </row>
    <row r="15" spans="1:58" ht="15" customHeight="1" x14ac:dyDescent="0.2">
      <c r="A15" s="90" t="s">
        <v>170</v>
      </c>
      <c r="B15" s="90">
        <v>7326</v>
      </c>
      <c r="C15" s="90">
        <v>80</v>
      </c>
      <c r="D15" s="90" t="s">
        <v>165</v>
      </c>
      <c r="H15" s="90">
        <v>2.7</v>
      </c>
      <c r="I15" s="90">
        <v>0.92800000000000005</v>
      </c>
      <c r="P15" s="90" t="str">
        <f>+IF(AND($P$11=A15,D4C_SERIE_III=$Q$11),H15,IF(AND($P$11=A15,E15=$Q$11),J15,IF(AND($P$11=A15,F15=$Q$11),L15,IF(AND($P$11=A15,G15=$Q$11),N15,"0"))))</f>
        <v>0</v>
      </c>
      <c r="Q15" s="90" t="str">
        <f>+IF(AND($P$11=A15,D4C_SERIE_III=$Q$11),I15,IF(AND($P$11=A15,E15=$Q$11),K15,IF(AND($P$11=A15,F15=$Q$11),M15,IF(AND($P$11=A15,G15=$Q$11),O15,"0"))))</f>
        <v>0</v>
      </c>
      <c r="R15" s="91">
        <v>4.5</v>
      </c>
      <c r="S15" s="91">
        <v>4.5</v>
      </c>
      <c r="T15" s="91">
        <v>4.5</v>
      </c>
      <c r="U15" s="91">
        <v>4.5</v>
      </c>
      <c r="V15" s="91">
        <v>4.5</v>
      </c>
      <c r="W15" s="91">
        <v>4.5</v>
      </c>
      <c r="X15" s="278">
        <f t="shared" si="3"/>
        <v>0</v>
      </c>
      <c r="Y15" s="278"/>
      <c r="Z15" s="90">
        <v>4.5</v>
      </c>
      <c r="AA15" s="90">
        <v>4.5</v>
      </c>
      <c r="AB15" s="90">
        <v>4.5</v>
      </c>
      <c r="AC15" s="90">
        <v>4.5</v>
      </c>
      <c r="AD15" s="90">
        <v>4.5</v>
      </c>
      <c r="AE15" s="90">
        <v>4.5</v>
      </c>
      <c r="AF15" s="278">
        <f t="shared" si="4"/>
        <v>0</v>
      </c>
      <c r="AG15" s="278"/>
      <c r="AH15" s="90" t="s">
        <v>201</v>
      </c>
      <c r="AI15" s="90">
        <v>12250</v>
      </c>
      <c r="AJ15" s="90">
        <v>110</v>
      </c>
      <c r="AK15" s="90">
        <v>3.2999999999999994</v>
      </c>
      <c r="AL15" s="90">
        <v>5.8</v>
      </c>
      <c r="AM15" s="90">
        <v>9.9</v>
      </c>
      <c r="AQ15" s="278" t="b">
        <f t="shared" si="5"/>
        <v>0</v>
      </c>
      <c r="AR15" s="278"/>
      <c r="AS15" s="90">
        <v>4</v>
      </c>
      <c r="AT15" s="91">
        <v>7.1</v>
      </c>
      <c r="AU15" s="91">
        <v>12.1</v>
      </c>
      <c r="AV15" s="91"/>
      <c r="AW15" s="91"/>
      <c r="AX15" s="91"/>
      <c r="AY15" s="279" t="b">
        <f t="shared" si="6"/>
        <v>0</v>
      </c>
      <c r="AZ15" s="279"/>
      <c r="BA15" s="90" t="s">
        <v>155</v>
      </c>
      <c r="BC15" s="91">
        <v>0.35</v>
      </c>
      <c r="BD15" s="91"/>
      <c r="BE15" s="278">
        <f>+IF(AND(AH15=$BE$11,D5M_XL_=$BF$11),BC15,IF(AND(AH15=$BE$11,BB15=$BF$11),BD15,0))</f>
        <v>0</v>
      </c>
      <c r="BF15" s="278"/>
    </row>
    <row r="16" spans="1:58" x14ac:dyDescent="0.2">
      <c r="A16" s="90" t="s">
        <v>171</v>
      </c>
      <c r="B16" s="90">
        <v>7518</v>
      </c>
      <c r="C16" s="90">
        <v>80</v>
      </c>
      <c r="D16" s="90" t="s">
        <v>165</v>
      </c>
      <c r="H16" s="90">
        <v>2.7</v>
      </c>
      <c r="I16" s="90">
        <v>0.92800000000000005</v>
      </c>
      <c r="P16" s="90" t="str">
        <f>+IF(AND($P$11=A16,D4C_XL_SERIE_III=$Q$11),H16,IF(AND($P$11=A16,E16=$Q$11),J16,IF(AND($P$11=A16,F16=$Q$11),L16,IF(AND($P$11=A16,G16=$Q$11),N16,"0"))))</f>
        <v>0</v>
      </c>
      <c r="Q16" s="90" t="str">
        <f>+IF(AND($P$11=A16,D4C_XL_SERIE_III=$Q$11),I16,IF(AND($P$11=A16,E16=$Q$11),K16,IF(AND($P$11=A16,F16=$Q$11),M16,IF(AND($P$11=A16,G16=$Q$11),O16,"0"))))</f>
        <v>0</v>
      </c>
      <c r="R16" s="91">
        <v>4.5</v>
      </c>
      <c r="S16" s="91">
        <v>4.5</v>
      </c>
      <c r="T16" s="91">
        <v>4.5</v>
      </c>
      <c r="U16" s="91">
        <v>4.5</v>
      </c>
      <c r="V16" s="91">
        <v>4.5</v>
      </c>
      <c r="W16" s="91">
        <v>4.5</v>
      </c>
      <c r="X16" s="278">
        <f t="shared" si="3"/>
        <v>0</v>
      </c>
      <c r="Y16" s="278"/>
      <c r="Z16" s="90">
        <v>4.5</v>
      </c>
      <c r="AA16" s="90">
        <v>4.5</v>
      </c>
      <c r="AB16" s="90">
        <v>4.5</v>
      </c>
      <c r="AC16" s="90">
        <v>4.5</v>
      </c>
      <c r="AD16" s="90">
        <v>4.5</v>
      </c>
      <c r="AE16" s="90">
        <v>4.5</v>
      </c>
      <c r="AF16" s="278">
        <f t="shared" si="4"/>
        <v>0</v>
      </c>
      <c r="AG16" s="278"/>
      <c r="AH16" s="90" t="s">
        <v>202</v>
      </c>
      <c r="AI16" s="90">
        <v>13175</v>
      </c>
      <c r="AJ16" s="90">
        <v>110</v>
      </c>
      <c r="AK16" s="90">
        <v>3.2999999999999994</v>
      </c>
      <c r="AL16" s="90">
        <v>5.8</v>
      </c>
      <c r="AM16" s="90">
        <v>9.9</v>
      </c>
      <c r="AQ16" s="278" t="b">
        <f t="shared" si="5"/>
        <v>0</v>
      </c>
      <c r="AR16" s="278"/>
      <c r="AS16" s="90">
        <v>4</v>
      </c>
      <c r="AT16" s="91">
        <v>7.1</v>
      </c>
      <c r="AU16" s="91">
        <v>12.1</v>
      </c>
      <c r="AV16" s="91"/>
      <c r="AW16" s="91"/>
      <c r="AX16" s="91"/>
      <c r="AY16" s="279" t="b">
        <f t="shared" si="6"/>
        <v>0</v>
      </c>
      <c r="AZ16" s="279"/>
      <c r="BA16" s="90" t="s">
        <v>155</v>
      </c>
      <c r="BC16" s="91">
        <v>0.29799999999999999</v>
      </c>
      <c r="BD16" s="91"/>
      <c r="BE16" s="278">
        <f>+IF(AND(AH16=$BE$11,D5M_LGP_=$BF$11),BC16,IF(AND(AH16=$BE$11,BB16=$BF$11),BD16,0))</f>
        <v>0</v>
      </c>
      <c r="BF16" s="278"/>
    </row>
    <row r="17" spans="1:58" x14ac:dyDescent="0.2">
      <c r="A17" s="90" t="s">
        <v>172</v>
      </c>
      <c r="B17" s="90">
        <v>7785</v>
      </c>
      <c r="C17" s="90">
        <v>80</v>
      </c>
      <c r="D17" s="90" t="s">
        <v>165</v>
      </c>
      <c r="H17" s="90">
        <v>3.34</v>
      </c>
      <c r="I17" s="90">
        <v>0.83699999999999997</v>
      </c>
      <c r="P17" s="90" t="str">
        <f>+IF(AND($P$11=A17,D4C_LGP_SERIE_III=$Q$11),H17,IF(AND($P$11=A17,E17=$Q$11),J17,IF(AND($P$11=A17,F17=$Q$11),L17,IF(AND($P$11=A17,G17=$Q$11),N17,"0"))))</f>
        <v>0</v>
      </c>
      <c r="Q17" s="90" t="str">
        <f>+IF(AND($P$11=A17,D4C_LGP_SERIE_III=$Q$11),I17,IF(AND($P$11=A17,E17=$Q$11),K17,IF(AND($P$11=A17,F17=$Q$11),M17,IF(AND($P$11=A17,G17=$Q$11),O17,"0"))))</f>
        <v>0</v>
      </c>
      <c r="R17" s="91">
        <v>4.5</v>
      </c>
      <c r="S17" s="91">
        <v>4.5</v>
      </c>
      <c r="T17" s="91">
        <v>4.5</v>
      </c>
      <c r="U17" s="91">
        <v>4.5</v>
      </c>
      <c r="V17" s="91">
        <v>4.5</v>
      </c>
      <c r="W17" s="91">
        <v>4.5</v>
      </c>
      <c r="X17" s="278">
        <f t="shared" si="3"/>
        <v>0</v>
      </c>
      <c r="Y17" s="278"/>
      <c r="Z17" s="90">
        <v>4.5</v>
      </c>
      <c r="AA17" s="90">
        <v>4.5</v>
      </c>
      <c r="AB17" s="90">
        <v>4.5</v>
      </c>
      <c r="AC17" s="90">
        <v>4.5</v>
      </c>
      <c r="AD17" s="90">
        <v>4.5</v>
      </c>
      <c r="AE17" s="90">
        <v>4.5</v>
      </c>
      <c r="AF17" s="278">
        <f t="shared" si="4"/>
        <v>0</v>
      </c>
      <c r="AG17" s="278"/>
      <c r="AH17" s="90" t="s">
        <v>203</v>
      </c>
      <c r="AI17" s="90">
        <v>15530</v>
      </c>
      <c r="AJ17" s="90">
        <v>140</v>
      </c>
      <c r="AK17" s="90">
        <v>3.3999999999999995</v>
      </c>
      <c r="AL17" s="90">
        <v>6</v>
      </c>
      <c r="AM17" s="90">
        <v>10.199999999999999</v>
      </c>
      <c r="AQ17" s="278" t="b">
        <f t="shared" si="5"/>
        <v>0</v>
      </c>
      <c r="AR17" s="278"/>
      <c r="AS17" s="90">
        <v>4.2</v>
      </c>
      <c r="AT17" s="91">
        <v>7.5</v>
      </c>
      <c r="AU17" s="91">
        <v>12.8</v>
      </c>
      <c r="AV17" s="91"/>
      <c r="AW17" s="91"/>
      <c r="AX17" s="91"/>
      <c r="AY17" s="279" t="b">
        <f t="shared" si="6"/>
        <v>0</v>
      </c>
      <c r="AZ17" s="279"/>
      <c r="BA17" s="90" t="s">
        <v>156</v>
      </c>
      <c r="BC17" s="91">
        <v>0.47399999999999998</v>
      </c>
      <c r="BD17" s="91"/>
      <c r="BE17" s="278">
        <f>+IF(AND(AH17=$BE$11,D6M_XL_=$BF$11),BC17,IF(AND(AH17=$BE$11,BB17=$BF$11),BD17,0))</f>
        <v>0</v>
      </c>
      <c r="BF17" s="278"/>
    </row>
    <row r="18" spans="1:58" x14ac:dyDescent="0.2">
      <c r="A18" s="90" t="s">
        <v>173</v>
      </c>
      <c r="B18" s="90">
        <v>8487</v>
      </c>
      <c r="C18" s="90">
        <v>90</v>
      </c>
      <c r="D18" s="90" t="s">
        <v>33</v>
      </c>
      <c r="H18" s="90">
        <v>2.75</v>
      </c>
      <c r="I18" s="90">
        <v>0.999</v>
      </c>
      <c r="P18" s="90" t="str">
        <f>+IF(AND($P$11=A18,D5C_SERIE_III=$Q$11),H18,IF(AND($P$11=A18,E18=$Q$11),J18,IF(AND($P$11=A18,F18=$Q$11),L18,IF(AND($P$11=A18,G18=$Q$11),N18,"0"))))</f>
        <v>0</v>
      </c>
      <c r="Q18" s="90" t="str">
        <f>+IF(AND($P$11=A18,D5C_SERIE_III=$Q$11),I18,IF(AND($P$11=A18,E18=$Q$11),K18,IF(AND($P$11=A18,F18=$Q$11),M18,IF(AND($P$11=A18,G18=$Q$11),O18,"0"))))</f>
        <v>0</v>
      </c>
      <c r="R18" s="91">
        <v>4.5</v>
      </c>
      <c r="S18" s="91">
        <v>4.5</v>
      </c>
      <c r="T18" s="91">
        <v>4.5</v>
      </c>
      <c r="U18" s="91">
        <v>4.5</v>
      </c>
      <c r="V18" s="91">
        <v>4.5</v>
      </c>
      <c r="W18" s="91">
        <v>4.5</v>
      </c>
      <c r="X18" s="278">
        <f t="shared" si="3"/>
        <v>0</v>
      </c>
      <c r="Y18" s="278"/>
      <c r="Z18" s="90">
        <v>4.5</v>
      </c>
      <c r="AA18" s="90">
        <v>4.5</v>
      </c>
      <c r="AB18" s="90">
        <v>4.5</v>
      </c>
      <c r="AC18" s="90">
        <v>4.5</v>
      </c>
      <c r="AD18" s="90">
        <v>4.5</v>
      </c>
      <c r="AE18" s="90">
        <v>4.5</v>
      </c>
      <c r="AF18" s="278">
        <f t="shared" si="4"/>
        <v>0</v>
      </c>
      <c r="AG18" s="278"/>
      <c r="AH18" s="90" t="s">
        <v>204</v>
      </c>
      <c r="AI18" s="90">
        <v>16930</v>
      </c>
      <c r="AJ18" s="90">
        <v>140</v>
      </c>
      <c r="AK18" s="90">
        <v>3.3999999999999995</v>
      </c>
      <c r="AL18" s="90">
        <v>6</v>
      </c>
      <c r="AM18" s="90">
        <v>10.199999999999999</v>
      </c>
      <c r="AQ18" s="278" t="b">
        <f t="shared" si="5"/>
        <v>0</v>
      </c>
      <c r="AR18" s="278"/>
      <c r="AS18" s="90">
        <v>4.2</v>
      </c>
      <c r="AT18" s="91">
        <v>7.5</v>
      </c>
      <c r="AU18" s="91">
        <v>12.8</v>
      </c>
      <c r="AV18" s="91"/>
      <c r="AW18" s="91"/>
      <c r="AX18" s="91"/>
      <c r="AY18" s="279" t="b">
        <f t="shared" si="6"/>
        <v>0</v>
      </c>
      <c r="AZ18" s="279"/>
      <c r="BA18" s="90" t="s">
        <v>156</v>
      </c>
      <c r="BC18" s="91">
        <v>0.36</v>
      </c>
      <c r="BD18" s="91"/>
      <c r="BE18" s="278">
        <f>+IF(AND(AH18=$BE$11,D6M_LGP_=$BF$11),BC18,IF(AND(AH18=$BE$11,BB18=$BF$11),BD18,0))</f>
        <v>0</v>
      </c>
      <c r="BF18" s="278"/>
    </row>
    <row r="19" spans="1:58" x14ac:dyDescent="0.2">
      <c r="A19" s="90" t="s">
        <v>174</v>
      </c>
      <c r="B19" s="90">
        <v>8821</v>
      </c>
      <c r="C19" s="90">
        <v>90</v>
      </c>
      <c r="D19" s="90" t="s">
        <v>33</v>
      </c>
      <c r="H19" s="90">
        <v>2.75</v>
      </c>
      <c r="I19" s="90">
        <v>0.999</v>
      </c>
      <c r="P19" s="90" t="str">
        <f>+IF(AND($P$11=A19,D5C_XL_SERIE_III=$Q$11),H19,IF(AND($P$11=A19,E19=$Q$11),J19,IF(AND($P$11=A19,F19=$Q$11),L19,IF(AND($P$11=A19,G19=$Q$11),N19,"0"))))</f>
        <v>0</v>
      </c>
      <c r="Q19" s="90" t="str">
        <f>+IF(AND($P$11=A19,D5C_XL_SERIE_III=$Q$11),I19,IF(AND($P$11=A19,E19=$Q$11),K19,IF(AND($P$11=A19,F19=$Q$11),M19,IF(AND($P$11=A19,G19=$Q$11),O19,"0"))))</f>
        <v>0</v>
      </c>
      <c r="R19" s="91">
        <v>4.5</v>
      </c>
      <c r="S19" s="91">
        <v>4.5</v>
      </c>
      <c r="T19" s="91">
        <v>4.5</v>
      </c>
      <c r="U19" s="91">
        <v>4.5</v>
      </c>
      <c r="V19" s="91">
        <v>4.5</v>
      </c>
      <c r="W19" s="91">
        <v>4.5</v>
      </c>
      <c r="X19" s="278">
        <f t="shared" si="3"/>
        <v>0</v>
      </c>
      <c r="Y19" s="278"/>
      <c r="Z19" s="90">
        <v>4.5</v>
      </c>
      <c r="AA19" s="90">
        <v>4.5</v>
      </c>
      <c r="AB19" s="90">
        <v>4.5</v>
      </c>
      <c r="AC19" s="90">
        <v>4.5</v>
      </c>
      <c r="AD19" s="90">
        <v>4.5</v>
      </c>
      <c r="AE19" s="90">
        <v>4.5</v>
      </c>
      <c r="AF19" s="278">
        <f t="shared" si="4"/>
        <v>0</v>
      </c>
      <c r="AG19" s="278"/>
      <c r="AH19" s="90" t="s">
        <v>205</v>
      </c>
      <c r="AI19" s="90">
        <v>15432</v>
      </c>
      <c r="AJ19" s="90">
        <v>155</v>
      </c>
      <c r="AK19" s="90">
        <v>4</v>
      </c>
      <c r="AL19" s="90">
        <v>6.9</v>
      </c>
      <c r="AM19" s="90">
        <v>10.8</v>
      </c>
      <c r="AQ19" s="278" t="b">
        <f t="shared" si="5"/>
        <v>0</v>
      </c>
      <c r="AR19" s="278"/>
      <c r="AS19" s="90">
        <v>4.8</v>
      </c>
      <c r="AT19" s="91">
        <v>8.4</v>
      </c>
      <c r="AU19" s="91">
        <v>12.899999999999999</v>
      </c>
      <c r="AV19" s="91"/>
      <c r="AW19" s="91"/>
      <c r="AX19" s="91"/>
      <c r="AY19" s="279" t="b">
        <f t="shared" si="6"/>
        <v>0</v>
      </c>
      <c r="AZ19" s="279"/>
      <c r="BA19" s="90" t="s">
        <v>156</v>
      </c>
      <c r="BC19" s="91">
        <v>0.53</v>
      </c>
      <c r="BD19" s="91"/>
      <c r="BE19" s="278">
        <f>+IF(AND(AH19=$BE$11,D6G_=$BF$11),BC19,IF(AND(AH19=$BE$11,BB19=$BF$11),BD19,0))</f>
        <v>0</v>
      </c>
      <c r="BF19" s="278"/>
    </row>
    <row r="20" spans="1:58" x14ac:dyDescent="0.2">
      <c r="A20" s="90" t="s">
        <v>175</v>
      </c>
      <c r="B20" s="90">
        <v>8972</v>
      </c>
      <c r="C20" s="90">
        <v>90</v>
      </c>
      <c r="D20" s="90" t="s">
        <v>33</v>
      </c>
      <c r="H20" s="90">
        <v>3.3</v>
      </c>
      <c r="I20" s="90">
        <v>0.92900000000000005</v>
      </c>
      <c r="P20" s="90" t="str">
        <f>+IF(AND($P$11=A20,D5C_LGP_SERIE_III=$Q$11),H20,IF(AND($P$11=A20,E20=$Q$11),J20,IF(AND($P$11=A20,F20=$Q$11),L20,IF(AND($P$11=A20,G20=$Q$11),N20,"0"))))</f>
        <v>0</v>
      </c>
      <c r="Q20" s="90" t="str">
        <f>+IF(AND($P$11=A20,D5C_LGP_SERIE_III=$Q$11),I20,IF(AND($P$11=A20,E20=$Q$11),K20,IF(AND($P$11=A20,F20=$Q$11),M20,IF(AND($P$11=A20,G20=$Q$11),O20,"0"))))</f>
        <v>0</v>
      </c>
      <c r="R20" s="91">
        <v>4.5</v>
      </c>
      <c r="S20" s="91">
        <v>4.5</v>
      </c>
      <c r="T20" s="91">
        <v>4.5</v>
      </c>
      <c r="U20" s="91">
        <v>4.5</v>
      </c>
      <c r="V20" s="91">
        <v>4.5</v>
      </c>
      <c r="W20" s="91">
        <v>4.5</v>
      </c>
      <c r="X20" s="278">
        <f t="shared" si="3"/>
        <v>0</v>
      </c>
      <c r="Y20" s="278"/>
      <c r="Z20" s="90">
        <v>4.5</v>
      </c>
      <c r="AA20" s="90">
        <v>4.5</v>
      </c>
      <c r="AB20" s="90">
        <v>4.5</v>
      </c>
      <c r="AC20" s="90">
        <v>4.5</v>
      </c>
      <c r="AD20" s="90">
        <v>4.5</v>
      </c>
      <c r="AE20" s="90">
        <v>4.5</v>
      </c>
      <c r="AF20" s="278">
        <f t="shared" si="4"/>
        <v>0</v>
      </c>
      <c r="AG20" s="278"/>
      <c r="AH20" s="90" t="s">
        <v>206</v>
      </c>
      <c r="AI20" s="90">
        <v>18000</v>
      </c>
      <c r="AJ20" s="90">
        <v>165</v>
      </c>
      <c r="AK20" s="90">
        <v>3.3999999999999995</v>
      </c>
      <c r="AL20" s="90">
        <v>5.9</v>
      </c>
      <c r="AM20" s="90">
        <v>10.4</v>
      </c>
      <c r="AQ20" s="278" t="b">
        <f t="shared" si="5"/>
        <v>0</v>
      </c>
      <c r="AR20" s="278"/>
      <c r="AS20" s="90">
        <v>4.3</v>
      </c>
      <c r="AT20" s="91">
        <v>7.5</v>
      </c>
      <c r="AU20" s="91">
        <v>13.299999999999999</v>
      </c>
      <c r="AV20" s="91"/>
      <c r="AW20" s="91"/>
      <c r="AX20" s="91"/>
      <c r="AY20" s="279" t="b">
        <f t="shared" si="6"/>
        <v>0</v>
      </c>
      <c r="AZ20" s="279"/>
      <c r="BA20" s="90" t="s">
        <v>156</v>
      </c>
      <c r="BC20" s="91">
        <v>0.5</v>
      </c>
      <c r="BD20" s="91"/>
      <c r="BE20" s="278">
        <f>+IF(AND(AH20=$BE$11,D6R_=$BF$11),BC20,IF(AND(AH20=$BE$11,BB20=$BF$11),BD20,0))</f>
        <v>0</v>
      </c>
      <c r="BF20" s="278"/>
    </row>
    <row r="21" spans="1:58" x14ac:dyDescent="0.2">
      <c r="A21" s="90" t="s">
        <v>176</v>
      </c>
      <c r="B21" s="90">
        <v>12250</v>
      </c>
      <c r="C21" s="90">
        <v>110</v>
      </c>
      <c r="D21" s="90" t="s">
        <v>33</v>
      </c>
      <c r="H21" s="90">
        <v>3.08</v>
      </c>
      <c r="I21" s="90">
        <v>1.109</v>
      </c>
      <c r="P21" s="90" t="str">
        <f>+IF(AND($P$11=A21,D5M_XL=$Q$11),H21,IF(AND($P$11=A21,E21=$Q$11),J21,IF(AND($P$11=A21,F21=$Q$11),L21,IF(AND($P$11=A21,G21=$Q$11),N21,"0"))))</f>
        <v>0</v>
      </c>
      <c r="Q21" s="90" t="str">
        <f>+IF(AND($P$11=A21,D5M_XL=$Q$11),I21,IF(AND($P$11=A21,E21=$Q$11),K21,IF(AND($P$11=A21,F21=$Q$11),M21,IF(AND($P$11=A21,G21=$Q$11),O21,"0"))))</f>
        <v>0</v>
      </c>
      <c r="R21" s="91">
        <v>3.2999999999999994</v>
      </c>
      <c r="S21" s="91">
        <v>5.8</v>
      </c>
      <c r="T21" s="91">
        <v>9.9</v>
      </c>
      <c r="U21" s="91"/>
      <c r="V21" s="91"/>
      <c r="W21" s="91"/>
      <c r="X21" s="278">
        <f t="shared" si="3"/>
        <v>0</v>
      </c>
      <c r="Y21" s="278"/>
      <c r="Z21" s="90">
        <v>4</v>
      </c>
      <c r="AA21" s="90">
        <v>7.1</v>
      </c>
      <c r="AB21" s="90">
        <v>12.1</v>
      </c>
      <c r="AF21" s="278">
        <f t="shared" si="4"/>
        <v>0</v>
      </c>
      <c r="AG21" s="278"/>
      <c r="AH21" s="90" t="s">
        <v>207</v>
      </c>
      <c r="AI21" s="90">
        <v>19000</v>
      </c>
      <c r="AJ21" s="90">
        <v>175</v>
      </c>
      <c r="AK21" s="90">
        <v>3.9</v>
      </c>
      <c r="AL21" s="90">
        <v>6.7999999999999989</v>
      </c>
      <c r="AM21" s="90">
        <v>11.9</v>
      </c>
      <c r="AQ21" s="278" t="b">
        <f t="shared" si="5"/>
        <v>0</v>
      </c>
      <c r="AR21" s="278"/>
      <c r="AS21" s="90">
        <v>4.8</v>
      </c>
      <c r="AT21" s="91">
        <v>8.6999999999999993</v>
      </c>
      <c r="AU21" s="91">
        <v>15.3</v>
      </c>
      <c r="AV21" s="91"/>
      <c r="AW21" s="91"/>
      <c r="AX21" s="91"/>
      <c r="AY21" s="279" t="b">
        <f t="shared" si="6"/>
        <v>0</v>
      </c>
      <c r="AZ21" s="279"/>
      <c r="BA21" s="90" t="s">
        <v>156</v>
      </c>
      <c r="BC21" s="91">
        <v>0.5</v>
      </c>
      <c r="BD21" s="91"/>
      <c r="BE21" s="278">
        <f>+IF(AND(AH21=$BE$11,D6R_XL_=$BF$11),BC21,IF(AND(AH21=$BE$11,BB21=$BF$11),BD21,0))</f>
        <v>0</v>
      </c>
      <c r="BF21" s="278"/>
    </row>
    <row r="22" spans="1:58" x14ac:dyDescent="0.2">
      <c r="A22" s="90" t="s">
        <v>177</v>
      </c>
      <c r="B22" s="90">
        <v>13175</v>
      </c>
      <c r="C22" s="90">
        <v>110</v>
      </c>
      <c r="D22" s="90" t="s">
        <v>33</v>
      </c>
      <c r="H22" s="90">
        <v>3.36</v>
      </c>
      <c r="I22" s="90">
        <v>0.91</v>
      </c>
      <c r="P22" s="90" t="str">
        <f>+IF(AND($P$11=A22,D5M_LGP=$Q$11),H22,IF(AND($P$11=A22,E22=$Q$11),J22,IF(AND($P$11=A22,F22=$Q$11),L22,IF(AND($P$11=A22,G22=$Q$11),N22,"0"))))</f>
        <v>0</v>
      </c>
      <c r="Q22" s="90" t="str">
        <f>+IF(AND($P$11=A22,D5M_LGP=$Q$11),I22,IF(AND($P$11=A22,E22=$Q$11),K22,IF(AND($P$11=A22,F22=$Q$11),M22,IF(AND($P$11=A22,G22=$Q$11),O22,"0"))))</f>
        <v>0</v>
      </c>
      <c r="R22" s="91">
        <v>3.2999999999999994</v>
      </c>
      <c r="S22" s="91">
        <v>5.8</v>
      </c>
      <c r="T22" s="91">
        <v>9.9</v>
      </c>
      <c r="U22" s="91"/>
      <c r="V22" s="91"/>
      <c r="W22" s="91"/>
      <c r="X22" s="278">
        <f t="shared" si="3"/>
        <v>0</v>
      </c>
      <c r="Y22" s="278"/>
      <c r="Z22" s="90">
        <v>4</v>
      </c>
      <c r="AA22" s="90">
        <v>7.1</v>
      </c>
      <c r="AB22" s="90">
        <v>12.1</v>
      </c>
      <c r="AF22" s="278">
        <f t="shared" si="4"/>
        <v>0</v>
      </c>
      <c r="AG22" s="278"/>
      <c r="AH22" s="90" t="s">
        <v>208</v>
      </c>
      <c r="AI22" s="90">
        <v>20094</v>
      </c>
      <c r="AJ22" s="90">
        <v>200</v>
      </c>
      <c r="AK22" s="90">
        <v>3.7000000000000006</v>
      </c>
      <c r="AL22" s="90">
        <v>6.9</v>
      </c>
      <c r="AM22" s="90">
        <v>11.1</v>
      </c>
      <c r="AQ22" s="278" t="b">
        <f t="shared" si="5"/>
        <v>0</v>
      </c>
      <c r="AR22" s="278"/>
      <c r="AS22" s="90">
        <v>4.5</v>
      </c>
      <c r="AT22" s="91">
        <v>7.9</v>
      </c>
      <c r="AU22" s="91">
        <v>12.2</v>
      </c>
      <c r="AV22" s="91"/>
      <c r="AW22" s="91"/>
      <c r="AX22" s="91"/>
      <c r="AY22" s="279" t="b">
        <f t="shared" si="6"/>
        <v>0</v>
      </c>
      <c r="AZ22" s="279"/>
      <c r="BA22" s="90" t="s">
        <v>156</v>
      </c>
      <c r="BC22" s="91">
        <v>0.73699999999999999</v>
      </c>
      <c r="BD22" s="91"/>
      <c r="BE22" s="278">
        <f>+IF(AND(AH22=$BE$11,D7G_=$BF$11),BC22,IF(AND(AH22=$BE$11,BB22=$BF$11),BD22,0))</f>
        <v>0</v>
      </c>
      <c r="BF22" s="278"/>
    </row>
    <row r="23" spans="1:58" x14ac:dyDescent="0.2">
      <c r="A23" s="90" t="s">
        <v>17</v>
      </c>
      <c r="B23" s="90">
        <v>11702</v>
      </c>
      <c r="C23" s="90">
        <v>105</v>
      </c>
      <c r="D23" s="90" t="s">
        <v>28</v>
      </c>
      <c r="H23" s="90">
        <v>3.41</v>
      </c>
      <c r="I23" s="90">
        <v>0.85899999999999999</v>
      </c>
      <c r="P23" s="90" t="str">
        <f>+IF(AND($P$11=A23,D5E=$Q$11),H23,IF(AND($P$11=A23,E23=$Q$11),J23,IF(AND($P$11=A23,F23=$Q$11),L23,IF(AND($P$11=A23,G23=$Q$11),N23,"0"))))</f>
        <v>0</v>
      </c>
      <c r="Q23" s="90" t="str">
        <f>+IF(AND($P$11=A23,D5E=$Q$11),I23,IF(AND($P$11=A23,E23=$Q$11),K23,IF(AND($P$11=A23,F23=$Q$11),M23,IF(AND($P$11=A23,G23=$Q$11),O23,"0"))))</f>
        <v>0</v>
      </c>
      <c r="R23" s="91">
        <v>2.7</v>
      </c>
      <c r="S23" s="91">
        <v>4.2</v>
      </c>
      <c r="T23" s="91">
        <v>5.8</v>
      </c>
      <c r="U23" s="91">
        <v>8</v>
      </c>
      <c r="V23" s="91">
        <v>11.1</v>
      </c>
      <c r="W23" s="91"/>
      <c r="X23" s="278">
        <f t="shared" si="3"/>
        <v>0</v>
      </c>
      <c r="Y23" s="278"/>
      <c r="Z23" s="90">
        <v>3.3999999999999995</v>
      </c>
      <c r="AA23" s="90">
        <v>5.3</v>
      </c>
      <c r="AB23" s="90">
        <v>7.4000000000000012</v>
      </c>
      <c r="AC23" s="90">
        <v>10.1</v>
      </c>
      <c r="AF23" s="278">
        <f t="shared" si="4"/>
        <v>0</v>
      </c>
      <c r="AG23" s="278"/>
      <c r="AH23" s="90" t="s">
        <v>209</v>
      </c>
      <c r="AI23" s="90">
        <v>24778</v>
      </c>
      <c r="AJ23" s="90">
        <v>230</v>
      </c>
      <c r="AK23" s="90">
        <v>3.7000000000000006</v>
      </c>
      <c r="AL23" s="90">
        <v>6.9</v>
      </c>
      <c r="AM23" s="90">
        <v>11.1</v>
      </c>
      <c r="AQ23" s="278" t="b">
        <f t="shared" si="5"/>
        <v>0</v>
      </c>
      <c r="AR23" s="278"/>
      <c r="AS23" s="90">
        <v>4.8</v>
      </c>
      <c r="AT23" s="91">
        <v>8.3000000000000007</v>
      </c>
      <c r="AU23" s="91">
        <v>14.2</v>
      </c>
      <c r="AV23" s="91"/>
      <c r="AW23" s="91"/>
      <c r="AX23" s="91"/>
      <c r="AY23" s="279" t="b">
        <f t="shared" si="6"/>
        <v>0</v>
      </c>
      <c r="AZ23" s="279"/>
      <c r="BA23" s="90" t="s">
        <v>156</v>
      </c>
      <c r="BC23" s="91">
        <v>0.748</v>
      </c>
      <c r="BD23" s="91"/>
      <c r="BE23" s="278">
        <f>+IF(AND(AH23=$BE$11,D7R_=$BF$11),BC23,IF(AND(AH23=$BE$11,BB23=$BF$11),BD23,0))</f>
        <v>0</v>
      </c>
      <c r="BF23" s="278"/>
    </row>
    <row r="24" spans="1:58" ht="27.75" x14ac:dyDescent="0.2">
      <c r="A24" s="90" t="s">
        <v>178</v>
      </c>
      <c r="B24" s="90">
        <v>15530</v>
      </c>
      <c r="C24" s="90">
        <v>140</v>
      </c>
      <c r="D24" s="90" t="s">
        <v>164</v>
      </c>
      <c r="E24" s="90" t="s">
        <v>33</v>
      </c>
      <c r="H24" s="90">
        <v>3.14</v>
      </c>
      <c r="I24" s="90">
        <v>1.244</v>
      </c>
      <c r="J24" s="90">
        <v>3.27</v>
      </c>
      <c r="K24" s="90">
        <v>1.1950000000000001</v>
      </c>
      <c r="P24" s="90" t="str">
        <f>+IF(AND($P$11=A24,D24=$Q$11),H24,IF(AND($P$11=A24,E24=$Q$11),J24,IF(AND($P$11=A24,F24=$Q$11),L24,IF(AND($P$11=A24,G24=$Q$11),N24,"0"))))</f>
        <v>0</v>
      </c>
      <c r="Q24" s="90" t="str">
        <f>+IF(AND($P$11=A24,D24=$Q$11),I24,IF(AND($P$11=A24,E24=$Q$11),K24,IF(AND($P$11=A24,F24=$Q$11),M24,IF(AND($P$11=A24,G24=$Q$11),O24,"0"))))</f>
        <v>0</v>
      </c>
      <c r="R24" s="91">
        <v>3.3999999999999995</v>
      </c>
      <c r="S24" s="91">
        <v>6</v>
      </c>
      <c r="T24" s="91">
        <v>10.199999999999999</v>
      </c>
      <c r="U24" s="91"/>
      <c r="V24" s="91"/>
      <c r="W24" s="91"/>
      <c r="X24" s="278">
        <f t="shared" si="3"/>
        <v>0</v>
      </c>
      <c r="Y24" s="278"/>
      <c r="Z24" s="90">
        <v>4.2</v>
      </c>
      <c r="AA24" s="90">
        <v>7.5</v>
      </c>
      <c r="AB24" s="90">
        <v>12.8</v>
      </c>
      <c r="AF24" s="278">
        <f t="shared" si="4"/>
        <v>0</v>
      </c>
      <c r="AG24" s="278"/>
      <c r="AH24" s="90" t="s">
        <v>210</v>
      </c>
      <c r="AI24" s="90">
        <v>37580</v>
      </c>
      <c r="AJ24" s="90">
        <v>305</v>
      </c>
      <c r="AK24" s="90">
        <v>3.4999999999999996</v>
      </c>
      <c r="AL24" s="90">
        <v>6.2</v>
      </c>
      <c r="AM24" s="90">
        <v>10.8</v>
      </c>
      <c r="AQ24" s="278" t="b">
        <f t="shared" si="5"/>
        <v>0</v>
      </c>
      <c r="AR24" s="278"/>
      <c r="AS24" s="90">
        <v>4.7</v>
      </c>
      <c r="AT24" s="91">
        <v>8.1</v>
      </c>
      <c r="AU24" s="91">
        <v>13.9</v>
      </c>
      <c r="AV24" s="91"/>
      <c r="AW24" s="91"/>
      <c r="AX24" s="91"/>
      <c r="AY24" s="279" t="b">
        <f t="shared" si="6"/>
        <v>0</v>
      </c>
      <c r="AZ24" s="279"/>
      <c r="BA24" s="90" t="s">
        <v>157</v>
      </c>
      <c r="BB24" s="90" t="s">
        <v>158</v>
      </c>
      <c r="BC24" s="91">
        <v>1.1299999999999999</v>
      </c>
      <c r="BD24" s="91">
        <v>0.78</v>
      </c>
      <c r="BE24" s="278">
        <f>+IF(AND(AH24=$BE$11,BA24=$BF$11),BC24,IF(AND(AH24=$BE$11,BB24=$BF$11),BD24,0))</f>
        <v>0</v>
      </c>
      <c r="BF24" s="278"/>
    </row>
    <row r="25" spans="1:58" ht="27.75" x14ac:dyDescent="0.2">
      <c r="A25" s="90" t="s">
        <v>179</v>
      </c>
      <c r="B25" s="90">
        <v>16930</v>
      </c>
      <c r="C25" s="90">
        <v>140</v>
      </c>
      <c r="D25" s="90" t="s">
        <v>33</v>
      </c>
      <c r="H25" s="90">
        <v>4.08</v>
      </c>
      <c r="I25" s="90">
        <v>1.0249999999999999</v>
      </c>
      <c r="P25" s="90" t="str">
        <f>+IF(AND($P$11=A25,D6M_LGP=$Q$11),H25,IF(AND($P$11=A25,E25=$Q$11),J25,IF(AND($P$11=A25,F25=$Q$11),L25,IF(AND($P$11=A25,G25=$Q$11),N25,"0"))))</f>
        <v>0</v>
      </c>
      <c r="Q25" s="90" t="str">
        <f>+IF(AND($P$11=A25,D6M_LGP=$Q$11),I25,IF(AND($P$11=A25,E25=$Q$11),K25,IF(AND($P$11=A25,F25=$Q$11),M25,IF(AND($P$11=A25,G25=$Q$11),O25,"0"))))</f>
        <v>0</v>
      </c>
      <c r="R25" s="91">
        <v>3.3999999999999995</v>
      </c>
      <c r="S25" s="91">
        <v>6</v>
      </c>
      <c r="T25" s="91">
        <v>10.199999999999999</v>
      </c>
      <c r="U25" s="91"/>
      <c r="V25" s="91"/>
      <c r="W25" s="91"/>
      <c r="X25" s="278">
        <f t="shared" si="3"/>
        <v>0</v>
      </c>
      <c r="Y25" s="278"/>
      <c r="Z25" s="90">
        <v>4.2</v>
      </c>
      <c r="AA25" s="90">
        <v>7.5</v>
      </c>
      <c r="AB25" s="90">
        <v>12.8</v>
      </c>
      <c r="AF25" s="278">
        <f t="shared" si="4"/>
        <v>0</v>
      </c>
      <c r="AG25" s="278"/>
      <c r="AH25" s="90" t="s">
        <v>211</v>
      </c>
      <c r="AI25" s="90">
        <v>48440</v>
      </c>
      <c r="AJ25" s="90">
        <v>405</v>
      </c>
      <c r="AK25" s="90">
        <v>3.9</v>
      </c>
      <c r="AL25" s="90">
        <v>6.7999999999999989</v>
      </c>
      <c r="AM25" s="90">
        <v>11.8</v>
      </c>
      <c r="AQ25" s="278" t="b">
        <f t="shared" ref="AQ25:AQ28" si="7">+IF(AND(AH25=$AQ$11,$AK$11=$AR$11),AK25,IF(AND(AH25=$AQ$11,$AL$11=$AR$11),AL25+IF(AND(AH25=$AQ$11,$AM$11=$AR$11),AM25,IF(AND(AH25=$AQ$11,$AN$11=$AR$11),AN25,IF(AND(AH25=$AQ$11,$AO$11=$AR$11),AO25,IF(AND(AH25=$AQ$11,$AP$11=$AR$11),AP25,"0"))))))</f>
        <v>0</v>
      </c>
      <c r="AR25" s="278"/>
      <c r="AS25" s="90">
        <v>4.8</v>
      </c>
      <c r="AT25" s="91">
        <v>8.4</v>
      </c>
      <c r="AU25" s="91">
        <v>14.700000000000001</v>
      </c>
      <c r="AV25" s="91"/>
      <c r="AW25" s="91"/>
      <c r="AX25" s="91"/>
      <c r="AY25" s="279" t="b">
        <f t="shared" si="6"/>
        <v>0</v>
      </c>
      <c r="AZ25" s="279"/>
      <c r="BA25" s="90" t="s">
        <v>157</v>
      </c>
      <c r="BB25" s="90" t="s">
        <v>158</v>
      </c>
      <c r="BC25" s="91">
        <v>1.2310000000000001</v>
      </c>
      <c r="BD25" s="91">
        <v>0.79800000000000004</v>
      </c>
      <c r="BE25" s="278">
        <f>+IF(AND(AH25=$BE$11,BA25=$BF$11),BC25,IF(AND(AH25=$BE$11,BB25=$BF$11),BD25,0))</f>
        <v>0</v>
      </c>
      <c r="BF25" s="278"/>
    </row>
    <row r="26" spans="1:58" ht="54.75" x14ac:dyDescent="0.2">
      <c r="A26" s="90" t="s">
        <v>18</v>
      </c>
      <c r="B26" s="90">
        <v>15432</v>
      </c>
      <c r="C26" s="90">
        <v>155</v>
      </c>
      <c r="D26" s="92" t="s">
        <v>27</v>
      </c>
      <c r="E26" s="90" t="s">
        <v>28</v>
      </c>
      <c r="F26" s="92" t="s">
        <v>32</v>
      </c>
      <c r="H26" s="90">
        <v>3.23</v>
      </c>
      <c r="I26" s="90">
        <v>1.1259999999999999</v>
      </c>
      <c r="J26" s="90">
        <v>3.88</v>
      </c>
      <c r="K26" s="90">
        <v>0.92400000000000004</v>
      </c>
      <c r="L26" s="90">
        <v>3.2</v>
      </c>
      <c r="M26" s="90">
        <v>1.2350000000000001</v>
      </c>
      <c r="P26" s="90">
        <f>+IF(AND($P$11=A26,D26=$Q$11),H26,IF(AND($P$11=A26,E26=$Q$11),J26,IF(AND($P$11=A26,F26=$Q$11),L26,IF(AND($P$11=A26,G26=$Q$11),N26,"0"))))</f>
        <v>3.88</v>
      </c>
      <c r="Q26" s="90">
        <f>+IF(AND($P$11=A26,D26=$Q$11),I26,IF(AND($P$11=A26,E26=$Q$11),K26,IF(AND($P$11=A26,F26=$Q$11),M26,IF(AND($P$11=A26,G26=$Q$11),O26,"0"))))</f>
        <v>0.92400000000000004</v>
      </c>
      <c r="R26" s="91">
        <v>4</v>
      </c>
      <c r="S26" s="91">
        <v>6.9</v>
      </c>
      <c r="T26" s="91">
        <v>10.8</v>
      </c>
      <c r="U26" s="91"/>
      <c r="V26" s="91"/>
      <c r="W26" s="91"/>
      <c r="X26" s="278">
        <f t="shared" si="3"/>
        <v>4</v>
      </c>
      <c r="Y26" s="278"/>
      <c r="Z26" s="90">
        <v>4.8</v>
      </c>
      <c r="AA26" s="90">
        <v>8.4</v>
      </c>
      <c r="AB26" s="90">
        <v>12.899999999999999</v>
      </c>
      <c r="AF26" s="278">
        <f t="shared" si="4"/>
        <v>8.4</v>
      </c>
      <c r="AG26" s="278"/>
      <c r="AH26" s="90" t="s">
        <v>212</v>
      </c>
      <c r="AI26" s="90">
        <v>65400</v>
      </c>
      <c r="AJ26" s="90">
        <v>570</v>
      </c>
      <c r="AK26" s="90">
        <v>4</v>
      </c>
      <c r="AL26" s="90">
        <v>7.1</v>
      </c>
      <c r="AM26" s="90">
        <v>12.5</v>
      </c>
      <c r="AQ26" s="278">
        <f t="shared" si="7"/>
        <v>4</v>
      </c>
      <c r="AR26" s="278"/>
      <c r="AS26" s="90">
        <v>5</v>
      </c>
      <c r="AT26" s="91">
        <v>8.9</v>
      </c>
      <c r="AU26" s="91">
        <v>15.6</v>
      </c>
      <c r="AV26" s="91"/>
      <c r="AW26" s="91"/>
      <c r="AX26" s="91"/>
      <c r="AY26" s="279">
        <f t="shared" si="6"/>
        <v>5</v>
      </c>
      <c r="AZ26" s="279"/>
      <c r="BA26" s="90" t="s">
        <v>159</v>
      </c>
      <c r="BB26" s="90" t="s">
        <v>193</v>
      </c>
      <c r="BC26" s="91">
        <v>1.37</v>
      </c>
      <c r="BD26" s="91">
        <v>0.876</v>
      </c>
      <c r="BE26" s="278">
        <f>+IF(AND(AH26=$BE$11,BA26=$BF$11),BC26,IF(AND(AH26=$BE$11,BB26=$BF$11),BD26,0))</f>
        <v>0.876</v>
      </c>
      <c r="BF26" s="278"/>
    </row>
    <row r="27" spans="1:58" ht="41.25" x14ac:dyDescent="0.2">
      <c r="A27" s="90" t="s">
        <v>19</v>
      </c>
      <c r="B27" s="90">
        <v>18000</v>
      </c>
      <c r="C27" s="90">
        <v>165</v>
      </c>
      <c r="D27" s="90" t="s">
        <v>27</v>
      </c>
      <c r="E27" s="90" t="s">
        <v>28</v>
      </c>
      <c r="F27" s="90" t="s">
        <v>29</v>
      </c>
      <c r="G27" s="90" t="s">
        <v>32</v>
      </c>
      <c r="H27" s="90">
        <v>3.36</v>
      </c>
      <c r="I27" s="90">
        <v>1.2569999999999999</v>
      </c>
      <c r="J27" s="90">
        <v>4.16</v>
      </c>
      <c r="K27" s="90">
        <v>1.0329999999999999</v>
      </c>
      <c r="L27" s="90">
        <v>4.16</v>
      </c>
      <c r="M27" s="90">
        <v>1.155</v>
      </c>
      <c r="N27" s="90">
        <v>3.26</v>
      </c>
      <c r="O27" s="90">
        <v>1.411</v>
      </c>
      <c r="P27" s="90" t="str">
        <f>+IF(AND($P$11=A27,D27=$Q$11),H27,IF(AND($P$11=A27,E27=$Q$11),J27,IF(AND($P$11=A27,F27=$Q$11),L27,IF(AND($P$11=A27,G27=$Q$11),N27,"0"))))</f>
        <v>0</v>
      </c>
      <c r="Q27" s="90" t="str">
        <f>+IF(AND($P$11=A27,D27=$Q$11),I27,IF(AND($P$11=A27,E27=$Q$11),K27,IF(AND($P$11=A27,F27=$Q$11),M27,IF(AND($P$11=A27,G27=$Q$11),O27,"0"))))</f>
        <v>0</v>
      </c>
      <c r="R27" s="91">
        <v>3.3999999999999995</v>
      </c>
      <c r="S27" s="91">
        <v>5.9</v>
      </c>
      <c r="T27" s="91">
        <v>10.4</v>
      </c>
      <c r="U27" s="91"/>
      <c r="V27" s="91"/>
      <c r="W27" s="91"/>
      <c r="X27" s="278">
        <f t="shared" si="3"/>
        <v>0</v>
      </c>
      <c r="Y27" s="278"/>
      <c r="Z27" s="90">
        <v>4.3</v>
      </c>
      <c r="AA27" s="90">
        <v>7.5</v>
      </c>
      <c r="AB27" s="90">
        <v>13.299999999999999</v>
      </c>
      <c r="AF27" s="278">
        <f t="shared" si="4"/>
        <v>0</v>
      </c>
      <c r="AG27" s="278"/>
      <c r="AH27" s="90" t="s">
        <v>213</v>
      </c>
      <c r="AI27" s="90">
        <v>104600</v>
      </c>
      <c r="AJ27" s="90">
        <v>850</v>
      </c>
      <c r="AK27" s="90">
        <v>3.9</v>
      </c>
      <c r="AL27" s="90">
        <v>6.7999999999999989</v>
      </c>
      <c r="AM27" s="90">
        <v>11.8</v>
      </c>
      <c r="AQ27" s="278" t="b">
        <f t="shared" si="7"/>
        <v>0</v>
      </c>
      <c r="AR27" s="278"/>
      <c r="AS27" s="90">
        <v>4.7</v>
      </c>
      <c r="AT27" s="91">
        <v>8.1999999999999993</v>
      </c>
      <c r="AU27" s="91">
        <v>13.999999999999998</v>
      </c>
      <c r="AV27" s="91"/>
      <c r="AW27" s="91"/>
      <c r="AX27" s="91"/>
      <c r="AY27" s="279" t="b">
        <f t="shared" si="6"/>
        <v>0</v>
      </c>
      <c r="AZ27" s="279"/>
      <c r="BA27" s="90" t="s">
        <v>159</v>
      </c>
      <c r="BC27" s="91">
        <v>1.6120000000000001</v>
      </c>
      <c r="BD27" s="91"/>
      <c r="BE27" s="278">
        <f>+IF(AND(AH27=$BE$11,D11R_=$BF$11),BC27,IF(AND(AH27=$BE$11,BB27=$BF$11),BD27,0))</f>
        <v>0</v>
      </c>
      <c r="BF27" s="278"/>
    </row>
    <row r="28" spans="1:58" ht="27.75" x14ac:dyDescent="0.2">
      <c r="A28" s="90" t="s">
        <v>180</v>
      </c>
      <c r="B28" s="90">
        <v>19000</v>
      </c>
      <c r="C28" s="90">
        <v>175</v>
      </c>
      <c r="D28" s="90" t="s">
        <v>31</v>
      </c>
      <c r="E28" s="90" t="s">
        <v>29</v>
      </c>
      <c r="F28" s="90" t="s">
        <v>32</v>
      </c>
      <c r="G28" s="90" t="s">
        <v>33</v>
      </c>
      <c r="H28" s="90">
        <v>4.16</v>
      </c>
      <c r="I28" s="90">
        <v>1.155</v>
      </c>
      <c r="J28" s="90">
        <v>4.2</v>
      </c>
      <c r="K28" s="90">
        <v>1.169</v>
      </c>
      <c r="L28" s="90">
        <v>3.26</v>
      </c>
      <c r="M28" s="90">
        <v>1.411</v>
      </c>
      <c r="N28" s="90">
        <v>3.62</v>
      </c>
      <c r="O28" s="90">
        <v>1.2070000000000001</v>
      </c>
      <c r="P28" s="90" t="str">
        <f>+IF(AND($P$11=A28,D28=$Q$11),H28,IF(AND($P$11=A28,E28=$Q$11),J28,IF(AND($P$11=A28,F28=$Q$11),L28,IF(AND($P$11=A28,G28=$Q$11),N28,"0"))))</f>
        <v>0</v>
      </c>
      <c r="Q28" s="90" t="str">
        <f>+IF(AND($P$11=A28,D28=$Q$11),I28,IF(AND($P$11=A28,E28=$Q$11),K28,IF(AND($P$11=A28,F28=$Q$11),M28,IF(AND($P$11=A28,G28=$Q$11),O28,"0"))))</f>
        <v>0</v>
      </c>
      <c r="R28" s="91">
        <v>3.9</v>
      </c>
      <c r="S28" s="91">
        <v>6.7999999999999989</v>
      </c>
      <c r="T28" s="91">
        <v>11.9</v>
      </c>
      <c r="U28" s="91"/>
      <c r="V28" s="91"/>
      <c r="W28" s="91"/>
      <c r="X28" s="278">
        <f t="shared" si="3"/>
        <v>0</v>
      </c>
      <c r="Y28" s="278"/>
      <c r="Z28" s="90">
        <v>4.8</v>
      </c>
      <c r="AA28" s="90">
        <v>8.6999999999999993</v>
      </c>
      <c r="AB28" s="90">
        <v>15.3</v>
      </c>
      <c r="AF28" s="278">
        <f t="shared" si="4"/>
        <v>0</v>
      </c>
      <c r="AG28" s="278"/>
      <c r="AH28" s="90" t="s">
        <v>214</v>
      </c>
      <c r="AI28" s="90">
        <v>113000</v>
      </c>
      <c r="AJ28" s="90">
        <v>850</v>
      </c>
      <c r="AK28" s="90">
        <v>3.9</v>
      </c>
      <c r="AL28" s="90">
        <v>6.7999999999999989</v>
      </c>
      <c r="AM28" s="90">
        <v>11.7</v>
      </c>
      <c r="AQ28" s="278" t="b">
        <f t="shared" si="7"/>
        <v>0</v>
      </c>
      <c r="AR28" s="278"/>
      <c r="AS28" s="90">
        <v>4.7</v>
      </c>
      <c r="AT28" s="91">
        <v>8.1999999999999993</v>
      </c>
      <c r="AU28" s="91">
        <v>13.999999999999998</v>
      </c>
      <c r="AV28" s="91"/>
      <c r="AW28" s="91"/>
      <c r="AX28" s="91"/>
      <c r="AY28" s="279" t="b">
        <f t="shared" si="6"/>
        <v>0</v>
      </c>
      <c r="AZ28" s="279"/>
      <c r="BA28" s="90" t="s">
        <v>157</v>
      </c>
      <c r="BB28" s="90" t="s">
        <v>158</v>
      </c>
      <c r="BC28" s="91">
        <v>1.6120000000000001</v>
      </c>
      <c r="BD28" s="91">
        <v>1.07</v>
      </c>
      <c r="BE28" s="278">
        <f>+IF(AND(AH28=$BE$11,BA28=$BF$11),BC28,IF(AND(AH28=$BE$11,BB28=$BF$11),BD28,0))</f>
        <v>0</v>
      </c>
      <c r="BF28" s="278"/>
    </row>
    <row r="29" spans="1:58" x14ac:dyDescent="0.2">
      <c r="A29" s="90" t="s">
        <v>187</v>
      </c>
      <c r="B29" s="90">
        <v>19780</v>
      </c>
      <c r="C29" s="90">
        <v>185</v>
      </c>
      <c r="D29" s="90" t="s">
        <v>28</v>
      </c>
      <c r="E29" s="90" t="s">
        <v>32</v>
      </c>
      <c r="H29" s="90">
        <v>4.2</v>
      </c>
      <c r="I29" s="90">
        <v>1.169</v>
      </c>
      <c r="J29" s="90">
        <v>2.56</v>
      </c>
      <c r="K29" s="90">
        <v>1.4119999999999999</v>
      </c>
      <c r="P29" s="90" t="str">
        <f>+IF(AND($P$11=A29,D29=$Q$11),H29,IF(AND($P$11=A29,E29=$Q$11),J29,IF(AND($P$11=A29,F29=$Q$11),L29,IF(AND($P$11=A29,G29=$Q$11),N29,"0"))))</f>
        <v>0</v>
      </c>
      <c r="Q29" s="90" t="str">
        <f>+IF(AND($P$11=A29,D29=$Q$11),I29,IF(AND($P$11=A29,E29=$Q$11),K29,IF(AND($P$11=A29,F29=$Q$11),M29,IF(AND($P$11=A29,G29=$Q$11),O29,"0"))))</f>
        <v>0</v>
      </c>
      <c r="R29" s="91">
        <v>3.9</v>
      </c>
      <c r="S29" s="91">
        <v>6.7999999999999989</v>
      </c>
      <c r="T29" s="91">
        <v>11.9</v>
      </c>
      <c r="U29" s="91"/>
      <c r="V29" s="91"/>
      <c r="W29" s="91"/>
      <c r="X29" s="278">
        <f t="shared" si="3"/>
        <v>0</v>
      </c>
      <c r="Y29" s="278"/>
      <c r="Z29" s="90">
        <v>4.8</v>
      </c>
      <c r="AA29" s="90">
        <v>8.6999999999999993</v>
      </c>
      <c r="AB29" s="90">
        <v>15.3</v>
      </c>
      <c r="AF29" s="278">
        <f t="shared" si="4"/>
        <v>0</v>
      </c>
      <c r="AG29" s="278"/>
      <c r="BC29" s="91"/>
      <c r="BD29" s="91"/>
    </row>
    <row r="30" spans="1:58" ht="27.75" x14ac:dyDescent="0.2">
      <c r="A30" s="90" t="s">
        <v>181</v>
      </c>
      <c r="B30" s="90">
        <v>18780</v>
      </c>
      <c r="C30" s="90">
        <v>175</v>
      </c>
      <c r="D30" s="90" t="s">
        <v>27</v>
      </c>
      <c r="E30" s="90" t="s">
        <v>31</v>
      </c>
      <c r="F30" s="90" t="s">
        <v>29</v>
      </c>
      <c r="G30" s="90" t="s">
        <v>32</v>
      </c>
      <c r="H30" s="90">
        <v>3.36</v>
      </c>
      <c r="I30" s="90">
        <v>1.2569999999999999</v>
      </c>
      <c r="J30" s="90">
        <v>4.16</v>
      </c>
      <c r="K30" s="90">
        <v>1.155</v>
      </c>
      <c r="L30" s="90">
        <v>4.16</v>
      </c>
      <c r="M30" s="90">
        <v>1.155</v>
      </c>
      <c r="N30" s="90">
        <v>3.26</v>
      </c>
      <c r="O30" s="90">
        <v>1.411</v>
      </c>
      <c r="P30" s="90" t="str">
        <f t="shared" ref="P30:P41" si="8">+IF(AND($P$11=A30,D30=$Q$11),H30,IF(AND($P$11=A30,E30=$Q$11),J30,IF(AND($P$11=A30,F30=$Q$11),L30,IF(AND($P$11=A30,G30=$Q$11),N30,"0"))))</f>
        <v>0</v>
      </c>
      <c r="Q30" s="90" t="str">
        <f t="shared" ref="Q30:Q40" si="9">+IF(AND($P$11=A30,D30=$Q$11),I30,IF(AND($P$11=A30,E30=$Q$11),K30,IF(AND($P$11=A30,F30=$Q$11),M30,IF(AND($P$11=A30,G30=$Q$11),O30,"0"))))</f>
        <v>0</v>
      </c>
      <c r="R30" s="91">
        <v>3.9</v>
      </c>
      <c r="S30" s="91">
        <v>6.7999999999999989</v>
      </c>
      <c r="T30" s="91">
        <v>11.9</v>
      </c>
      <c r="U30" s="91"/>
      <c r="V30" s="91"/>
      <c r="W30" s="91"/>
      <c r="X30" s="278">
        <f t="shared" si="3"/>
        <v>0</v>
      </c>
      <c r="Y30" s="278"/>
      <c r="Z30" s="90">
        <v>4.8</v>
      </c>
      <c r="AA30" s="90">
        <v>8.6999999999999993</v>
      </c>
      <c r="AB30" s="90">
        <v>15.3</v>
      </c>
      <c r="AF30" s="278">
        <f t="shared" si="4"/>
        <v>0</v>
      </c>
      <c r="AG30" s="278"/>
      <c r="BC30" s="91"/>
      <c r="BD30" s="91"/>
    </row>
    <row r="31" spans="1:58" x14ac:dyDescent="0.2">
      <c r="A31" s="90" t="s">
        <v>182</v>
      </c>
      <c r="B31" s="90">
        <v>20500</v>
      </c>
      <c r="C31" s="90">
        <v>185</v>
      </c>
      <c r="D31" s="90" t="s">
        <v>27</v>
      </c>
      <c r="H31" s="90">
        <v>3.99</v>
      </c>
      <c r="I31" s="90">
        <v>1.101</v>
      </c>
      <c r="P31" s="90" t="str">
        <f t="shared" si="8"/>
        <v>0</v>
      </c>
      <c r="Q31" s="90" t="str">
        <f t="shared" si="9"/>
        <v>0</v>
      </c>
      <c r="R31" s="91">
        <v>3.9</v>
      </c>
      <c r="S31" s="91">
        <v>6.7999999999999989</v>
      </c>
      <c r="T31" s="91">
        <v>11.9</v>
      </c>
      <c r="U31" s="91"/>
      <c r="V31" s="91"/>
      <c r="W31" s="91"/>
      <c r="X31" s="278">
        <f t="shared" si="3"/>
        <v>0</v>
      </c>
      <c r="Y31" s="278"/>
      <c r="Z31" s="90">
        <v>4.8</v>
      </c>
      <c r="AA31" s="90">
        <v>8.6999999999999993</v>
      </c>
      <c r="AB31" s="90">
        <v>15.3</v>
      </c>
      <c r="AF31" s="278">
        <f t="shared" si="4"/>
        <v>0</v>
      </c>
      <c r="AG31" s="278"/>
      <c r="BC31" s="91"/>
      <c r="BD31" s="91"/>
    </row>
    <row r="32" spans="1:58" x14ac:dyDescent="0.2">
      <c r="A32" s="90" t="s">
        <v>20</v>
      </c>
      <c r="B32" s="90">
        <v>20094</v>
      </c>
      <c r="C32" s="90">
        <v>200</v>
      </c>
      <c r="D32" s="90" t="s">
        <v>27</v>
      </c>
      <c r="E32" s="90" t="s">
        <v>28</v>
      </c>
      <c r="H32" s="90">
        <v>3.65</v>
      </c>
      <c r="I32" s="90">
        <v>1.274</v>
      </c>
      <c r="J32" s="90">
        <v>4.26</v>
      </c>
      <c r="K32" s="90">
        <v>0.96</v>
      </c>
      <c r="P32" s="90" t="str">
        <f t="shared" si="8"/>
        <v>0</v>
      </c>
      <c r="Q32" s="90" t="str">
        <f t="shared" si="9"/>
        <v>0</v>
      </c>
      <c r="R32" s="91">
        <v>3.7000000000000006</v>
      </c>
      <c r="S32" s="91">
        <v>6.9</v>
      </c>
      <c r="T32" s="91">
        <v>11.1</v>
      </c>
      <c r="U32" s="91"/>
      <c r="V32" s="91"/>
      <c r="W32" s="91"/>
      <c r="X32" s="278">
        <f t="shared" si="3"/>
        <v>0</v>
      </c>
      <c r="Y32" s="278"/>
      <c r="Z32" s="90">
        <v>4.5</v>
      </c>
      <c r="AA32" s="90">
        <v>7.9</v>
      </c>
      <c r="AB32" s="90">
        <v>12.2</v>
      </c>
      <c r="AF32" s="278">
        <f t="shared" si="4"/>
        <v>0</v>
      </c>
      <c r="AG32" s="278"/>
    </row>
    <row r="33" spans="1:56" x14ac:dyDescent="0.2">
      <c r="A33" s="90" t="s">
        <v>21</v>
      </c>
      <c r="B33" s="90">
        <v>24778</v>
      </c>
      <c r="C33" s="90">
        <v>230</v>
      </c>
      <c r="D33" s="90" t="s">
        <v>27</v>
      </c>
      <c r="E33" s="90" t="s">
        <v>28</v>
      </c>
      <c r="F33" s="92" t="s">
        <v>30</v>
      </c>
      <c r="G33" s="90" t="s">
        <v>32</v>
      </c>
      <c r="H33" s="90">
        <v>3.9</v>
      </c>
      <c r="I33" s="90">
        <v>1.363</v>
      </c>
      <c r="J33" s="90">
        <v>4.5</v>
      </c>
      <c r="K33" s="90">
        <v>1.111</v>
      </c>
      <c r="L33" s="90">
        <v>3.98</v>
      </c>
      <c r="M33" s="90">
        <v>1.5529999999999999</v>
      </c>
      <c r="N33" s="90">
        <v>3.69</v>
      </c>
      <c r="O33" s="90">
        <v>1.524</v>
      </c>
      <c r="P33" s="90" t="str">
        <f t="shared" si="8"/>
        <v>0</v>
      </c>
      <c r="Q33" s="90" t="str">
        <f t="shared" si="9"/>
        <v>0</v>
      </c>
      <c r="R33" s="91">
        <v>3.7000000000000006</v>
      </c>
      <c r="S33" s="91">
        <v>6.9</v>
      </c>
      <c r="T33" s="91">
        <v>11.1</v>
      </c>
      <c r="U33" s="91"/>
      <c r="V33" s="91"/>
      <c r="W33" s="91"/>
      <c r="X33" s="278">
        <f t="shared" si="3"/>
        <v>0</v>
      </c>
      <c r="Y33" s="278"/>
      <c r="Z33" s="90">
        <v>4.8</v>
      </c>
      <c r="AA33" s="90">
        <v>8.3000000000000007</v>
      </c>
      <c r="AB33" s="90">
        <v>14.2</v>
      </c>
      <c r="AF33" s="278">
        <f t="shared" si="4"/>
        <v>0</v>
      </c>
      <c r="AG33" s="278"/>
    </row>
    <row r="34" spans="1:56" x14ac:dyDescent="0.2">
      <c r="A34" s="90" t="s">
        <v>183</v>
      </c>
      <c r="B34" s="90">
        <v>25193</v>
      </c>
      <c r="C34" s="90">
        <v>230</v>
      </c>
      <c r="D34" s="90" t="s">
        <v>27</v>
      </c>
      <c r="E34" s="90" t="s">
        <v>28</v>
      </c>
      <c r="F34" s="92" t="s">
        <v>30</v>
      </c>
      <c r="G34" s="90" t="s">
        <v>32</v>
      </c>
      <c r="H34" s="90">
        <v>3.9</v>
      </c>
      <c r="I34" s="90">
        <v>1.363</v>
      </c>
      <c r="J34" s="90">
        <v>4.5</v>
      </c>
      <c r="K34" s="90">
        <v>1.111</v>
      </c>
      <c r="L34" s="90">
        <v>3.98</v>
      </c>
      <c r="M34" s="90">
        <v>1.5529999999999999</v>
      </c>
      <c r="N34" s="90">
        <v>3.69</v>
      </c>
      <c r="O34" s="90">
        <v>1.524</v>
      </c>
      <c r="P34" s="90" t="str">
        <f t="shared" si="8"/>
        <v>0</v>
      </c>
      <c r="Q34" s="90" t="str">
        <f t="shared" si="9"/>
        <v>0</v>
      </c>
      <c r="R34" s="91">
        <v>3.7000000000000006</v>
      </c>
      <c r="S34" s="91">
        <v>6.9</v>
      </c>
      <c r="T34" s="91">
        <v>11.1</v>
      </c>
      <c r="U34" s="91"/>
      <c r="V34" s="91"/>
      <c r="W34" s="91"/>
      <c r="X34" s="278">
        <f t="shared" si="3"/>
        <v>0</v>
      </c>
      <c r="Y34" s="278"/>
      <c r="Z34" s="90">
        <v>4.8</v>
      </c>
      <c r="AA34" s="90">
        <v>8.3000000000000007</v>
      </c>
      <c r="AB34" s="90">
        <v>14.2</v>
      </c>
      <c r="AF34" s="278">
        <f t="shared" si="4"/>
        <v>0</v>
      </c>
      <c r="AG34" s="278"/>
      <c r="BC34" s="91"/>
      <c r="BD34" s="91"/>
    </row>
    <row r="35" spans="1:56" x14ac:dyDescent="0.2">
      <c r="A35" s="90" t="s">
        <v>184</v>
      </c>
      <c r="B35" s="90">
        <v>27065</v>
      </c>
      <c r="C35" s="90">
        <v>240</v>
      </c>
      <c r="D35" s="92" t="s">
        <v>27</v>
      </c>
      <c r="H35" s="90">
        <v>4.5</v>
      </c>
      <c r="I35" s="90">
        <v>1.343</v>
      </c>
      <c r="P35" s="90" t="str">
        <f t="shared" si="8"/>
        <v>0</v>
      </c>
      <c r="Q35" s="90" t="str">
        <f t="shared" si="9"/>
        <v>0</v>
      </c>
      <c r="R35" s="91">
        <v>3.7000000000000006</v>
      </c>
      <c r="S35" s="91">
        <v>6.9</v>
      </c>
      <c r="T35" s="91">
        <v>11.1</v>
      </c>
      <c r="U35" s="91"/>
      <c r="V35" s="91"/>
      <c r="W35" s="91"/>
      <c r="X35" s="278">
        <f t="shared" si="3"/>
        <v>0</v>
      </c>
      <c r="Y35" s="278"/>
      <c r="Z35" s="90">
        <v>4.8</v>
      </c>
      <c r="AA35" s="90">
        <v>8.3000000000000007</v>
      </c>
      <c r="AB35" s="90">
        <v>14.2</v>
      </c>
      <c r="AF35" s="278">
        <f t="shared" si="4"/>
        <v>0</v>
      </c>
      <c r="AG35" s="278"/>
      <c r="BC35" s="91"/>
      <c r="BD35" s="91"/>
    </row>
    <row r="36" spans="1:56" x14ac:dyDescent="0.2">
      <c r="A36" s="90" t="s">
        <v>22</v>
      </c>
      <c r="B36" s="90">
        <v>37580</v>
      </c>
      <c r="C36" s="90">
        <v>305</v>
      </c>
      <c r="D36" s="90" t="s">
        <v>28</v>
      </c>
      <c r="E36" s="90" t="s">
        <v>30</v>
      </c>
      <c r="F36" s="90" t="s">
        <v>32</v>
      </c>
      <c r="H36" s="90">
        <v>4.99</v>
      </c>
      <c r="I36" s="90">
        <v>1.1739999999999999</v>
      </c>
      <c r="J36" s="90">
        <v>4.26</v>
      </c>
      <c r="K36" s="90">
        <v>1.74</v>
      </c>
      <c r="L36" s="90">
        <v>3.94</v>
      </c>
      <c r="M36" s="90">
        <v>1.69</v>
      </c>
      <c r="P36" s="90" t="str">
        <f t="shared" si="8"/>
        <v>0</v>
      </c>
      <c r="Q36" s="90" t="str">
        <f t="shared" si="9"/>
        <v>0</v>
      </c>
      <c r="R36" s="91">
        <v>3.4999999999999996</v>
      </c>
      <c r="S36" s="91">
        <v>6.2</v>
      </c>
      <c r="T36" s="91">
        <v>10.8</v>
      </c>
      <c r="U36" s="91"/>
      <c r="V36" s="91"/>
      <c r="W36" s="91"/>
      <c r="X36" s="278">
        <f t="shared" si="3"/>
        <v>0</v>
      </c>
      <c r="Y36" s="278"/>
      <c r="Z36" s="90">
        <v>4.7</v>
      </c>
      <c r="AA36" s="90">
        <v>8.1</v>
      </c>
      <c r="AB36" s="90">
        <v>13.9</v>
      </c>
      <c r="AF36" s="278">
        <f t="shared" si="4"/>
        <v>0</v>
      </c>
      <c r="AG36" s="278"/>
    </row>
    <row r="37" spans="1:56" x14ac:dyDescent="0.2">
      <c r="A37" s="90" t="s">
        <v>185</v>
      </c>
      <c r="B37" s="90">
        <v>33730</v>
      </c>
      <c r="C37" s="90">
        <v>305</v>
      </c>
      <c r="D37" s="90" t="s">
        <v>30</v>
      </c>
      <c r="E37" s="90" t="s">
        <v>32</v>
      </c>
      <c r="H37" s="90">
        <v>4.26</v>
      </c>
      <c r="I37" s="90">
        <v>1.74</v>
      </c>
      <c r="J37" s="90">
        <v>3.94</v>
      </c>
      <c r="K37" s="90">
        <v>1.69</v>
      </c>
      <c r="P37" s="90" t="str">
        <f t="shared" si="8"/>
        <v>0</v>
      </c>
      <c r="Q37" s="90" t="str">
        <f t="shared" si="9"/>
        <v>0</v>
      </c>
      <c r="R37" s="91">
        <v>3.4999999999999996</v>
      </c>
      <c r="S37" s="91">
        <v>6.2</v>
      </c>
      <c r="T37" s="91">
        <v>10.8</v>
      </c>
      <c r="U37" s="91"/>
      <c r="V37" s="91"/>
      <c r="W37" s="91"/>
      <c r="X37" s="278">
        <f t="shared" si="3"/>
        <v>0</v>
      </c>
      <c r="Y37" s="278"/>
      <c r="Z37" s="90">
        <v>4.7</v>
      </c>
      <c r="AA37" s="90">
        <v>8.1</v>
      </c>
      <c r="AB37" s="90">
        <v>13.9</v>
      </c>
      <c r="AF37" s="278">
        <f t="shared" si="4"/>
        <v>0</v>
      </c>
      <c r="AG37" s="278"/>
      <c r="BC37" s="91"/>
      <c r="BD37" s="91"/>
    </row>
    <row r="38" spans="1:56" x14ac:dyDescent="0.2">
      <c r="A38" s="90" t="s">
        <v>23</v>
      </c>
      <c r="B38" s="90">
        <v>48440</v>
      </c>
      <c r="C38" s="90">
        <v>405</v>
      </c>
      <c r="D38" s="90" t="s">
        <v>30</v>
      </c>
      <c r="E38" s="90" t="s">
        <v>32</v>
      </c>
      <c r="H38" s="90">
        <v>4.6500000000000004</v>
      </c>
      <c r="I38" s="90">
        <v>1.9239999999999999</v>
      </c>
      <c r="J38" s="90">
        <v>4.3099999999999996</v>
      </c>
      <c r="K38" s="90">
        <v>1.9339999999999999</v>
      </c>
      <c r="P38" s="90" t="str">
        <f t="shared" si="8"/>
        <v>0</v>
      </c>
      <c r="Q38" s="90" t="str">
        <f t="shared" si="9"/>
        <v>0</v>
      </c>
      <c r="R38" s="91">
        <v>3.9</v>
      </c>
      <c r="S38" s="91">
        <v>6.7999999999999989</v>
      </c>
      <c r="T38" s="91">
        <v>11.8</v>
      </c>
      <c r="U38" s="91"/>
      <c r="V38" s="91"/>
      <c r="W38" s="91"/>
      <c r="X38" s="278">
        <f t="shared" si="3"/>
        <v>0</v>
      </c>
      <c r="Y38" s="278"/>
      <c r="Z38" s="90">
        <v>4.8</v>
      </c>
      <c r="AA38" s="90">
        <v>8.4</v>
      </c>
      <c r="AB38" s="90">
        <v>14.700000000000001</v>
      </c>
      <c r="AF38" s="278">
        <f t="shared" si="4"/>
        <v>0</v>
      </c>
      <c r="AG38" s="278"/>
    </row>
    <row r="39" spans="1:56" x14ac:dyDescent="0.2">
      <c r="A39" s="90" t="s">
        <v>24</v>
      </c>
      <c r="B39" s="90">
        <v>65400</v>
      </c>
      <c r="C39" s="90">
        <v>570</v>
      </c>
      <c r="D39" s="90" t="s">
        <v>30</v>
      </c>
      <c r="E39" s="90" t="s">
        <v>32</v>
      </c>
      <c r="H39" s="90">
        <v>5.26</v>
      </c>
      <c r="I39" s="90">
        <v>2.12</v>
      </c>
      <c r="J39" s="90">
        <v>4.8600000000000003</v>
      </c>
      <c r="K39" s="90">
        <v>2.12</v>
      </c>
      <c r="P39" s="90" t="str">
        <f t="shared" si="8"/>
        <v>0</v>
      </c>
      <c r="Q39" s="90" t="str">
        <f t="shared" si="9"/>
        <v>0</v>
      </c>
      <c r="R39" s="91">
        <v>4</v>
      </c>
      <c r="S39" s="91">
        <v>7.1</v>
      </c>
      <c r="T39" s="91">
        <v>12.5</v>
      </c>
      <c r="U39" s="91"/>
      <c r="V39" s="91"/>
      <c r="W39" s="91"/>
      <c r="X39" s="278">
        <f t="shared" si="3"/>
        <v>0</v>
      </c>
      <c r="Y39" s="278"/>
      <c r="Z39" s="90">
        <v>5</v>
      </c>
      <c r="AA39" s="90">
        <v>8.9</v>
      </c>
      <c r="AB39" s="90">
        <v>15.6</v>
      </c>
      <c r="AF39" s="278">
        <f t="shared" si="4"/>
        <v>0</v>
      </c>
      <c r="AG39" s="278"/>
    </row>
    <row r="40" spans="1:56" x14ac:dyDescent="0.2">
      <c r="A40" s="90" t="s">
        <v>25</v>
      </c>
      <c r="B40" s="90">
        <v>104600</v>
      </c>
      <c r="C40" s="90">
        <v>850</v>
      </c>
      <c r="D40" s="90" t="s">
        <v>30</v>
      </c>
      <c r="E40" s="90" t="s">
        <v>32</v>
      </c>
      <c r="H40" s="90">
        <v>6.35</v>
      </c>
      <c r="I40" s="90">
        <v>2.37</v>
      </c>
      <c r="J40" s="90">
        <v>5.6</v>
      </c>
      <c r="K40" s="90">
        <v>2.37</v>
      </c>
      <c r="P40" s="90" t="str">
        <f t="shared" si="8"/>
        <v>0</v>
      </c>
      <c r="Q40" s="90" t="str">
        <f t="shared" si="9"/>
        <v>0</v>
      </c>
      <c r="R40" s="91">
        <v>3.9</v>
      </c>
      <c r="S40" s="91">
        <v>6.7999999999999989</v>
      </c>
      <c r="T40" s="91">
        <v>11.8</v>
      </c>
      <c r="U40" s="91"/>
      <c r="V40" s="91"/>
      <c r="W40" s="91"/>
      <c r="X40" s="278">
        <f t="shared" si="3"/>
        <v>0</v>
      </c>
      <c r="Y40" s="278"/>
      <c r="Z40" s="90">
        <v>4.7</v>
      </c>
      <c r="AA40" s="90">
        <v>8.1999999999999993</v>
      </c>
      <c r="AB40" s="90">
        <v>13.999999999999998</v>
      </c>
      <c r="AF40" s="278">
        <f t="shared" si="4"/>
        <v>0</v>
      </c>
      <c r="AG40" s="278"/>
    </row>
    <row r="41" spans="1:56" x14ac:dyDescent="0.2">
      <c r="A41" s="90" t="s">
        <v>186</v>
      </c>
      <c r="B41" s="90">
        <v>113000</v>
      </c>
      <c r="C41" s="90">
        <v>850</v>
      </c>
      <c r="D41" s="90" t="s">
        <v>30</v>
      </c>
      <c r="H41" s="90">
        <v>6.71</v>
      </c>
      <c r="I41" s="90">
        <v>3.26</v>
      </c>
      <c r="P41" s="90" t="str">
        <f t="shared" si="8"/>
        <v>0</v>
      </c>
      <c r="Q41" s="90" t="str">
        <f>+IF(AND($P$11=A41,D41=$Q$11),I41,IF(AND($P$11=A41,E41=$Q$11),K41,IF(AND($P$11=A41,F41=$Q$11),M41,IF(AND($P$11=A41,G41=$Q$11),O41,"0"))))</f>
        <v>0</v>
      </c>
      <c r="R41" s="91">
        <v>3.9</v>
      </c>
      <c r="S41" s="91">
        <v>6.7999999999999989</v>
      </c>
      <c r="T41" s="91">
        <v>11.7</v>
      </c>
      <c r="U41" s="91"/>
      <c r="V41" s="91"/>
      <c r="W41" s="91"/>
      <c r="X41" s="278">
        <f t="shared" si="3"/>
        <v>0</v>
      </c>
      <c r="Y41" s="278"/>
      <c r="Z41" s="90">
        <v>4.7</v>
      </c>
      <c r="AA41" s="90">
        <v>8.1999999999999993</v>
      </c>
      <c r="AB41" s="90">
        <v>13.999999999999998</v>
      </c>
      <c r="AF41" s="278">
        <f t="shared" si="4"/>
        <v>0</v>
      </c>
      <c r="AG41" s="278"/>
    </row>
    <row r="43" spans="1:56" x14ac:dyDescent="0.2">
      <c r="A43" s="90" t="s">
        <v>237</v>
      </c>
    </row>
    <row r="44" spans="1:56" x14ac:dyDescent="0.2">
      <c r="A44" s="278" t="s">
        <v>93</v>
      </c>
      <c r="B44" s="278"/>
      <c r="C44" s="278"/>
      <c r="D44" s="278" t="s">
        <v>248</v>
      </c>
      <c r="E44" s="278"/>
      <c r="F44" s="278"/>
      <c r="G44" s="278"/>
      <c r="H44" s="278"/>
      <c r="I44" s="278"/>
      <c r="J44" s="278"/>
      <c r="K44" s="278"/>
      <c r="L44" s="278"/>
      <c r="M44" s="278"/>
    </row>
    <row r="45" spans="1:56" ht="27.75" x14ac:dyDescent="0.2">
      <c r="A45" s="90" t="s">
        <v>162</v>
      </c>
      <c r="B45" s="90" t="s">
        <v>163</v>
      </c>
      <c r="C45" s="90" t="s">
        <v>69</v>
      </c>
      <c r="D45" s="90" t="s">
        <v>238</v>
      </c>
      <c r="E45" s="90" t="s">
        <v>239</v>
      </c>
      <c r="F45" s="90" t="s">
        <v>240</v>
      </c>
      <c r="G45" s="90" t="s">
        <v>241</v>
      </c>
      <c r="H45" s="90" t="s">
        <v>242</v>
      </c>
      <c r="I45" s="278" t="s">
        <v>243</v>
      </c>
      <c r="J45" s="278"/>
      <c r="K45" s="278"/>
      <c r="L45" s="278"/>
      <c r="M45" s="278"/>
    </row>
    <row r="46" spans="1:56" x14ac:dyDescent="0.2">
      <c r="A46" s="91" t="s">
        <v>71</v>
      </c>
      <c r="B46" s="90">
        <v>4540</v>
      </c>
      <c r="C46" s="91">
        <v>70</v>
      </c>
      <c r="D46" s="91">
        <v>10.199999999999999</v>
      </c>
      <c r="E46" s="91">
        <v>6</v>
      </c>
      <c r="F46" s="91">
        <v>8.9</v>
      </c>
      <c r="G46" s="91">
        <v>1.27</v>
      </c>
      <c r="H46" s="91" t="s">
        <v>61</v>
      </c>
      <c r="I46" s="90" t="s">
        <v>64</v>
      </c>
      <c r="J46" s="91"/>
      <c r="K46" s="91"/>
      <c r="L46" s="91"/>
      <c r="M46" s="91"/>
      <c r="N46" s="91"/>
    </row>
    <row r="47" spans="1:56" ht="27.75" x14ac:dyDescent="0.2">
      <c r="A47" s="91" t="s">
        <v>72</v>
      </c>
      <c r="B47" s="90">
        <v>6509</v>
      </c>
      <c r="C47" s="91">
        <v>105</v>
      </c>
      <c r="D47" s="91">
        <v>10.199999999999999</v>
      </c>
      <c r="E47" s="91">
        <v>4</v>
      </c>
      <c r="F47" s="91">
        <v>6</v>
      </c>
      <c r="G47" s="91">
        <v>1.68</v>
      </c>
      <c r="H47" s="91" t="s">
        <v>244</v>
      </c>
      <c r="I47" s="90" t="s">
        <v>64</v>
      </c>
      <c r="J47" s="90" t="s">
        <v>65</v>
      </c>
      <c r="K47" s="90" t="s">
        <v>66</v>
      </c>
      <c r="L47" s="90" t="s">
        <v>67</v>
      </c>
    </row>
    <row r="48" spans="1:56" ht="27.75" x14ac:dyDescent="0.2">
      <c r="A48" s="91" t="s">
        <v>73</v>
      </c>
      <c r="B48" s="90">
        <v>6773</v>
      </c>
      <c r="C48" s="91">
        <v>105</v>
      </c>
      <c r="D48" s="91">
        <v>102</v>
      </c>
      <c r="E48" s="91">
        <v>4</v>
      </c>
      <c r="F48" s="91">
        <v>6</v>
      </c>
      <c r="G48" s="91">
        <v>1.68</v>
      </c>
      <c r="H48" s="91" t="s">
        <v>246</v>
      </c>
      <c r="I48" s="90" t="s">
        <v>65</v>
      </c>
      <c r="J48" s="91" t="s">
        <v>62</v>
      </c>
      <c r="K48" s="91" t="s">
        <v>63</v>
      </c>
      <c r="L48" s="90" t="s">
        <v>66</v>
      </c>
      <c r="M48" s="90" t="s">
        <v>67</v>
      </c>
    </row>
    <row r="49" spans="1:38" ht="27.75" x14ac:dyDescent="0.2">
      <c r="A49" s="91" t="s">
        <v>74</v>
      </c>
      <c r="B49" s="90">
        <v>9190</v>
      </c>
      <c r="C49" s="91">
        <v>145</v>
      </c>
      <c r="D49" s="91">
        <v>15.2</v>
      </c>
      <c r="E49" s="91">
        <v>6</v>
      </c>
      <c r="F49" s="91">
        <v>6</v>
      </c>
      <c r="G49" s="91">
        <v>2.13</v>
      </c>
      <c r="H49" s="91" t="s">
        <v>245</v>
      </c>
      <c r="I49" s="91" t="s">
        <v>62</v>
      </c>
      <c r="J49" s="90" t="s">
        <v>66</v>
      </c>
      <c r="K49" s="90" t="s">
        <v>67</v>
      </c>
      <c r="L49" s="91"/>
    </row>
    <row r="50" spans="1:38" x14ac:dyDescent="0.2">
      <c r="A50" s="91" t="s">
        <v>75</v>
      </c>
      <c r="B50" s="90">
        <v>9390</v>
      </c>
      <c r="C50" s="91">
        <v>145</v>
      </c>
      <c r="D50" s="91">
        <v>15.2</v>
      </c>
      <c r="E50" s="91">
        <v>6</v>
      </c>
      <c r="F50" s="91">
        <v>6</v>
      </c>
      <c r="G50" s="91">
        <v>2.13</v>
      </c>
    </row>
    <row r="51" spans="1:38" x14ac:dyDescent="0.2">
      <c r="A51" s="91" t="s">
        <v>76</v>
      </c>
      <c r="B51" s="90">
        <v>10875</v>
      </c>
      <c r="C51" s="91">
        <v>153</v>
      </c>
      <c r="D51" s="91">
        <v>15.2</v>
      </c>
      <c r="E51" s="91">
        <v>6</v>
      </c>
      <c r="F51" s="91">
        <v>6.4</v>
      </c>
      <c r="G51" s="91">
        <v>2.13</v>
      </c>
    </row>
    <row r="52" spans="1:38" x14ac:dyDescent="0.2">
      <c r="A52" s="91" t="s">
        <v>77</v>
      </c>
      <c r="B52" s="90">
        <v>15200</v>
      </c>
      <c r="C52" s="91">
        <v>153</v>
      </c>
      <c r="D52" s="91">
        <v>15.2</v>
      </c>
      <c r="E52" s="91">
        <v>4</v>
      </c>
      <c r="F52" s="91">
        <v>6.4</v>
      </c>
      <c r="G52" s="91">
        <v>2.13</v>
      </c>
    </row>
    <row r="53" spans="1:38" x14ac:dyDescent="0.2">
      <c r="A53" s="91" t="s">
        <v>78</v>
      </c>
      <c r="B53" s="90">
        <v>4745</v>
      </c>
      <c r="C53" s="91">
        <v>70</v>
      </c>
      <c r="D53" s="91">
        <v>15.2</v>
      </c>
      <c r="E53" s="91">
        <v>6</v>
      </c>
      <c r="F53" s="91">
        <v>8.9</v>
      </c>
      <c r="G53" s="91">
        <v>1.27</v>
      </c>
    </row>
    <row r="54" spans="1:38" x14ac:dyDescent="0.2">
      <c r="A54" s="91" t="s">
        <v>79</v>
      </c>
      <c r="B54" s="90">
        <v>6912</v>
      </c>
      <c r="C54" s="91">
        <v>105</v>
      </c>
      <c r="D54" s="91">
        <v>15.2</v>
      </c>
      <c r="E54" s="91">
        <v>6</v>
      </c>
      <c r="F54" s="91">
        <v>6</v>
      </c>
      <c r="G54" s="91">
        <v>1.68</v>
      </c>
    </row>
    <row r="55" spans="1:38" x14ac:dyDescent="0.2">
      <c r="A55" s="91" t="s">
        <v>80</v>
      </c>
      <c r="B55" s="90">
        <v>9790</v>
      </c>
      <c r="C55" s="91">
        <v>145</v>
      </c>
      <c r="D55" s="91">
        <v>30.5</v>
      </c>
      <c r="E55" s="91">
        <v>6</v>
      </c>
      <c r="F55" s="91">
        <v>6</v>
      </c>
      <c r="G55" s="91">
        <v>2.13</v>
      </c>
    </row>
    <row r="56" spans="1:38" x14ac:dyDescent="0.2">
      <c r="A56" s="91" t="s">
        <v>81</v>
      </c>
      <c r="B56" s="90">
        <v>11275</v>
      </c>
      <c r="C56" s="91">
        <v>153</v>
      </c>
      <c r="D56" s="91">
        <v>30.5</v>
      </c>
      <c r="E56" s="91">
        <v>6</v>
      </c>
      <c r="F56" s="91">
        <v>6.5</v>
      </c>
      <c r="G56" s="91">
        <v>2.13</v>
      </c>
    </row>
    <row r="58" spans="1:38" x14ac:dyDescent="0.2">
      <c r="A58" s="91" t="s">
        <v>101</v>
      </c>
    </row>
    <row r="59" spans="1:38" x14ac:dyDescent="0.2">
      <c r="A59" s="279" t="s">
        <v>93</v>
      </c>
      <c r="B59" s="279"/>
      <c r="C59" s="279"/>
      <c r="D59" s="279" t="s">
        <v>44</v>
      </c>
      <c r="E59" s="279"/>
      <c r="F59" s="279"/>
      <c r="G59" s="279"/>
      <c r="H59" s="279"/>
      <c r="I59" s="279"/>
      <c r="J59" s="279" t="s">
        <v>147</v>
      </c>
      <c r="K59" s="279"/>
      <c r="L59" s="279"/>
      <c r="M59" s="279"/>
      <c r="N59" s="278" t="s">
        <v>102</v>
      </c>
      <c r="O59" s="278"/>
      <c r="P59" s="279" t="s">
        <v>148</v>
      </c>
      <c r="Q59" s="279"/>
      <c r="R59" s="279"/>
      <c r="S59" s="279"/>
      <c r="T59" s="278" t="s">
        <v>102</v>
      </c>
      <c r="U59" s="278"/>
      <c r="V59" s="278" t="s">
        <v>271</v>
      </c>
      <c r="W59" s="278"/>
      <c r="X59" s="278" t="s">
        <v>102</v>
      </c>
      <c r="Y59" s="278"/>
      <c r="Z59" s="278" t="s">
        <v>110</v>
      </c>
      <c r="AA59" s="278"/>
      <c r="AB59" s="278"/>
      <c r="AC59" s="278"/>
      <c r="AD59" s="278"/>
      <c r="AE59" s="278"/>
      <c r="AF59" s="278"/>
      <c r="AG59" s="278"/>
      <c r="AH59" s="278"/>
      <c r="AI59" s="278"/>
      <c r="AJ59" s="278"/>
      <c r="AK59" s="278"/>
      <c r="AL59" s="278"/>
    </row>
    <row r="60" spans="1:38" x14ac:dyDescent="0.2">
      <c r="A60" s="91" t="s">
        <v>162</v>
      </c>
      <c r="B60" s="90" t="s">
        <v>163</v>
      </c>
      <c r="C60" s="91" t="s">
        <v>69</v>
      </c>
      <c r="D60" s="279"/>
      <c r="E60" s="279"/>
      <c r="F60" s="279"/>
      <c r="G60" s="279"/>
      <c r="H60" s="279"/>
      <c r="I60" s="279"/>
      <c r="J60" s="91">
        <v>1</v>
      </c>
      <c r="K60" s="91">
        <v>2</v>
      </c>
      <c r="L60" s="91">
        <v>3</v>
      </c>
      <c r="M60" s="91">
        <v>4</v>
      </c>
      <c r="N60" s="90" t="str">
        <f>+'CARGADOR FRONTAL'!$B$11</f>
        <v>F_926G</v>
      </c>
      <c r="O60" s="90">
        <f>+'CARGADOR FRONTAL'!$F$21</f>
        <v>2</v>
      </c>
      <c r="P60" s="91">
        <v>1</v>
      </c>
      <c r="Q60" s="91">
        <v>2</v>
      </c>
      <c r="R60" s="91">
        <v>3</v>
      </c>
      <c r="S60" s="91">
        <v>4</v>
      </c>
      <c r="T60" s="90" t="str">
        <f>+'CARGADOR FRONTAL'!$B$11</f>
        <v>F_926G</v>
      </c>
      <c r="U60" s="90">
        <f>+'CARGADOR FRONTAL'!$F$22</f>
        <v>4</v>
      </c>
      <c r="V60" s="90" t="s">
        <v>139</v>
      </c>
      <c r="W60" s="90" t="s">
        <v>140</v>
      </c>
      <c r="X60" s="90" t="str">
        <f>+'CARGADOR FRONTAL'!$B$11</f>
        <v>F_926G</v>
      </c>
      <c r="Y60" s="90" t="str">
        <f>+'CARGADOR FRONTAL'!$B$27</f>
        <v>CAMION</v>
      </c>
      <c r="AA60" s="278" t="s">
        <v>111</v>
      </c>
      <c r="AB60" s="278"/>
      <c r="AC60" s="278"/>
      <c r="AD60" s="278" t="s">
        <v>190</v>
      </c>
      <c r="AE60" s="278"/>
      <c r="AF60" s="278"/>
      <c r="AG60" s="278" t="s">
        <v>118</v>
      </c>
      <c r="AH60" s="278"/>
      <c r="AI60" s="278"/>
      <c r="AJ60" s="278" t="s">
        <v>190</v>
      </c>
      <c r="AK60" s="278"/>
      <c r="AL60" s="278"/>
    </row>
    <row r="61" spans="1:38" x14ac:dyDescent="0.2">
      <c r="A61" s="91" t="s">
        <v>253</v>
      </c>
      <c r="C61" s="91">
        <v>45</v>
      </c>
      <c r="D61" s="91">
        <v>0.6</v>
      </c>
      <c r="E61" s="91"/>
      <c r="F61" s="91"/>
      <c r="G61" s="91"/>
      <c r="H61" s="91"/>
      <c r="I61" s="91"/>
      <c r="J61" s="91">
        <v>7</v>
      </c>
      <c r="K61" s="91">
        <v>20</v>
      </c>
      <c r="L61" s="91"/>
      <c r="M61" s="91"/>
      <c r="N61" s="278">
        <f>+IF(AND($N$60=A61,$O$60=$J$60),J61,IF(AND($N$60=A61,$O$60=$K$60),K61,IF(AND($N$60=A61,$O$60=$L$60),L61,IF(AND($N$60=A61,$O$60=$M$60),M61,0))))</f>
        <v>0</v>
      </c>
      <c r="O61" s="278"/>
      <c r="P61" s="91">
        <v>7</v>
      </c>
      <c r="Q61" s="91">
        <v>20</v>
      </c>
      <c r="R61" s="91"/>
      <c r="S61" s="91"/>
      <c r="T61" s="278">
        <f>+IF(AND($T$60=A61,$U$60=$P$60),P61,IF(AND($T$60=A61,$U$60=$Q$60),Q61,IF(AND($T$60=A61,$U$60=$R$60),R61,IF(AND($T$60=A61,$U$60=$S$60),S61,0))))</f>
        <v>0</v>
      </c>
      <c r="U61" s="278"/>
      <c r="V61" s="90">
        <v>0.15</v>
      </c>
      <c r="W61" s="90">
        <v>0.65</v>
      </c>
      <c r="X61" s="278">
        <f t="shared" ref="X61:X77" si="10">+IF(AND($X$60=A61,$Y$60=$V$60),V61,IF(AND($X$60=A61,$Y$60=$W$60),W61,0))</f>
        <v>0</v>
      </c>
      <c r="Y61" s="278"/>
      <c r="AA61" s="90" t="s">
        <v>119</v>
      </c>
      <c r="AB61" s="90" t="s">
        <v>120</v>
      </c>
      <c r="AC61" s="90" t="s">
        <v>121</v>
      </c>
      <c r="AD61" s="90" t="str">
        <f>+'CARGADOR FRONTAL'!$C$21</f>
        <v>EN CRUZ</v>
      </c>
      <c r="AE61" s="90" t="str">
        <f>+'CARGADOR FRONTAL'!$C$22</f>
        <v>&gt;5M3</v>
      </c>
      <c r="AF61" s="75" t="str">
        <f>+'CARGADOR FRONTAL'!$C$23</f>
        <v>MODERADAMENTE DIFICIL</v>
      </c>
      <c r="AG61" s="90" t="s">
        <v>119</v>
      </c>
      <c r="AH61" s="90" t="s">
        <v>120</v>
      </c>
      <c r="AI61" s="90" t="s">
        <v>121</v>
      </c>
      <c r="AJ61" s="90" t="str">
        <f>+'CARGADOR FRONTAL'!$C$21</f>
        <v>EN CRUZ</v>
      </c>
      <c r="AK61" s="90" t="str">
        <f>+'CARGADOR FRONTAL'!$C$22</f>
        <v>&gt;5M3</v>
      </c>
      <c r="AL61" s="75" t="str">
        <f>+'CARGADOR FRONTAL'!$C$23</f>
        <v>MODERADAMENTE DIFICIL</v>
      </c>
    </row>
    <row r="62" spans="1:38" x14ac:dyDescent="0.2">
      <c r="A62" s="91" t="s">
        <v>254</v>
      </c>
      <c r="C62" s="91">
        <v>60</v>
      </c>
      <c r="D62" s="91">
        <v>0.8</v>
      </c>
      <c r="E62" s="91"/>
      <c r="F62" s="91"/>
      <c r="G62" s="91"/>
      <c r="H62" s="91"/>
      <c r="I62" s="91"/>
      <c r="J62" s="91">
        <v>8</v>
      </c>
      <c r="K62" s="91">
        <v>20</v>
      </c>
      <c r="L62" s="91"/>
      <c r="M62" s="91"/>
      <c r="N62" s="278">
        <f t="shared" ref="N62:N77" si="11">+IF(AND($N$60=A62,$O$60=$J$60),J62,IF(AND($N$60=A62,$O$60=$K$60),K62,IF(AND($N$60=A62,$O$60=$L$60),L62,IF(AND($N$60=A62,$O$60=$M$60),M62,0))))</f>
        <v>0</v>
      </c>
      <c r="O62" s="278"/>
      <c r="P62" s="91">
        <v>8</v>
      </c>
      <c r="Q62" s="91">
        <v>20</v>
      </c>
      <c r="R62" s="91"/>
      <c r="S62" s="91"/>
      <c r="T62" s="278">
        <f t="shared" ref="T62:T77" si="12">+IF(AND($T$60=A62,$U$60=$P$60),P62,IF(AND($T$60=A62,$U$60=$Q$60),Q62,IF(AND($T$60=A62,$U$60=$R$60),R62,IF(AND($T$60=A62,$U$60=$S$60),S62,0))))</f>
        <v>0</v>
      </c>
      <c r="U62" s="278"/>
      <c r="V62" s="90">
        <v>0.15</v>
      </c>
      <c r="W62" s="90">
        <v>0.65</v>
      </c>
      <c r="X62" s="278">
        <f t="shared" si="10"/>
        <v>0</v>
      </c>
      <c r="Y62" s="278"/>
      <c r="Z62" s="90" t="s">
        <v>114</v>
      </c>
      <c r="AA62" s="90">
        <v>0.6</v>
      </c>
      <c r="AB62" s="90">
        <v>0.7</v>
      </c>
      <c r="AC62" s="90">
        <v>0.8</v>
      </c>
      <c r="AD62" s="280">
        <f>+IF(AND($AD$61=$AA$60,$AE$61=$AA$61,$AF$61=$Z$62),AA62,IF(AND($AD$61=$AA$60,$AE$61=$AB$61,$AF$61=Z62),AB62,IF(AND($AD$61=$AA$60,$AE$61=$AC$61,$AF$61=$Z$62),AC62,0)))</f>
        <v>0</v>
      </c>
      <c r="AE62" s="280"/>
      <c r="AF62" s="280"/>
      <c r="AG62" s="90">
        <v>0.55000000000000004</v>
      </c>
      <c r="AH62" s="90">
        <v>0.65</v>
      </c>
      <c r="AI62" s="90">
        <v>0.75</v>
      </c>
      <c r="AJ62" s="280">
        <f>+IF(AND($AJ$61=$AG$60,$AK$61=$AG$61,$AL$61=$Z$62),AG62,IF(AND($AJ$61=$AG$60,$AK$61=$AH$61,$AL$61=Z62),AH62,IF(AND($AJ$61=$AG$60,$AK$61=$AI$61,$AL$61=$Z$62),AI62,0)))</f>
        <v>0</v>
      </c>
      <c r="AK62" s="280"/>
      <c r="AL62" s="280"/>
    </row>
    <row r="63" spans="1:38" x14ac:dyDescent="0.2">
      <c r="A63" s="91" t="s">
        <v>255</v>
      </c>
      <c r="C63" s="91">
        <v>81</v>
      </c>
      <c r="D63" s="91">
        <v>1</v>
      </c>
      <c r="E63" s="91"/>
      <c r="F63" s="91"/>
      <c r="G63" s="91"/>
      <c r="H63" s="91"/>
      <c r="I63" s="91"/>
      <c r="J63" s="91">
        <v>7</v>
      </c>
      <c r="K63" s="91">
        <v>20</v>
      </c>
      <c r="L63" s="91"/>
      <c r="M63" s="91"/>
      <c r="N63" s="278">
        <f t="shared" si="11"/>
        <v>0</v>
      </c>
      <c r="O63" s="278"/>
      <c r="P63" s="91">
        <v>7</v>
      </c>
      <c r="Q63" s="91">
        <v>20</v>
      </c>
      <c r="R63" s="91"/>
      <c r="S63" s="91"/>
      <c r="T63" s="278">
        <f t="shared" si="12"/>
        <v>0</v>
      </c>
      <c r="U63" s="278"/>
      <c r="V63" s="90">
        <v>0.18</v>
      </c>
      <c r="W63" s="90">
        <v>0.67999999999999994</v>
      </c>
      <c r="X63" s="278">
        <f t="shared" si="10"/>
        <v>0</v>
      </c>
      <c r="Y63" s="278"/>
      <c r="Z63" s="90" t="s">
        <v>115</v>
      </c>
      <c r="AA63" s="90">
        <v>0.7</v>
      </c>
      <c r="AB63" s="90">
        <v>0.8</v>
      </c>
      <c r="AC63" s="90">
        <v>0.85</v>
      </c>
      <c r="AD63" s="280">
        <f>+IF(AND($AD$61=$AA$60,$AE$61=$AA$61,$AF$61=$Z$63),AA63,IF(AND($AD$61=$AA$60,$AE$61=$AB$61,$AF$61=Z63),AB63,IF(AND($AD$61=$AA$60,$AE$61=$AC$61,$AF$61=$Z$63),AC63,0)))</f>
        <v>0</v>
      </c>
      <c r="AE63" s="280"/>
      <c r="AF63" s="280"/>
      <c r="AG63" s="90">
        <v>0.65</v>
      </c>
      <c r="AH63" s="90">
        <v>0.75</v>
      </c>
      <c r="AI63" s="90">
        <v>0.8</v>
      </c>
      <c r="AJ63" s="280">
        <f>+IF(AND($AJ$61=$AG$60,$AK$61=$AG$61,$AL$61=$Z$63),AG63,IF(AND($AJ$61=$AG$60,$AK$61=$AH$61,$AL$61=Z63),AH63,IF(AND($AJ$61=$AG$60,$AK$61=$AI$61,$AL$61=$Z$63),AI63,0)))</f>
        <v>0</v>
      </c>
      <c r="AK63" s="280"/>
      <c r="AL63" s="280"/>
    </row>
    <row r="64" spans="1:38" x14ac:dyDescent="0.2">
      <c r="A64" s="91" t="s">
        <v>256</v>
      </c>
      <c r="C64" s="91">
        <v>90</v>
      </c>
      <c r="D64" s="91">
        <v>1.4</v>
      </c>
      <c r="E64" s="91">
        <v>1.3</v>
      </c>
      <c r="F64" s="91">
        <v>1.2</v>
      </c>
      <c r="G64" s="91"/>
      <c r="H64" s="91"/>
      <c r="I64" s="91"/>
      <c r="J64" s="91">
        <v>9</v>
      </c>
      <c r="K64" s="91">
        <v>35</v>
      </c>
      <c r="L64" s="91"/>
      <c r="M64" s="91"/>
      <c r="N64" s="278">
        <f t="shared" si="11"/>
        <v>0</v>
      </c>
      <c r="O64" s="278"/>
      <c r="P64" s="91">
        <v>9</v>
      </c>
      <c r="Q64" s="91">
        <v>35</v>
      </c>
      <c r="R64" s="91"/>
      <c r="S64" s="91"/>
      <c r="T64" s="278">
        <f t="shared" si="12"/>
        <v>0</v>
      </c>
      <c r="U64" s="278"/>
      <c r="V64" s="90">
        <v>0.15</v>
      </c>
      <c r="W64" s="90">
        <v>0.65</v>
      </c>
      <c r="X64" s="278">
        <f t="shared" si="10"/>
        <v>0</v>
      </c>
      <c r="Y64" s="278"/>
      <c r="Z64" s="90" t="s">
        <v>116</v>
      </c>
      <c r="AA64" s="90">
        <v>0.85</v>
      </c>
      <c r="AB64" s="90">
        <v>0.85</v>
      </c>
      <c r="AC64" s="90">
        <v>0.9</v>
      </c>
      <c r="AD64" s="280">
        <f>+IF(AND($AD$61=$AA$60,$AE$61=$AA$61,$AF$61=$Z$64),AA64,IF(AND($AD$61=$AA$60,$AE$61=$AB$61,$AF$61=Z64),AB64,IF(AND($AD$61=$AA$60,$AE$61=$AC$61,$AF$61=$Z$64),AC64,0)))</f>
        <v>0</v>
      </c>
      <c r="AE64" s="280"/>
      <c r="AF64" s="280"/>
      <c r="AG64" s="90">
        <v>0.8</v>
      </c>
      <c r="AH64" s="90">
        <v>0.8</v>
      </c>
      <c r="AI64" s="90">
        <v>0.85</v>
      </c>
      <c r="AJ64" s="280">
        <f>+IF(AND($AJ$61=$AG$60,$AK$61=$AG$61,$AL$61=$Z$64),AG64,IF(AND($AJ$61=$AG$60,$AK$61=$AH$61,$AL$61=Z64),AH64,IF(AND($AJ$61=$AG$60,$AK$61=$AI$61,$AL$61=$Z$64),AI64,0)))</f>
        <v>0.85</v>
      </c>
      <c r="AK64" s="280"/>
      <c r="AL64" s="280"/>
    </row>
    <row r="65" spans="1:38" x14ac:dyDescent="0.2">
      <c r="A65" s="91" t="s">
        <v>257</v>
      </c>
      <c r="C65" s="91">
        <v>110</v>
      </c>
      <c r="D65" s="91">
        <v>1.7</v>
      </c>
      <c r="E65" s="91">
        <v>1.8</v>
      </c>
      <c r="F65" s="91">
        <v>2</v>
      </c>
      <c r="G65" s="91">
        <v>2.1</v>
      </c>
      <c r="H65" s="91"/>
      <c r="I65" s="91"/>
      <c r="J65" s="91">
        <v>6.7</v>
      </c>
      <c r="K65" s="91">
        <v>12.2</v>
      </c>
      <c r="L65" s="91">
        <v>21.8</v>
      </c>
      <c r="M65" s="91">
        <v>38.5</v>
      </c>
      <c r="N65" s="278">
        <f t="shared" si="11"/>
        <v>0</v>
      </c>
      <c r="O65" s="278"/>
      <c r="P65" s="91">
        <v>6.5</v>
      </c>
      <c r="Q65" s="91">
        <v>11.9</v>
      </c>
      <c r="R65" s="91">
        <v>21.6</v>
      </c>
      <c r="S65" s="91"/>
      <c r="T65" s="278">
        <f t="shared" si="12"/>
        <v>0</v>
      </c>
      <c r="U65" s="278"/>
      <c r="V65" s="90">
        <v>0.15</v>
      </c>
      <c r="W65" s="90">
        <v>0.65</v>
      </c>
      <c r="X65" s="278">
        <f t="shared" si="10"/>
        <v>0</v>
      </c>
      <c r="Y65" s="278"/>
      <c r="Z65" s="90" t="s">
        <v>117</v>
      </c>
      <c r="AA65" s="90">
        <v>0.9</v>
      </c>
      <c r="AB65" s="90">
        <v>0.9</v>
      </c>
      <c r="AC65" s="90">
        <v>0.95</v>
      </c>
      <c r="AD65" s="280">
        <f>+IF(AND($AD$61=$AA$60,$AE$61=$AA$61,$AF$61=$Z$65),AA65,IF(AND($AD$61=$AA$60,$AE$61=$AB$61,$AF$61=Z65),AB65,IF(AND($AD$61=$AA$60,$AE$61=$AC$61,$AF$61=$Z$65),AC65,0)))</f>
        <v>0</v>
      </c>
      <c r="AE65" s="280"/>
      <c r="AF65" s="280"/>
      <c r="AG65" s="90">
        <v>0.85</v>
      </c>
      <c r="AH65" s="90">
        <v>0.9</v>
      </c>
      <c r="AI65" s="90">
        <v>0.9</v>
      </c>
      <c r="AJ65" s="280">
        <f>+IF(AND($AJ$61=$AG$60,$AK$61=$AG$61,$AL$61=$Z$65),AG65,IF(AND($AJ$61=$AG$60,$AK$61=$AH$61,$AL$61=Z65),AH65,IF(AND($AJ$61=$AG$60,$AK$61=$AI$61,$AL$61=$Z$65),AI65,0)))</f>
        <v>0</v>
      </c>
      <c r="AK65" s="280"/>
      <c r="AL65" s="280"/>
    </row>
    <row r="66" spans="1:38" x14ac:dyDescent="0.2">
      <c r="A66" s="91" t="s">
        <v>258</v>
      </c>
      <c r="C66" s="91">
        <v>110</v>
      </c>
      <c r="D66" s="91">
        <v>1.7</v>
      </c>
      <c r="E66" s="91">
        <v>1.8</v>
      </c>
      <c r="F66" s="91">
        <v>2</v>
      </c>
      <c r="G66" s="91">
        <v>2.1</v>
      </c>
      <c r="H66" s="91"/>
      <c r="I66" s="91"/>
      <c r="J66" s="91">
        <v>6.7</v>
      </c>
      <c r="K66" s="91">
        <v>12.2</v>
      </c>
      <c r="L66" s="91">
        <v>21.8</v>
      </c>
      <c r="M66" s="91">
        <v>38.5</v>
      </c>
      <c r="N66" s="278">
        <f t="shared" si="11"/>
        <v>0</v>
      </c>
      <c r="O66" s="278"/>
      <c r="P66" s="91">
        <v>6.5</v>
      </c>
      <c r="Q66" s="91">
        <v>11.9</v>
      </c>
      <c r="R66" s="91">
        <v>21.6</v>
      </c>
      <c r="S66" s="91"/>
      <c r="T66" s="278">
        <f t="shared" si="12"/>
        <v>0</v>
      </c>
      <c r="U66" s="278"/>
      <c r="V66" s="90">
        <v>0.17</v>
      </c>
      <c r="W66" s="90">
        <v>0.67</v>
      </c>
      <c r="X66" s="278">
        <f t="shared" si="10"/>
        <v>0</v>
      </c>
      <c r="Y66" s="278"/>
      <c r="Z66" s="278" t="s">
        <v>251</v>
      </c>
      <c r="AA66" s="278"/>
      <c r="AB66" s="278" t="s">
        <v>274</v>
      </c>
      <c r="AC66" s="278"/>
      <c r="AD66" s="278" t="s">
        <v>252</v>
      </c>
      <c r="AE66" s="278"/>
    </row>
    <row r="67" spans="1:38" ht="27.75" x14ac:dyDescent="0.2">
      <c r="A67" s="91" t="s">
        <v>259</v>
      </c>
      <c r="C67" s="91">
        <v>125</v>
      </c>
      <c r="D67" s="91">
        <v>1.9</v>
      </c>
      <c r="E67" s="91">
        <v>2</v>
      </c>
      <c r="F67" s="91">
        <v>2.1</v>
      </c>
      <c r="G67" s="91">
        <v>2.2000000000000002</v>
      </c>
      <c r="H67" s="91"/>
      <c r="I67" s="91"/>
      <c r="J67" s="91">
        <v>7.6</v>
      </c>
      <c r="K67" s="91">
        <v>12</v>
      </c>
      <c r="L67" s="91">
        <v>24.6</v>
      </c>
      <c r="M67" s="91">
        <v>36.700000000000003</v>
      </c>
      <c r="N67" s="278">
        <f t="shared" si="11"/>
        <v>0</v>
      </c>
      <c r="O67" s="278"/>
      <c r="P67" s="91">
        <v>7.6</v>
      </c>
      <c r="Q67" s="91">
        <v>12</v>
      </c>
      <c r="R67" s="91">
        <v>24.6</v>
      </c>
      <c r="S67" s="91"/>
      <c r="T67" s="278">
        <f t="shared" si="12"/>
        <v>0</v>
      </c>
      <c r="U67" s="278"/>
      <c r="V67" s="90">
        <v>0.17</v>
      </c>
      <c r="W67" s="90">
        <v>0.67</v>
      </c>
      <c r="X67" s="278">
        <f t="shared" si="10"/>
        <v>0</v>
      </c>
      <c r="Y67" s="278"/>
      <c r="Z67" s="90" t="s">
        <v>122</v>
      </c>
      <c r="AA67" s="90">
        <v>0.02</v>
      </c>
      <c r="AB67" s="90" t="s">
        <v>128</v>
      </c>
      <c r="AC67" s="90">
        <v>0</v>
      </c>
      <c r="AD67" s="90" t="s">
        <v>133</v>
      </c>
      <c r="AE67" s="90">
        <v>-0.04</v>
      </c>
    </row>
    <row r="68" spans="1:38" ht="27.75" x14ac:dyDescent="0.2">
      <c r="A68" s="91" t="s">
        <v>260</v>
      </c>
      <c r="C68" s="91">
        <v>160</v>
      </c>
      <c r="D68" s="91">
        <v>2.2999999999999998</v>
      </c>
      <c r="E68" s="91">
        <v>2.5</v>
      </c>
      <c r="F68" s="91">
        <v>2.8</v>
      </c>
      <c r="G68" s="91"/>
      <c r="H68" s="91"/>
      <c r="I68" s="91"/>
      <c r="J68" s="91">
        <v>7.6</v>
      </c>
      <c r="K68" s="91">
        <v>13.9</v>
      </c>
      <c r="L68" s="91">
        <v>23.9</v>
      </c>
      <c r="M68" s="91">
        <v>39.200000000000003</v>
      </c>
      <c r="N68" s="278">
        <f t="shared" si="11"/>
        <v>0</v>
      </c>
      <c r="O68" s="278"/>
      <c r="P68" s="91">
        <v>7.6</v>
      </c>
      <c r="Q68" s="91">
        <v>13.9</v>
      </c>
      <c r="R68" s="91">
        <v>39.200000000000003</v>
      </c>
      <c r="S68" s="91"/>
      <c r="T68" s="278">
        <f t="shared" si="12"/>
        <v>0</v>
      </c>
      <c r="U68" s="278"/>
      <c r="V68" s="90">
        <v>0.18</v>
      </c>
      <c r="W68" s="90">
        <v>0.67999999999999994</v>
      </c>
      <c r="X68" s="278">
        <f t="shared" si="10"/>
        <v>0</v>
      </c>
      <c r="Y68" s="278"/>
      <c r="Z68" s="90" t="s">
        <v>123</v>
      </c>
      <c r="AA68" s="90">
        <v>0.02</v>
      </c>
      <c r="AB68" s="90" t="s">
        <v>129</v>
      </c>
      <c r="AC68" s="90">
        <v>0</v>
      </c>
      <c r="AD68" s="90" t="s">
        <v>134</v>
      </c>
      <c r="AE68" s="90">
        <v>0.04</v>
      </c>
    </row>
    <row r="69" spans="1:38" x14ac:dyDescent="0.2">
      <c r="A69" s="91" t="s">
        <v>261</v>
      </c>
      <c r="C69" s="91">
        <v>180</v>
      </c>
      <c r="D69" s="91">
        <v>2.5</v>
      </c>
      <c r="E69" s="91">
        <v>2.7</v>
      </c>
      <c r="F69" s="91">
        <v>2.9</v>
      </c>
      <c r="G69" s="91">
        <v>3.1</v>
      </c>
      <c r="H69" s="91">
        <v>3.3</v>
      </c>
      <c r="I69" s="91">
        <v>3.5</v>
      </c>
      <c r="J69" s="91">
        <v>6.9</v>
      </c>
      <c r="K69" s="91">
        <v>12.7</v>
      </c>
      <c r="L69" s="91">
        <v>22.3</v>
      </c>
      <c r="M69" s="91">
        <v>37</v>
      </c>
      <c r="N69" s="278">
        <f t="shared" si="11"/>
        <v>0</v>
      </c>
      <c r="O69" s="278"/>
      <c r="P69" s="91">
        <v>7.6</v>
      </c>
      <c r="Q69" s="91">
        <v>13.9</v>
      </c>
      <c r="R69" s="91">
        <v>24.5</v>
      </c>
      <c r="S69" s="91">
        <v>40.5</v>
      </c>
      <c r="T69" s="278">
        <f t="shared" si="12"/>
        <v>0</v>
      </c>
      <c r="U69" s="278"/>
      <c r="V69" s="90">
        <v>0.18</v>
      </c>
      <c r="W69" s="90">
        <v>0.67999999999999994</v>
      </c>
      <c r="X69" s="278">
        <f t="shared" si="10"/>
        <v>0</v>
      </c>
      <c r="Y69" s="278"/>
      <c r="Z69" s="90" t="s">
        <v>124</v>
      </c>
      <c r="AA69" s="90">
        <v>-0.02</v>
      </c>
      <c r="AB69" s="90" t="s">
        <v>130</v>
      </c>
      <c r="AC69" s="90">
        <v>0.01</v>
      </c>
      <c r="AD69" s="90" t="s">
        <v>135</v>
      </c>
      <c r="AE69" s="90">
        <v>-0.04</v>
      </c>
    </row>
    <row r="70" spans="1:38" ht="27.75" x14ac:dyDescent="0.2">
      <c r="A70" s="91" t="s">
        <v>262</v>
      </c>
      <c r="C70" s="91">
        <v>200</v>
      </c>
      <c r="D70" s="91">
        <v>2.9</v>
      </c>
      <c r="E70" s="91">
        <v>3.1</v>
      </c>
      <c r="F70" s="91">
        <v>3.3</v>
      </c>
      <c r="G70" s="91">
        <v>3.5</v>
      </c>
      <c r="H70" s="91">
        <v>3.8</v>
      </c>
      <c r="I70" s="91"/>
      <c r="J70" s="91">
        <v>6.9</v>
      </c>
      <c r="K70" s="91">
        <v>12.7</v>
      </c>
      <c r="L70" s="91">
        <v>22.3</v>
      </c>
      <c r="M70" s="91">
        <v>37</v>
      </c>
      <c r="N70" s="278">
        <f t="shared" si="11"/>
        <v>12.7</v>
      </c>
      <c r="O70" s="278"/>
      <c r="P70" s="91">
        <v>7.6</v>
      </c>
      <c r="Q70" s="91">
        <v>13.9</v>
      </c>
      <c r="R70" s="91">
        <v>24.5</v>
      </c>
      <c r="S70" s="91">
        <v>40.5</v>
      </c>
      <c r="T70" s="278">
        <f t="shared" si="12"/>
        <v>40.5</v>
      </c>
      <c r="U70" s="278"/>
      <c r="V70" s="90">
        <v>0.16</v>
      </c>
      <c r="W70" s="90">
        <v>0.66</v>
      </c>
      <c r="X70" s="278">
        <f t="shared" si="10"/>
        <v>0.66</v>
      </c>
      <c r="Y70" s="278"/>
      <c r="Z70" s="90" t="s">
        <v>125</v>
      </c>
      <c r="AA70" s="90">
        <v>0</v>
      </c>
      <c r="AB70" s="90" t="s">
        <v>131</v>
      </c>
      <c r="AC70" s="90">
        <v>0.01</v>
      </c>
      <c r="AD70" s="90" t="s">
        <v>136</v>
      </c>
      <c r="AE70" s="90">
        <v>0.04</v>
      </c>
    </row>
    <row r="71" spans="1:38" ht="27.75" x14ac:dyDescent="0.2">
      <c r="A71" s="91" t="s">
        <v>263</v>
      </c>
      <c r="C71" s="91">
        <v>235</v>
      </c>
      <c r="D71" s="91">
        <v>3.3</v>
      </c>
      <c r="E71" s="91">
        <v>3.5</v>
      </c>
      <c r="F71" s="91">
        <v>3.6</v>
      </c>
      <c r="G71" s="91">
        <v>3.8</v>
      </c>
      <c r="H71" s="91">
        <v>4</v>
      </c>
      <c r="I71" s="91"/>
      <c r="J71" s="91">
        <v>7.2</v>
      </c>
      <c r="K71" s="91">
        <v>12.6</v>
      </c>
      <c r="L71" s="91">
        <v>21.7</v>
      </c>
      <c r="M71" s="91">
        <v>37.299999999999997</v>
      </c>
      <c r="N71" s="278">
        <f t="shared" si="11"/>
        <v>0</v>
      </c>
      <c r="O71" s="278"/>
      <c r="P71" s="91">
        <v>8.1999999999999993</v>
      </c>
      <c r="Q71" s="91">
        <v>14.3</v>
      </c>
      <c r="R71" s="91">
        <v>24.6</v>
      </c>
      <c r="S71" s="91">
        <v>42.3</v>
      </c>
      <c r="T71" s="278">
        <f t="shared" si="12"/>
        <v>0</v>
      </c>
      <c r="U71" s="278"/>
      <c r="V71" s="90">
        <v>0.17</v>
      </c>
      <c r="W71" s="90">
        <v>0.72000000000000008</v>
      </c>
      <c r="X71" s="278">
        <f t="shared" si="10"/>
        <v>0</v>
      </c>
      <c r="Y71" s="278"/>
      <c r="Z71" s="90" t="s">
        <v>126</v>
      </c>
      <c r="AA71" s="90">
        <v>0.03</v>
      </c>
      <c r="AB71" s="90" t="s">
        <v>132</v>
      </c>
      <c r="AC71" s="90">
        <v>0.02</v>
      </c>
      <c r="AD71" s="90" t="s">
        <v>137</v>
      </c>
      <c r="AE71" s="90">
        <v>0.04</v>
      </c>
    </row>
    <row r="72" spans="1:38" x14ac:dyDescent="0.2">
      <c r="A72" s="91" t="s">
        <v>264</v>
      </c>
      <c r="C72" s="91">
        <v>265</v>
      </c>
      <c r="D72" s="91">
        <v>3.8</v>
      </c>
      <c r="E72" s="91">
        <v>4</v>
      </c>
      <c r="F72" s="91">
        <v>4.3</v>
      </c>
      <c r="G72" s="91">
        <v>4.7</v>
      </c>
      <c r="H72" s="91"/>
      <c r="I72" s="91"/>
      <c r="J72" s="91">
        <v>7.2</v>
      </c>
      <c r="K72" s="91">
        <v>12.5</v>
      </c>
      <c r="L72" s="91">
        <v>21.5</v>
      </c>
      <c r="M72" s="91">
        <v>37</v>
      </c>
      <c r="N72" s="278">
        <f t="shared" si="11"/>
        <v>0</v>
      </c>
      <c r="O72" s="278"/>
      <c r="P72" s="91">
        <v>8.1999999999999993</v>
      </c>
      <c r="Q72" s="91">
        <v>14.2</v>
      </c>
      <c r="R72" s="91">
        <v>24.4</v>
      </c>
      <c r="S72" s="91">
        <v>41.9</v>
      </c>
      <c r="T72" s="278">
        <f t="shared" si="12"/>
        <v>0</v>
      </c>
      <c r="U72" s="278"/>
      <c r="V72" s="90">
        <v>0.2</v>
      </c>
      <c r="W72" s="90">
        <v>0.75</v>
      </c>
      <c r="X72" s="278">
        <f t="shared" si="10"/>
        <v>0</v>
      </c>
      <c r="Y72" s="278"/>
      <c r="Z72" s="90" t="s">
        <v>127</v>
      </c>
      <c r="AA72" s="90">
        <v>0.04</v>
      </c>
      <c r="AD72" s="90" t="s">
        <v>138</v>
      </c>
      <c r="AE72" s="90">
        <v>0.05</v>
      </c>
    </row>
    <row r="73" spans="1:38" x14ac:dyDescent="0.2">
      <c r="A73" s="91" t="s">
        <v>265</v>
      </c>
      <c r="C73" s="91">
        <v>300</v>
      </c>
      <c r="D73" s="91">
        <v>4.2</v>
      </c>
      <c r="E73" s="91">
        <v>4.7</v>
      </c>
      <c r="F73" s="91">
        <v>5</v>
      </c>
      <c r="G73" s="91">
        <v>5.4</v>
      </c>
      <c r="H73" s="91">
        <v>5.7</v>
      </c>
      <c r="I73" s="91"/>
      <c r="J73" s="91">
        <v>7</v>
      </c>
      <c r="K73" s="91">
        <v>12.3</v>
      </c>
      <c r="L73" s="91">
        <v>21.6</v>
      </c>
      <c r="M73" s="91">
        <v>37.4</v>
      </c>
      <c r="N73" s="278">
        <f t="shared" si="11"/>
        <v>0</v>
      </c>
      <c r="O73" s="278"/>
      <c r="P73" s="91">
        <v>8</v>
      </c>
      <c r="Q73" s="91">
        <v>14</v>
      </c>
      <c r="R73" s="91">
        <v>24.6</v>
      </c>
      <c r="S73" s="91">
        <v>42.8</v>
      </c>
      <c r="T73" s="278">
        <f t="shared" si="12"/>
        <v>0</v>
      </c>
      <c r="U73" s="278"/>
      <c r="V73" s="90">
        <v>0.26</v>
      </c>
      <c r="W73" s="90">
        <v>0.81</v>
      </c>
      <c r="X73" s="278">
        <f t="shared" si="10"/>
        <v>0</v>
      </c>
      <c r="Y73" s="278"/>
    </row>
    <row r="74" spans="1:38" x14ac:dyDescent="0.2">
      <c r="A74" s="91" t="s">
        <v>266</v>
      </c>
      <c r="C74" s="91">
        <v>475</v>
      </c>
      <c r="D74" s="91">
        <v>6.9</v>
      </c>
      <c r="E74" s="91">
        <v>6.6</v>
      </c>
      <c r="F74" s="91">
        <v>6.4</v>
      </c>
      <c r="G74" s="91"/>
      <c r="H74" s="91"/>
      <c r="I74" s="91"/>
      <c r="J74" s="91">
        <v>6.9</v>
      </c>
      <c r="K74" s="91">
        <v>12.3</v>
      </c>
      <c r="L74" s="91">
        <v>21.8</v>
      </c>
      <c r="M74" s="91">
        <v>38.700000000000003</v>
      </c>
      <c r="N74" s="278">
        <f t="shared" si="11"/>
        <v>0</v>
      </c>
      <c r="O74" s="278"/>
      <c r="P74" s="91">
        <v>7.1</v>
      </c>
      <c r="Q74" s="91">
        <v>12.6</v>
      </c>
      <c r="R74" s="91">
        <v>22.3</v>
      </c>
      <c r="S74" s="91"/>
      <c r="T74" s="278">
        <f t="shared" si="12"/>
        <v>0</v>
      </c>
      <c r="U74" s="278"/>
      <c r="V74" s="90">
        <v>0.27</v>
      </c>
      <c r="W74" s="90">
        <v>0.87</v>
      </c>
      <c r="X74" s="278">
        <f t="shared" si="10"/>
        <v>0</v>
      </c>
      <c r="Y74" s="278"/>
    </row>
    <row r="75" spans="1:38" x14ac:dyDescent="0.2">
      <c r="A75" s="91" t="s">
        <v>267</v>
      </c>
      <c r="C75" s="91">
        <v>625</v>
      </c>
      <c r="D75" s="91">
        <v>9.9</v>
      </c>
      <c r="E75" s="91">
        <v>9.1999999999999993</v>
      </c>
      <c r="F75" s="91">
        <v>8.4</v>
      </c>
      <c r="G75" s="91">
        <v>7.6</v>
      </c>
      <c r="H75" s="91"/>
      <c r="I75" s="91"/>
      <c r="J75" s="91">
        <v>7.2</v>
      </c>
      <c r="K75" s="91">
        <v>12.9</v>
      </c>
      <c r="L75" s="91">
        <v>22.5</v>
      </c>
      <c r="M75" s="91"/>
      <c r="N75" s="278">
        <f t="shared" si="11"/>
        <v>0</v>
      </c>
      <c r="O75" s="278"/>
      <c r="P75" s="91">
        <v>8</v>
      </c>
      <c r="Q75" s="91">
        <v>14.2</v>
      </c>
      <c r="R75" s="91">
        <v>25</v>
      </c>
      <c r="S75" s="91"/>
      <c r="T75" s="278">
        <f t="shared" si="12"/>
        <v>0</v>
      </c>
      <c r="U75" s="278"/>
      <c r="V75" s="90">
        <v>0.26</v>
      </c>
      <c r="W75" s="90">
        <v>0.86</v>
      </c>
      <c r="X75" s="278">
        <f t="shared" si="10"/>
        <v>0</v>
      </c>
      <c r="Y75" s="278"/>
    </row>
    <row r="76" spans="1:38" x14ac:dyDescent="0.2">
      <c r="A76" s="91" t="s">
        <v>268</v>
      </c>
      <c r="C76" s="91">
        <v>800</v>
      </c>
      <c r="D76" s="91">
        <v>12.23</v>
      </c>
      <c r="E76" s="84">
        <v>11.47</v>
      </c>
      <c r="F76" s="91"/>
      <c r="G76" s="91"/>
      <c r="H76" s="91"/>
      <c r="I76" s="91"/>
      <c r="J76" s="91">
        <v>6.7</v>
      </c>
      <c r="K76" s="91">
        <v>11.9</v>
      </c>
      <c r="L76" s="91">
        <v>20.2</v>
      </c>
      <c r="M76" s="91"/>
      <c r="N76" s="278">
        <f t="shared" si="11"/>
        <v>0</v>
      </c>
      <c r="O76" s="278"/>
      <c r="P76" s="91">
        <v>7.4</v>
      </c>
      <c r="Q76" s="91">
        <v>12.6</v>
      </c>
      <c r="R76" s="91">
        <v>22.7</v>
      </c>
      <c r="S76" s="91"/>
      <c r="T76" s="278">
        <f t="shared" si="12"/>
        <v>0</v>
      </c>
      <c r="U76" s="278"/>
      <c r="V76" s="90">
        <v>0.19</v>
      </c>
      <c r="W76" s="90">
        <v>0.8899999999999999</v>
      </c>
      <c r="X76" s="278">
        <f t="shared" si="10"/>
        <v>0</v>
      </c>
      <c r="Y76" s="278"/>
    </row>
    <row r="77" spans="1:38" x14ac:dyDescent="0.2">
      <c r="A77" s="91" t="s">
        <v>269</v>
      </c>
      <c r="C77" s="91">
        <v>1250</v>
      </c>
      <c r="D77" s="91">
        <v>18</v>
      </c>
      <c r="E77" s="91">
        <v>16</v>
      </c>
      <c r="F77" s="91">
        <v>14</v>
      </c>
      <c r="G77" s="91"/>
      <c r="H77" s="91"/>
      <c r="I77" s="91"/>
      <c r="J77" s="91">
        <v>7.4</v>
      </c>
      <c r="K77" s="91">
        <v>13.2</v>
      </c>
      <c r="L77" s="91">
        <v>23.4</v>
      </c>
      <c r="M77" s="91"/>
      <c r="N77" s="278">
        <f t="shared" si="11"/>
        <v>0</v>
      </c>
      <c r="O77" s="278"/>
      <c r="P77" s="91">
        <v>8.1999999999999993</v>
      </c>
      <c r="Q77" s="91">
        <v>14.6</v>
      </c>
      <c r="R77" s="91">
        <v>25.8</v>
      </c>
      <c r="S77" s="91"/>
      <c r="T77" s="278">
        <f t="shared" si="12"/>
        <v>0</v>
      </c>
      <c r="U77" s="278"/>
      <c r="V77" s="90">
        <v>0.33</v>
      </c>
      <c r="W77" s="90">
        <v>1.03</v>
      </c>
      <c r="X77" s="278">
        <f t="shared" si="10"/>
        <v>0</v>
      </c>
      <c r="Y77" s="278"/>
    </row>
    <row r="79" spans="1:38" x14ac:dyDescent="0.2">
      <c r="A79" s="90" t="s">
        <v>275</v>
      </c>
    </row>
    <row r="80" spans="1:38" x14ac:dyDescent="0.2">
      <c r="A80" s="278" t="s">
        <v>295</v>
      </c>
      <c r="B80" s="278"/>
      <c r="C80" s="278"/>
      <c r="D80" s="278"/>
      <c r="E80" s="90" t="str">
        <f>+RETROEXCAVADORA!C12</f>
        <v>E_320C</v>
      </c>
      <c r="F80" s="278" t="s">
        <v>275</v>
      </c>
      <c r="G80" s="278" t="s">
        <v>69</v>
      </c>
      <c r="H80" s="278" t="s">
        <v>26</v>
      </c>
      <c r="I80" s="278"/>
      <c r="J80" s="278"/>
      <c r="K80" s="278"/>
      <c r="L80" s="278"/>
      <c r="M80" s="278"/>
      <c r="N80" s="278"/>
      <c r="O80" s="278"/>
      <c r="P80" s="278"/>
      <c r="Q80" s="278"/>
      <c r="R80" s="278"/>
      <c r="S80" s="278"/>
      <c r="T80" s="278"/>
      <c r="U80" s="278"/>
      <c r="V80" s="278"/>
      <c r="W80" s="278"/>
      <c r="X80" s="278"/>
      <c r="Y80" s="278"/>
      <c r="Z80" s="278"/>
      <c r="AA80" s="278"/>
      <c r="AB80" s="278"/>
      <c r="AC80" s="278"/>
      <c r="AD80" s="278"/>
      <c r="AE80" s="278"/>
      <c r="AF80" s="278"/>
      <c r="AG80" s="278"/>
    </row>
    <row r="81" spans="1:33" ht="15" customHeight="1" x14ac:dyDescent="0.2">
      <c r="A81" s="278"/>
      <c r="B81" s="278"/>
      <c r="C81" s="278"/>
      <c r="D81" s="278"/>
      <c r="E81" s="90" t="str">
        <f>+RETROEXCAVADORA!C13</f>
        <v>_EXCAVACION_B</v>
      </c>
      <c r="F81" s="278"/>
      <c r="G81" s="278"/>
      <c r="H81" s="278"/>
      <c r="I81" s="278"/>
      <c r="J81" s="278"/>
      <c r="K81" s="278"/>
      <c r="L81" s="278"/>
      <c r="M81" s="278"/>
      <c r="N81" s="278"/>
      <c r="O81" s="278"/>
      <c r="P81" s="278"/>
      <c r="Q81" s="278"/>
      <c r="R81" s="278"/>
      <c r="S81" s="278"/>
      <c r="T81" s="278"/>
      <c r="U81" s="278"/>
      <c r="V81" s="278"/>
      <c r="W81" s="278"/>
      <c r="X81" s="278"/>
      <c r="Y81" s="278"/>
      <c r="Z81" s="278"/>
      <c r="AA81" s="278"/>
      <c r="AB81" s="278"/>
      <c r="AC81" s="278"/>
      <c r="AD81" s="278"/>
      <c r="AE81" s="278"/>
      <c r="AF81" s="278"/>
      <c r="AG81" s="278"/>
    </row>
    <row r="82" spans="1:33" x14ac:dyDescent="0.2">
      <c r="A82" s="90" t="s">
        <v>196</v>
      </c>
      <c r="B82" s="90" t="s">
        <v>279</v>
      </c>
      <c r="C82" s="90" t="s">
        <v>281</v>
      </c>
      <c r="D82" s="90" t="s">
        <v>283</v>
      </c>
      <c r="E82" s="90">
        <f>+RETROEXCAVADORA!E13</f>
        <v>1370</v>
      </c>
      <c r="F82" s="278"/>
      <c r="G82" s="278"/>
      <c r="H82" s="278"/>
      <c r="I82" s="278"/>
      <c r="J82" s="278"/>
      <c r="K82" s="278"/>
      <c r="L82" s="278"/>
      <c r="M82" s="278"/>
      <c r="N82" s="278"/>
      <c r="O82" s="278"/>
      <c r="P82" s="278"/>
      <c r="Q82" s="278"/>
      <c r="R82" s="278"/>
      <c r="S82" s="278"/>
      <c r="T82" s="278"/>
      <c r="U82" s="278"/>
      <c r="V82" s="278"/>
      <c r="W82" s="278"/>
      <c r="X82" s="278"/>
      <c r="Y82" s="278"/>
      <c r="Z82" s="278"/>
      <c r="AA82" s="278"/>
      <c r="AB82" s="278"/>
      <c r="AC82" s="278"/>
      <c r="AD82" s="278"/>
      <c r="AE82" s="278"/>
      <c r="AF82" s="278"/>
      <c r="AG82" s="278"/>
    </row>
    <row r="83" spans="1:33" x14ac:dyDescent="0.2">
      <c r="A83" s="90" t="s">
        <v>276</v>
      </c>
      <c r="B83" s="75" t="s">
        <v>280</v>
      </c>
      <c r="C83" s="90">
        <v>230</v>
      </c>
      <c r="D83" s="90">
        <v>18</v>
      </c>
      <c r="E83" s="90">
        <f>+IF(AND($E$80=A83,$E$81=B83,$E$82=C83),D83,0)</f>
        <v>0</v>
      </c>
      <c r="F83" s="90" t="s">
        <v>276</v>
      </c>
      <c r="G83" s="90">
        <v>17.399999999999999</v>
      </c>
      <c r="H83" s="90">
        <v>1650</v>
      </c>
      <c r="I83" s="93" t="s">
        <v>280</v>
      </c>
      <c r="J83" s="93" t="s">
        <v>284</v>
      </c>
    </row>
    <row r="84" spans="1:33" ht="17.25" x14ac:dyDescent="0.2">
      <c r="A84" s="90" t="s">
        <v>276</v>
      </c>
      <c r="B84" s="75" t="s">
        <v>280</v>
      </c>
      <c r="C84" s="90">
        <v>300</v>
      </c>
      <c r="D84" s="90">
        <v>22</v>
      </c>
      <c r="E84" s="90">
        <f t="shared" ref="E84:E147" si="13">+IF(AND($E$80=A84,$E$81=B84,$E$82=C84),D84,0)</f>
        <v>0</v>
      </c>
      <c r="F84" s="90" t="s">
        <v>277</v>
      </c>
      <c r="G84" s="90">
        <v>17.399999999999999</v>
      </c>
      <c r="H84" s="90">
        <v>1690</v>
      </c>
      <c r="I84" s="93" t="s">
        <v>497</v>
      </c>
      <c r="J84" s="93" t="s">
        <v>335</v>
      </c>
    </row>
    <row r="85" spans="1:33" ht="17.25" x14ac:dyDescent="0.2">
      <c r="A85" s="90" t="s">
        <v>276</v>
      </c>
      <c r="B85" s="75" t="s">
        <v>280</v>
      </c>
      <c r="C85" s="90">
        <v>400</v>
      </c>
      <c r="D85" s="90">
        <v>33</v>
      </c>
      <c r="E85" s="90">
        <f t="shared" si="13"/>
        <v>0</v>
      </c>
      <c r="F85" s="90" t="s">
        <v>278</v>
      </c>
      <c r="G85" s="90">
        <v>17.399999999999999</v>
      </c>
      <c r="H85" s="90">
        <v>1725</v>
      </c>
      <c r="I85" s="93" t="s">
        <v>498</v>
      </c>
      <c r="J85" s="93" t="s">
        <v>336</v>
      </c>
    </row>
    <row r="86" spans="1:33" x14ac:dyDescent="0.2">
      <c r="A86" s="90" t="s">
        <v>276</v>
      </c>
      <c r="B86" s="75" t="s">
        <v>280</v>
      </c>
      <c r="C86" s="90">
        <v>457</v>
      </c>
      <c r="D86" s="90">
        <v>40</v>
      </c>
      <c r="E86" s="90">
        <f t="shared" si="13"/>
        <v>0</v>
      </c>
      <c r="F86" s="90" t="s">
        <v>285</v>
      </c>
      <c r="G86" s="90">
        <v>22.5</v>
      </c>
      <c r="H86" s="90">
        <v>2730</v>
      </c>
      <c r="I86" s="93" t="s">
        <v>327</v>
      </c>
      <c r="J86" s="93" t="s">
        <v>337</v>
      </c>
    </row>
    <row r="87" spans="1:33" x14ac:dyDescent="0.2">
      <c r="A87" s="90" t="s">
        <v>276</v>
      </c>
      <c r="B87" s="75" t="s">
        <v>280</v>
      </c>
      <c r="C87" s="90">
        <v>500</v>
      </c>
      <c r="D87" s="90">
        <v>45</v>
      </c>
      <c r="E87" s="90">
        <f t="shared" si="13"/>
        <v>0</v>
      </c>
      <c r="F87" s="90" t="s">
        <v>286</v>
      </c>
      <c r="G87" s="90">
        <v>22.5</v>
      </c>
      <c r="H87" s="90">
        <v>3480</v>
      </c>
      <c r="I87" s="93" t="s">
        <v>325</v>
      </c>
      <c r="J87" s="93" t="s">
        <v>338</v>
      </c>
    </row>
    <row r="88" spans="1:33" x14ac:dyDescent="0.2">
      <c r="A88" s="90" t="s">
        <v>276</v>
      </c>
      <c r="B88" s="75" t="s">
        <v>280</v>
      </c>
      <c r="C88" s="90">
        <v>600</v>
      </c>
      <c r="D88" s="90">
        <v>56</v>
      </c>
      <c r="E88" s="90">
        <f t="shared" si="13"/>
        <v>0</v>
      </c>
      <c r="F88" s="90" t="s">
        <v>287</v>
      </c>
      <c r="G88" s="90">
        <v>37.4</v>
      </c>
      <c r="H88" s="90">
        <v>4520</v>
      </c>
      <c r="I88" s="90" t="s">
        <v>326</v>
      </c>
      <c r="J88" s="90" t="s">
        <v>339</v>
      </c>
    </row>
    <row r="89" spans="1:33" x14ac:dyDescent="0.2">
      <c r="A89" s="90" t="s">
        <v>276</v>
      </c>
      <c r="B89" s="75" t="s">
        <v>284</v>
      </c>
      <c r="C89" s="90">
        <v>800</v>
      </c>
      <c r="D89" s="90">
        <v>44</v>
      </c>
      <c r="E89" s="90">
        <f t="shared" si="13"/>
        <v>0</v>
      </c>
      <c r="F89" s="90" t="s">
        <v>288</v>
      </c>
      <c r="G89" s="90">
        <v>54</v>
      </c>
      <c r="H89" s="90">
        <v>6500</v>
      </c>
      <c r="I89" s="90" t="s">
        <v>340</v>
      </c>
    </row>
    <row r="90" spans="1:33" ht="27.75" x14ac:dyDescent="0.2">
      <c r="A90" s="90" t="s">
        <v>276</v>
      </c>
      <c r="B90" s="75" t="s">
        <v>284</v>
      </c>
      <c r="C90" s="90">
        <v>1000</v>
      </c>
      <c r="D90" s="90">
        <v>56</v>
      </c>
      <c r="E90" s="90">
        <f t="shared" si="13"/>
        <v>0</v>
      </c>
      <c r="F90" s="90" t="s">
        <v>289</v>
      </c>
      <c r="G90" s="90">
        <v>54</v>
      </c>
      <c r="H90" s="90">
        <v>7400</v>
      </c>
      <c r="I90" s="90" t="s">
        <v>328</v>
      </c>
      <c r="J90" s="90" t="s">
        <v>341</v>
      </c>
      <c r="K90" s="90" t="s">
        <v>342</v>
      </c>
    </row>
    <row r="91" spans="1:33" x14ac:dyDescent="0.2">
      <c r="A91" s="90" t="s">
        <v>277</v>
      </c>
      <c r="B91" s="75" t="s">
        <v>511</v>
      </c>
      <c r="C91" s="90">
        <v>230</v>
      </c>
      <c r="D91" s="90">
        <v>18</v>
      </c>
      <c r="E91" s="90">
        <f t="shared" si="13"/>
        <v>0</v>
      </c>
      <c r="F91" s="90" t="s">
        <v>290</v>
      </c>
      <c r="G91" s="90">
        <v>79</v>
      </c>
      <c r="H91" s="90">
        <v>11125</v>
      </c>
      <c r="I91" s="90" t="s">
        <v>343</v>
      </c>
    </row>
    <row r="92" spans="1:33" ht="27.75" x14ac:dyDescent="0.2">
      <c r="A92" s="90" t="s">
        <v>277</v>
      </c>
      <c r="B92" s="75" t="s">
        <v>511</v>
      </c>
      <c r="C92" s="90">
        <v>300</v>
      </c>
      <c r="D92" s="90">
        <v>22</v>
      </c>
      <c r="E92" s="90">
        <f t="shared" si="13"/>
        <v>0</v>
      </c>
      <c r="F92" s="90" t="s">
        <v>291</v>
      </c>
      <c r="G92" s="90">
        <v>84</v>
      </c>
      <c r="H92" s="90">
        <v>12435</v>
      </c>
      <c r="I92" s="90" t="s">
        <v>324</v>
      </c>
      <c r="J92" s="90" t="s">
        <v>344</v>
      </c>
      <c r="K92" s="90" t="s">
        <v>345</v>
      </c>
      <c r="L92" s="90" t="s">
        <v>346</v>
      </c>
      <c r="M92" s="90" t="s">
        <v>347</v>
      </c>
      <c r="N92" s="90" t="s">
        <v>292</v>
      </c>
      <c r="O92" s="90" t="s">
        <v>348</v>
      </c>
    </row>
    <row r="93" spans="1:33" x14ac:dyDescent="0.2">
      <c r="A93" s="90" t="s">
        <v>277</v>
      </c>
      <c r="B93" s="75" t="s">
        <v>511</v>
      </c>
      <c r="C93" s="90">
        <v>400</v>
      </c>
      <c r="D93" s="90">
        <v>33</v>
      </c>
      <c r="E93" s="90">
        <f t="shared" si="13"/>
        <v>0</v>
      </c>
      <c r="F93" s="90" t="s">
        <v>293</v>
      </c>
      <c r="G93" s="90">
        <v>89</v>
      </c>
      <c r="H93" s="90">
        <v>12760</v>
      </c>
      <c r="I93" s="90" t="s">
        <v>294</v>
      </c>
    </row>
    <row r="94" spans="1:33" x14ac:dyDescent="0.2">
      <c r="A94" s="90" t="s">
        <v>277</v>
      </c>
      <c r="B94" s="75" t="s">
        <v>511</v>
      </c>
      <c r="C94" s="90">
        <v>457</v>
      </c>
      <c r="D94" s="90">
        <v>40</v>
      </c>
      <c r="E94" s="90">
        <f t="shared" si="13"/>
        <v>0</v>
      </c>
      <c r="F94" s="90" t="s">
        <v>296</v>
      </c>
      <c r="G94" s="90">
        <v>99</v>
      </c>
      <c r="H94" s="90">
        <v>15800</v>
      </c>
      <c r="I94" s="90" t="s">
        <v>349</v>
      </c>
    </row>
    <row r="95" spans="1:33" ht="27.75" x14ac:dyDescent="0.2">
      <c r="A95" s="90" t="s">
        <v>277</v>
      </c>
      <c r="B95" s="75" t="s">
        <v>511</v>
      </c>
      <c r="C95" s="90">
        <v>500</v>
      </c>
      <c r="D95" s="90">
        <v>45</v>
      </c>
      <c r="E95" s="90">
        <f t="shared" si="13"/>
        <v>0</v>
      </c>
      <c r="F95" s="90" t="s">
        <v>297</v>
      </c>
      <c r="G95" s="90">
        <v>99</v>
      </c>
      <c r="H95" s="90">
        <v>16200</v>
      </c>
      <c r="I95" s="90" t="s">
        <v>323</v>
      </c>
      <c r="J95" s="90" t="s">
        <v>330</v>
      </c>
      <c r="K95" s="90" t="s">
        <v>350</v>
      </c>
      <c r="L95" s="90" t="s">
        <v>351</v>
      </c>
      <c r="M95" s="90" t="s">
        <v>298</v>
      </c>
      <c r="N95" s="90" t="s">
        <v>352</v>
      </c>
      <c r="O95" s="90" t="s">
        <v>334</v>
      </c>
    </row>
    <row r="96" spans="1:33" ht="27.75" x14ac:dyDescent="0.2">
      <c r="A96" s="90" t="s">
        <v>277</v>
      </c>
      <c r="B96" s="75" t="s">
        <v>511</v>
      </c>
      <c r="C96" s="90">
        <v>600</v>
      </c>
      <c r="D96" s="90">
        <v>56</v>
      </c>
      <c r="E96" s="90">
        <f t="shared" si="13"/>
        <v>0</v>
      </c>
      <c r="F96" s="90" t="s">
        <v>299</v>
      </c>
      <c r="G96" s="90">
        <v>109</v>
      </c>
      <c r="H96" s="90">
        <v>17300</v>
      </c>
      <c r="I96" s="90" t="s">
        <v>331</v>
      </c>
      <c r="J96" s="90" t="s">
        <v>353</v>
      </c>
    </row>
    <row r="97" spans="1:33" x14ac:dyDescent="0.2">
      <c r="A97" s="90" t="s">
        <v>277</v>
      </c>
      <c r="B97" s="75" t="s">
        <v>335</v>
      </c>
      <c r="C97" s="90">
        <v>800</v>
      </c>
      <c r="D97" s="90">
        <v>44</v>
      </c>
      <c r="E97" s="90">
        <f t="shared" si="13"/>
        <v>0</v>
      </c>
      <c r="F97" s="90" t="s">
        <v>300</v>
      </c>
      <c r="G97" s="90">
        <v>115</v>
      </c>
      <c r="H97" s="90">
        <v>18360</v>
      </c>
      <c r="I97" s="90" t="s">
        <v>354</v>
      </c>
    </row>
    <row r="98" spans="1:33" ht="68.25" x14ac:dyDescent="0.2">
      <c r="A98" s="90" t="s">
        <v>277</v>
      </c>
      <c r="B98" s="75" t="s">
        <v>335</v>
      </c>
      <c r="C98" s="90">
        <v>1000</v>
      </c>
      <c r="D98" s="90">
        <v>56</v>
      </c>
      <c r="E98" s="90">
        <f t="shared" si="13"/>
        <v>0</v>
      </c>
      <c r="F98" s="90" t="s">
        <v>301</v>
      </c>
      <c r="G98" s="90">
        <v>115</v>
      </c>
      <c r="H98" s="90">
        <v>17990</v>
      </c>
      <c r="I98" s="90" t="s">
        <v>355</v>
      </c>
      <c r="J98" s="90" t="s">
        <v>357</v>
      </c>
      <c r="K98" s="90" t="s">
        <v>359</v>
      </c>
      <c r="L98" s="90" t="s">
        <v>360</v>
      </c>
      <c r="M98" s="90" t="s">
        <v>356</v>
      </c>
      <c r="N98" s="90" t="s">
        <v>358</v>
      </c>
    </row>
    <row r="99" spans="1:33" x14ac:dyDescent="0.2">
      <c r="A99" s="90" t="s">
        <v>278</v>
      </c>
      <c r="B99" s="75" t="s">
        <v>512</v>
      </c>
      <c r="C99" s="90">
        <v>230</v>
      </c>
      <c r="D99" s="90">
        <v>18</v>
      </c>
      <c r="E99" s="90">
        <f t="shared" si="13"/>
        <v>0</v>
      </c>
      <c r="F99" s="90" t="s">
        <v>302</v>
      </c>
      <c r="G99" s="90">
        <v>114</v>
      </c>
      <c r="H99" s="90">
        <v>13810</v>
      </c>
      <c r="I99" s="90" t="s">
        <v>329</v>
      </c>
    </row>
    <row r="100" spans="1:33" ht="27.75" x14ac:dyDescent="0.2">
      <c r="A100" s="90" t="s">
        <v>278</v>
      </c>
      <c r="B100" s="75" t="s">
        <v>512</v>
      </c>
      <c r="C100" s="90">
        <v>300</v>
      </c>
      <c r="D100" s="90">
        <v>22</v>
      </c>
      <c r="E100" s="90">
        <f t="shared" si="13"/>
        <v>0</v>
      </c>
      <c r="F100" s="90" t="s">
        <v>303</v>
      </c>
      <c r="G100" s="90">
        <v>124</v>
      </c>
      <c r="H100" s="90">
        <v>15730</v>
      </c>
      <c r="I100" s="90" t="s">
        <v>332</v>
      </c>
      <c r="J100" s="90" t="s">
        <v>361</v>
      </c>
    </row>
    <row r="101" spans="1:33" ht="27.75" x14ac:dyDescent="0.2">
      <c r="A101" s="90" t="s">
        <v>278</v>
      </c>
      <c r="B101" s="75" t="s">
        <v>512</v>
      </c>
      <c r="C101" s="90">
        <v>400</v>
      </c>
      <c r="D101" s="90">
        <v>33</v>
      </c>
      <c r="E101" s="90">
        <f t="shared" si="13"/>
        <v>0</v>
      </c>
      <c r="F101" s="90" t="s">
        <v>304</v>
      </c>
      <c r="G101" s="90">
        <v>140</v>
      </c>
      <c r="H101" s="90">
        <v>17910</v>
      </c>
      <c r="I101" s="90" t="s">
        <v>333</v>
      </c>
      <c r="J101" s="90" t="s">
        <v>362</v>
      </c>
      <c r="K101" s="90" t="s">
        <v>363</v>
      </c>
      <c r="L101" s="90" t="s">
        <v>364</v>
      </c>
      <c r="M101" s="90" t="s">
        <v>365</v>
      </c>
      <c r="N101" s="90" t="s">
        <v>366</v>
      </c>
      <c r="O101" s="90" t="s">
        <v>367</v>
      </c>
      <c r="P101" s="90" t="s">
        <v>368</v>
      </c>
    </row>
    <row r="102" spans="1:33" ht="27.75" x14ac:dyDescent="0.2">
      <c r="A102" s="90" t="s">
        <v>278</v>
      </c>
      <c r="B102" s="75" t="s">
        <v>512</v>
      </c>
      <c r="C102" s="90">
        <v>457</v>
      </c>
      <c r="D102" s="90">
        <v>40</v>
      </c>
      <c r="E102" s="90">
        <f t="shared" si="13"/>
        <v>0</v>
      </c>
      <c r="F102" s="90" t="s">
        <v>305</v>
      </c>
      <c r="G102" s="90">
        <v>140</v>
      </c>
      <c r="H102" s="90">
        <v>19410</v>
      </c>
      <c r="I102" s="90" t="s">
        <v>369</v>
      </c>
      <c r="J102" s="90" t="s">
        <v>370</v>
      </c>
      <c r="K102" s="90" t="s">
        <v>371</v>
      </c>
    </row>
    <row r="103" spans="1:33" ht="27.75" x14ac:dyDescent="0.2">
      <c r="A103" s="90" t="s">
        <v>278</v>
      </c>
      <c r="B103" s="75" t="s">
        <v>512</v>
      </c>
      <c r="C103" s="90">
        <v>500</v>
      </c>
      <c r="D103" s="90">
        <v>45</v>
      </c>
      <c r="E103" s="90">
        <f t="shared" si="13"/>
        <v>0</v>
      </c>
      <c r="F103" s="90" t="s">
        <v>306</v>
      </c>
      <c r="G103" s="90">
        <v>138</v>
      </c>
      <c r="H103" s="90">
        <v>19700</v>
      </c>
      <c r="I103" s="90" t="s">
        <v>372</v>
      </c>
      <c r="J103" s="90" t="s">
        <v>373</v>
      </c>
      <c r="K103" s="90" t="s">
        <v>374</v>
      </c>
      <c r="L103" s="90" t="s">
        <v>375</v>
      </c>
      <c r="M103" s="90" t="s">
        <v>376</v>
      </c>
      <c r="N103" s="90" t="s">
        <v>377</v>
      </c>
      <c r="O103" s="90" t="s">
        <v>378</v>
      </c>
      <c r="P103" s="90" t="s">
        <v>379</v>
      </c>
      <c r="Q103" s="90" t="s">
        <v>380</v>
      </c>
      <c r="R103" s="90" t="s">
        <v>381</v>
      </c>
      <c r="S103" s="90" t="s">
        <v>382</v>
      </c>
      <c r="T103" s="90" t="s">
        <v>389</v>
      </c>
      <c r="U103" s="90" t="s">
        <v>383</v>
      </c>
      <c r="V103" s="90" t="s">
        <v>384</v>
      </c>
      <c r="W103" s="90" t="s">
        <v>385</v>
      </c>
      <c r="X103" s="90" t="s">
        <v>386</v>
      </c>
      <c r="Y103" s="90" t="s">
        <v>387</v>
      </c>
      <c r="Z103" s="90" t="s">
        <v>388</v>
      </c>
      <c r="AA103" s="90" t="s">
        <v>390</v>
      </c>
    </row>
    <row r="104" spans="1:33" ht="27.75" x14ac:dyDescent="0.2">
      <c r="A104" s="90" t="s">
        <v>278</v>
      </c>
      <c r="B104" s="75" t="s">
        <v>512</v>
      </c>
      <c r="C104" s="90">
        <v>600</v>
      </c>
      <c r="D104" s="90">
        <v>56</v>
      </c>
      <c r="E104" s="90">
        <f t="shared" si="13"/>
        <v>0</v>
      </c>
      <c r="F104" s="90" t="s">
        <v>307</v>
      </c>
      <c r="G104" s="90">
        <v>153</v>
      </c>
      <c r="H104" s="90">
        <v>22760</v>
      </c>
      <c r="I104" s="90" t="s">
        <v>391</v>
      </c>
      <c r="J104" s="90" t="s">
        <v>392</v>
      </c>
      <c r="K104" s="90" t="s">
        <v>393</v>
      </c>
      <c r="L104" s="90" t="s">
        <v>394</v>
      </c>
      <c r="M104" s="90" t="s">
        <v>395</v>
      </c>
      <c r="N104" s="90" t="s">
        <v>396</v>
      </c>
      <c r="O104" s="90" t="s">
        <v>397</v>
      </c>
      <c r="P104" s="90" t="s">
        <v>398</v>
      </c>
      <c r="Q104" s="90" t="s">
        <v>399</v>
      </c>
      <c r="R104" s="90" t="s">
        <v>400</v>
      </c>
      <c r="S104" s="90" t="s">
        <v>401</v>
      </c>
      <c r="T104" s="90" t="s">
        <v>403</v>
      </c>
      <c r="U104" s="90" t="s">
        <v>404</v>
      </c>
      <c r="V104" s="90" t="s">
        <v>405</v>
      </c>
      <c r="W104" s="90" t="s">
        <v>402</v>
      </c>
      <c r="X104" s="90" t="s">
        <v>406</v>
      </c>
      <c r="Y104" s="90" t="s">
        <v>407</v>
      </c>
      <c r="Z104" s="90" t="s">
        <v>408</v>
      </c>
      <c r="AA104" s="90" t="s">
        <v>409</v>
      </c>
      <c r="AB104" s="90" t="s">
        <v>410</v>
      </c>
      <c r="AC104" s="90" t="s">
        <v>411</v>
      </c>
      <c r="AD104" s="90" t="s">
        <v>412</v>
      </c>
      <c r="AE104" s="90" t="s">
        <v>413</v>
      </c>
      <c r="AF104" s="90" t="s">
        <v>414</v>
      </c>
      <c r="AG104" s="90" t="s">
        <v>415</v>
      </c>
    </row>
    <row r="105" spans="1:33" ht="27.75" x14ac:dyDescent="0.2">
      <c r="A105" s="90" t="s">
        <v>278</v>
      </c>
      <c r="B105" s="75" t="s">
        <v>336</v>
      </c>
      <c r="C105" s="90">
        <v>800</v>
      </c>
      <c r="D105" s="90">
        <v>44</v>
      </c>
      <c r="E105" s="90">
        <f t="shared" si="13"/>
        <v>0</v>
      </c>
      <c r="F105" s="90" t="s">
        <v>308</v>
      </c>
      <c r="G105" s="90">
        <v>168</v>
      </c>
      <c r="H105" s="90">
        <v>25900</v>
      </c>
      <c r="I105" s="90" t="s">
        <v>416</v>
      </c>
      <c r="J105" s="90" t="s">
        <v>417</v>
      </c>
      <c r="K105" s="90" t="s">
        <v>418</v>
      </c>
      <c r="L105" s="90" t="s">
        <v>419</v>
      </c>
      <c r="M105" s="90" t="s">
        <v>420</v>
      </c>
      <c r="N105" s="90" t="s">
        <v>428</v>
      </c>
      <c r="O105" s="90" t="s">
        <v>421</v>
      </c>
      <c r="P105" s="90" t="s">
        <v>422</v>
      </c>
      <c r="Q105" s="90" t="s">
        <v>423</v>
      </c>
      <c r="R105" s="90" t="s">
        <v>424</v>
      </c>
      <c r="S105" s="90" t="s">
        <v>425</v>
      </c>
      <c r="T105" s="90" t="s">
        <v>426</v>
      </c>
      <c r="U105" s="90" t="s">
        <v>427</v>
      </c>
      <c r="V105" s="90" t="s">
        <v>429</v>
      </c>
      <c r="W105" s="90" t="s">
        <v>430</v>
      </c>
      <c r="X105" s="90" t="s">
        <v>431</v>
      </c>
      <c r="Y105" s="90" t="s">
        <v>432</v>
      </c>
      <c r="Z105" s="90" t="s">
        <v>433</v>
      </c>
      <c r="AA105" s="90" t="s">
        <v>434</v>
      </c>
      <c r="AB105" s="90" t="s">
        <v>435</v>
      </c>
      <c r="AC105" s="90" t="s">
        <v>436</v>
      </c>
      <c r="AD105" s="90" t="s">
        <v>437</v>
      </c>
      <c r="AE105" s="90" t="s">
        <v>438</v>
      </c>
      <c r="AF105" s="90" t="s">
        <v>439</v>
      </c>
    </row>
    <row r="106" spans="1:33" ht="27.75" x14ac:dyDescent="0.2">
      <c r="A106" s="90" t="s">
        <v>278</v>
      </c>
      <c r="B106" s="75" t="s">
        <v>336</v>
      </c>
      <c r="C106" s="90">
        <v>1000</v>
      </c>
      <c r="D106" s="90">
        <v>56</v>
      </c>
      <c r="E106" s="90">
        <f t="shared" si="13"/>
        <v>0</v>
      </c>
      <c r="F106" s="90" t="s">
        <v>309</v>
      </c>
      <c r="G106" s="90">
        <v>222</v>
      </c>
      <c r="H106" s="90">
        <v>32420</v>
      </c>
      <c r="I106" s="90" t="s">
        <v>317</v>
      </c>
      <c r="J106" s="90" t="s">
        <v>441</v>
      </c>
      <c r="K106" s="90" t="s">
        <v>445</v>
      </c>
      <c r="L106" s="90" t="s">
        <v>446</v>
      </c>
      <c r="M106" s="90" t="s">
        <v>443</v>
      </c>
      <c r="N106" s="90" t="s">
        <v>444</v>
      </c>
      <c r="O106" s="90" t="s">
        <v>442</v>
      </c>
      <c r="P106" s="90" t="s">
        <v>447</v>
      </c>
      <c r="Q106" s="90" t="s">
        <v>448</v>
      </c>
      <c r="R106" s="90" t="s">
        <v>450</v>
      </c>
      <c r="S106" s="90" t="s">
        <v>449</v>
      </c>
      <c r="T106" s="90" t="s">
        <v>451</v>
      </c>
      <c r="U106" s="90" t="s">
        <v>452</v>
      </c>
      <c r="V106" s="90" t="s">
        <v>440</v>
      </c>
      <c r="W106" s="90" t="s">
        <v>453</v>
      </c>
      <c r="X106" s="90" t="s">
        <v>454</v>
      </c>
      <c r="Y106" s="90" t="s">
        <v>455</v>
      </c>
    </row>
    <row r="107" spans="1:33" ht="33.75" customHeight="1" x14ac:dyDescent="0.2">
      <c r="A107" s="90" t="s">
        <v>285</v>
      </c>
      <c r="B107" s="75" t="s">
        <v>327</v>
      </c>
      <c r="C107" s="90">
        <v>260</v>
      </c>
      <c r="D107" s="90">
        <v>35</v>
      </c>
      <c r="E107" s="90">
        <f t="shared" si="13"/>
        <v>0</v>
      </c>
      <c r="F107" s="90" t="s">
        <v>310</v>
      </c>
      <c r="G107" s="90">
        <v>321</v>
      </c>
      <c r="H107" s="90">
        <v>45300</v>
      </c>
      <c r="I107" s="90" t="s">
        <v>319</v>
      </c>
      <c r="J107" s="90" t="s">
        <v>461</v>
      </c>
      <c r="K107" s="90" t="s">
        <v>450</v>
      </c>
      <c r="L107" s="75" t="s">
        <v>460</v>
      </c>
      <c r="M107" s="90" t="s">
        <v>458</v>
      </c>
      <c r="N107" s="90" t="s">
        <v>459</v>
      </c>
      <c r="O107" s="90" t="s">
        <v>456</v>
      </c>
      <c r="P107" s="90" t="s">
        <v>457</v>
      </c>
      <c r="Q107" s="90" t="s">
        <v>513</v>
      </c>
    </row>
    <row r="108" spans="1:33" ht="41.25" x14ac:dyDescent="0.2">
      <c r="A108" s="90" t="s">
        <v>285</v>
      </c>
      <c r="B108" s="75" t="s">
        <v>327</v>
      </c>
      <c r="C108" s="90">
        <v>300</v>
      </c>
      <c r="D108" s="90">
        <v>41</v>
      </c>
      <c r="E108" s="90">
        <f t="shared" si="13"/>
        <v>0</v>
      </c>
      <c r="F108" s="90" t="s">
        <v>311</v>
      </c>
      <c r="G108" s="90">
        <v>321</v>
      </c>
      <c r="H108" s="90">
        <v>44500</v>
      </c>
      <c r="I108" s="90" t="s">
        <v>320</v>
      </c>
      <c r="J108" s="90" t="s">
        <v>468</v>
      </c>
      <c r="K108" s="90" t="s">
        <v>470</v>
      </c>
      <c r="L108" s="90" t="s">
        <v>469</v>
      </c>
      <c r="M108" s="90" t="s">
        <v>466</v>
      </c>
      <c r="N108" s="90" t="s">
        <v>467</v>
      </c>
      <c r="O108" s="90" t="s">
        <v>464</v>
      </c>
      <c r="P108" s="90" t="s">
        <v>465</v>
      </c>
      <c r="Q108" s="90" t="s">
        <v>474</v>
      </c>
      <c r="R108" s="90" t="s">
        <v>471</v>
      </c>
      <c r="S108" s="90" t="s">
        <v>472</v>
      </c>
      <c r="T108" s="90" t="s">
        <v>473</v>
      </c>
      <c r="U108" s="90" t="s">
        <v>462</v>
      </c>
      <c r="V108" s="90" t="s">
        <v>463</v>
      </c>
    </row>
    <row r="109" spans="1:33" ht="41.25" x14ac:dyDescent="0.2">
      <c r="A109" s="90" t="s">
        <v>285</v>
      </c>
      <c r="B109" s="75" t="s">
        <v>327</v>
      </c>
      <c r="C109" s="90">
        <v>400</v>
      </c>
      <c r="D109" s="90">
        <v>54</v>
      </c>
      <c r="E109" s="90">
        <f t="shared" si="13"/>
        <v>0</v>
      </c>
      <c r="F109" s="90" t="s">
        <v>312</v>
      </c>
      <c r="G109" s="90">
        <v>385</v>
      </c>
      <c r="H109" s="90">
        <v>65360</v>
      </c>
      <c r="I109" s="90" t="s">
        <v>478</v>
      </c>
      <c r="J109" s="90" t="s">
        <v>479</v>
      </c>
      <c r="K109" s="90" t="s">
        <v>480</v>
      </c>
      <c r="L109" s="90" t="s">
        <v>476</v>
      </c>
      <c r="M109" s="90" t="s">
        <v>477</v>
      </c>
      <c r="N109" s="90" t="s">
        <v>482</v>
      </c>
      <c r="O109" s="90" t="s">
        <v>483</v>
      </c>
      <c r="P109" s="90" t="s">
        <v>484</v>
      </c>
      <c r="Q109" s="90" t="s">
        <v>485</v>
      </c>
      <c r="R109" s="90" t="s">
        <v>481</v>
      </c>
      <c r="S109" s="90" t="s">
        <v>475</v>
      </c>
    </row>
    <row r="110" spans="1:33" ht="53.25" customHeight="1" x14ac:dyDescent="0.2">
      <c r="A110" s="90" t="s">
        <v>285</v>
      </c>
      <c r="B110" s="75" t="s">
        <v>327</v>
      </c>
      <c r="C110" s="90">
        <v>457</v>
      </c>
      <c r="D110" s="90">
        <v>65</v>
      </c>
      <c r="E110" s="90">
        <f t="shared" si="13"/>
        <v>0</v>
      </c>
      <c r="F110" s="90" t="s">
        <v>313</v>
      </c>
      <c r="G110" s="90">
        <v>428</v>
      </c>
      <c r="H110" s="90">
        <v>81190</v>
      </c>
      <c r="I110" s="90" t="s">
        <v>318</v>
      </c>
      <c r="J110" s="90" t="s">
        <v>321</v>
      </c>
      <c r="K110" s="90" t="s">
        <v>322</v>
      </c>
      <c r="L110" s="90" t="s">
        <v>491</v>
      </c>
      <c r="M110" s="90" t="s">
        <v>489</v>
      </c>
      <c r="N110" s="90" t="s">
        <v>490</v>
      </c>
      <c r="O110" s="90" t="s">
        <v>496</v>
      </c>
      <c r="P110" s="90" t="s">
        <v>487</v>
      </c>
      <c r="Q110" s="90" t="s">
        <v>488</v>
      </c>
      <c r="R110" s="90" t="s">
        <v>493</v>
      </c>
      <c r="S110" s="90" t="s">
        <v>494</v>
      </c>
      <c r="T110" s="90" t="s">
        <v>492</v>
      </c>
      <c r="U110" s="90" t="s">
        <v>495</v>
      </c>
      <c r="V110" s="90" t="s">
        <v>486</v>
      </c>
    </row>
    <row r="111" spans="1:33" x14ac:dyDescent="0.2">
      <c r="A111" s="90" t="s">
        <v>285</v>
      </c>
      <c r="B111" s="75" t="s">
        <v>327</v>
      </c>
      <c r="C111" s="90">
        <v>500</v>
      </c>
      <c r="D111" s="90">
        <v>73</v>
      </c>
      <c r="E111" s="90">
        <f t="shared" si="13"/>
        <v>0</v>
      </c>
      <c r="F111" s="277" t="s">
        <v>499</v>
      </c>
      <c r="G111" s="277"/>
      <c r="H111" s="277"/>
      <c r="I111" s="277"/>
      <c r="J111" s="277"/>
      <c r="K111" s="277"/>
    </row>
    <row r="112" spans="1:33" x14ac:dyDescent="0.2">
      <c r="A112" s="90" t="s">
        <v>285</v>
      </c>
      <c r="B112" s="75" t="s">
        <v>327</v>
      </c>
      <c r="C112" s="90">
        <v>600</v>
      </c>
      <c r="D112" s="90">
        <v>92</v>
      </c>
      <c r="E112" s="90">
        <f t="shared" si="13"/>
        <v>0</v>
      </c>
      <c r="F112" s="83" t="s">
        <v>51</v>
      </c>
      <c r="G112" s="276" t="s">
        <v>500</v>
      </c>
      <c r="H112" s="276"/>
      <c r="I112" s="276"/>
      <c r="J112" s="276"/>
      <c r="K112" s="81" t="str">
        <f>+RETROEXCAVADORA!B17</f>
        <v>0-2m</v>
      </c>
    </row>
    <row r="113" spans="1:30" x14ac:dyDescent="0.2">
      <c r="A113" s="90" t="s">
        <v>285</v>
      </c>
      <c r="B113" s="75" t="s">
        <v>327</v>
      </c>
      <c r="C113" s="90">
        <v>700</v>
      </c>
      <c r="D113" s="90">
        <v>111</v>
      </c>
      <c r="E113" s="90">
        <f t="shared" si="13"/>
        <v>0</v>
      </c>
      <c r="F113" s="83"/>
      <c r="G113" s="77" t="s">
        <v>52</v>
      </c>
      <c r="H113" s="77" t="s">
        <v>501</v>
      </c>
      <c r="I113" s="77" t="s">
        <v>14</v>
      </c>
      <c r="J113" s="77" t="s">
        <v>502</v>
      </c>
      <c r="K113" s="81" t="str">
        <f>+RETROEXCAVADORA!C17</f>
        <v>REGULAR</v>
      </c>
    </row>
    <row r="114" spans="1:30" x14ac:dyDescent="0.2">
      <c r="A114" s="90" t="s">
        <v>285</v>
      </c>
      <c r="B114" s="75" t="s">
        <v>337</v>
      </c>
      <c r="C114" s="90">
        <v>800</v>
      </c>
      <c r="D114" s="90">
        <v>80</v>
      </c>
      <c r="E114" s="90">
        <f t="shared" si="13"/>
        <v>0</v>
      </c>
      <c r="F114" s="77" t="s">
        <v>55</v>
      </c>
      <c r="G114" s="77">
        <v>6</v>
      </c>
      <c r="H114" s="77">
        <v>9</v>
      </c>
      <c r="I114" s="77">
        <v>15</v>
      </c>
      <c r="J114" s="77">
        <v>26</v>
      </c>
      <c r="K114" s="81">
        <f>+IF(AND($K$112=F114,$G$113=$K$113),G114,IF(AND(F114=$K$112,$H$113=$K$113),H114,IF(AND(F114=$K$112,$K$113=$I$113),I114,IF(AND(F114=$K$112,$J$113=$K$113),J114,0))))</f>
        <v>15</v>
      </c>
    </row>
    <row r="115" spans="1:30" x14ac:dyDescent="0.2">
      <c r="A115" s="90" t="s">
        <v>285</v>
      </c>
      <c r="B115" s="75" t="s">
        <v>337</v>
      </c>
      <c r="C115" s="90">
        <v>1000</v>
      </c>
      <c r="D115" s="90">
        <v>102</v>
      </c>
      <c r="E115" s="90">
        <f t="shared" si="13"/>
        <v>0</v>
      </c>
      <c r="F115" s="77" t="s">
        <v>503</v>
      </c>
      <c r="G115" s="77">
        <v>7</v>
      </c>
      <c r="H115" s="77">
        <v>11</v>
      </c>
      <c r="I115" s="77">
        <v>17</v>
      </c>
      <c r="J115" s="77">
        <v>28</v>
      </c>
      <c r="K115" s="81">
        <f>+IF(AND($K$112=F115,$G$113=$K$113),G115,IF(AND(F115=$K$112,$H$113=$K$113),H115,IF(AND(F115=$K$112,$K$113=$I$113),I115,IF(AND(F115=$K$112,$J$113=$K$113),J115,0))))</f>
        <v>0</v>
      </c>
    </row>
    <row r="116" spans="1:30" x14ac:dyDescent="0.2">
      <c r="A116" s="90" t="s">
        <v>285</v>
      </c>
      <c r="B116" s="75" t="s">
        <v>337</v>
      </c>
      <c r="C116" s="90">
        <v>1200</v>
      </c>
      <c r="D116" s="90">
        <v>116</v>
      </c>
      <c r="E116" s="90">
        <f t="shared" si="13"/>
        <v>0</v>
      </c>
      <c r="F116" s="77" t="s">
        <v>504</v>
      </c>
      <c r="G116" s="77">
        <v>8</v>
      </c>
      <c r="H116" s="77">
        <v>13</v>
      </c>
      <c r="I116" s="77">
        <v>19</v>
      </c>
      <c r="J116" s="77">
        <v>30</v>
      </c>
      <c r="K116" s="81">
        <f>+IF(AND($K$112=F116,$G$113=$K$113),G116,IF(AND(F116=$K$112,$H$113=$K$113),H116,IF(AND(F116=$K$112,$K$113=$I$113),I116,IF(AND(F116=$K$112,$J$113=$K$113),J116,0))))</f>
        <v>0</v>
      </c>
    </row>
    <row r="117" spans="1:30" x14ac:dyDescent="0.2">
      <c r="A117" s="90" t="s">
        <v>286</v>
      </c>
      <c r="B117" s="75" t="s">
        <v>325</v>
      </c>
      <c r="C117" s="90">
        <v>300</v>
      </c>
      <c r="D117" s="90">
        <v>49</v>
      </c>
      <c r="E117" s="90">
        <f t="shared" si="13"/>
        <v>0</v>
      </c>
      <c r="F117" s="77" t="s">
        <v>505</v>
      </c>
      <c r="G117" s="77" t="s">
        <v>506</v>
      </c>
      <c r="H117" s="80"/>
      <c r="I117" s="80"/>
      <c r="J117" s="80"/>
      <c r="K117" s="80"/>
    </row>
    <row r="118" spans="1:30" x14ac:dyDescent="0.2">
      <c r="A118" s="90" t="s">
        <v>286</v>
      </c>
      <c r="B118" s="75" t="s">
        <v>325</v>
      </c>
      <c r="C118" s="90">
        <v>400</v>
      </c>
      <c r="D118" s="90">
        <v>65</v>
      </c>
      <c r="E118" s="90">
        <f t="shared" si="13"/>
        <v>0</v>
      </c>
      <c r="F118" s="77" t="s">
        <v>53</v>
      </c>
      <c r="G118" s="85">
        <v>5</v>
      </c>
      <c r="H118" s="81">
        <f>+IF(F118=RETROEXCAVADORA!D17,'DATOS FINAL'!G118,0)</f>
        <v>0</v>
      </c>
      <c r="K118" s="80"/>
    </row>
    <row r="119" spans="1:30" x14ac:dyDescent="0.2">
      <c r="A119" s="90" t="s">
        <v>286</v>
      </c>
      <c r="B119" s="75" t="s">
        <v>325</v>
      </c>
      <c r="C119" s="90">
        <v>500</v>
      </c>
      <c r="D119" s="90">
        <v>89</v>
      </c>
      <c r="E119" s="90">
        <f t="shared" si="13"/>
        <v>0</v>
      </c>
      <c r="F119" s="77" t="s">
        <v>507</v>
      </c>
      <c r="G119" s="85">
        <v>6</v>
      </c>
      <c r="H119" s="81">
        <f>+IF(F119=RETROEXCAVADORA!D17,'DATOS FINAL'!G119,0)</f>
        <v>6</v>
      </c>
      <c r="K119" s="81"/>
    </row>
    <row r="120" spans="1:30" x14ac:dyDescent="0.2">
      <c r="A120" s="90" t="s">
        <v>286</v>
      </c>
      <c r="B120" s="75" t="s">
        <v>325</v>
      </c>
      <c r="C120" s="90">
        <v>600</v>
      </c>
      <c r="D120" s="90">
        <v>113</v>
      </c>
      <c r="E120" s="90">
        <f t="shared" si="13"/>
        <v>0</v>
      </c>
      <c r="F120" s="77" t="s">
        <v>508</v>
      </c>
      <c r="G120" s="77" t="s">
        <v>506</v>
      </c>
      <c r="H120" s="80"/>
      <c r="K120" s="81"/>
    </row>
    <row r="121" spans="1:30" x14ac:dyDescent="0.2">
      <c r="A121" s="90" t="s">
        <v>286</v>
      </c>
      <c r="B121" s="75" t="s">
        <v>325</v>
      </c>
      <c r="C121" s="90">
        <v>650</v>
      </c>
      <c r="D121" s="90">
        <v>126</v>
      </c>
      <c r="E121" s="90">
        <f t="shared" si="13"/>
        <v>0</v>
      </c>
      <c r="F121" s="77" t="s">
        <v>509</v>
      </c>
      <c r="G121" s="85">
        <v>7</v>
      </c>
      <c r="H121" s="81">
        <f>+IF(F121=RETROEXCAVADORA!E17,'DATOS FINAL'!G121,0)</f>
        <v>0</v>
      </c>
      <c r="I121" s="80"/>
      <c r="J121" s="80"/>
      <c r="K121" s="80"/>
    </row>
    <row r="122" spans="1:30" x14ac:dyDescent="0.2">
      <c r="A122" s="90" t="s">
        <v>286</v>
      </c>
      <c r="B122" s="75" t="s">
        <v>338</v>
      </c>
      <c r="C122" s="90">
        <v>1000</v>
      </c>
      <c r="D122" s="90">
        <v>111</v>
      </c>
      <c r="E122" s="90">
        <f t="shared" si="13"/>
        <v>0</v>
      </c>
      <c r="F122" s="77" t="s">
        <v>54</v>
      </c>
      <c r="G122" s="85">
        <v>5</v>
      </c>
      <c r="H122" s="81">
        <f>+IF(F122=RETROEXCAVADORA!E17,'DATOS FINAL'!G122,0)</f>
        <v>5</v>
      </c>
      <c r="K122" s="80"/>
    </row>
    <row r="123" spans="1:30" x14ac:dyDescent="0.2">
      <c r="A123" s="90" t="s">
        <v>286</v>
      </c>
      <c r="B123" s="75" t="s">
        <v>338</v>
      </c>
      <c r="C123" s="90">
        <v>1200</v>
      </c>
      <c r="D123" s="90">
        <v>135</v>
      </c>
      <c r="E123" s="90">
        <f t="shared" si="13"/>
        <v>0</v>
      </c>
      <c r="F123" s="80"/>
      <c r="G123" s="80"/>
      <c r="H123" s="80"/>
      <c r="K123" s="81"/>
    </row>
    <row r="124" spans="1:30" x14ac:dyDescent="0.2">
      <c r="A124" s="90" t="s">
        <v>286</v>
      </c>
      <c r="B124" s="75" t="s">
        <v>338</v>
      </c>
      <c r="C124" s="90">
        <v>1400</v>
      </c>
      <c r="D124" s="90">
        <v>159</v>
      </c>
      <c r="E124" s="90">
        <f t="shared" si="13"/>
        <v>0</v>
      </c>
      <c r="F124" s="86" t="s">
        <v>510</v>
      </c>
      <c r="G124" s="80"/>
      <c r="H124" s="80"/>
      <c r="K124" s="81"/>
      <c r="R124" s="90" t="str">
        <f>+MOTONIVELADORA!$B$17</f>
        <v>ESTÁNDAR 120H</v>
      </c>
      <c r="AA124" s="90" t="str">
        <f>+$R$124</f>
        <v>ESTÁNDAR 120H</v>
      </c>
      <c r="AB124" s="83" t="s">
        <v>543</v>
      </c>
    </row>
    <row r="125" spans="1:30" x14ac:dyDescent="0.2">
      <c r="A125" s="90" t="s">
        <v>287</v>
      </c>
      <c r="B125" s="75" t="s">
        <v>326</v>
      </c>
      <c r="C125" s="90">
        <v>300</v>
      </c>
      <c r="D125" s="90">
        <v>58</v>
      </c>
      <c r="E125" s="90">
        <f t="shared" si="13"/>
        <v>0</v>
      </c>
      <c r="G125" s="90" t="s">
        <v>534</v>
      </c>
      <c r="H125" s="90" t="s">
        <v>535</v>
      </c>
      <c r="I125" s="90" t="s">
        <v>536</v>
      </c>
      <c r="J125" s="90">
        <v>1</v>
      </c>
      <c r="K125" s="90">
        <v>2</v>
      </c>
      <c r="L125" s="90">
        <v>3</v>
      </c>
      <c r="M125" s="90">
        <v>4</v>
      </c>
      <c r="N125" s="90">
        <v>5</v>
      </c>
      <c r="O125" s="90">
        <v>6</v>
      </c>
      <c r="P125" s="90">
        <v>7</v>
      </c>
      <c r="Q125" s="90">
        <v>8</v>
      </c>
      <c r="R125" s="90">
        <f>+MOTONIVELADORA!$C$22</f>
        <v>1</v>
      </c>
      <c r="S125" s="99">
        <v>1</v>
      </c>
      <c r="T125" s="99">
        <v>2</v>
      </c>
      <c r="U125" s="99">
        <v>3</v>
      </c>
      <c r="V125" s="99">
        <v>4</v>
      </c>
      <c r="W125" s="99">
        <v>5</v>
      </c>
      <c r="X125" s="99">
        <v>6</v>
      </c>
      <c r="Y125" s="99">
        <v>7</v>
      </c>
      <c r="Z125" s="99">
        <v>8</v>
      </c>
      <c r="AA125" s="90">
        <f>+MOTONIVELADORA!$C$23</f>
        <v>2</v>
      </c>
      <c r="AC125" s="90" t="s">
        <v>111</v>
      </c>
      <c r="AD125" s="90" t="s">
        <v>544</v>
      </c>
    </row>
    <row r="126" spans="1:30" x14ac:dyDescent="0.2">
      <c r="A126" s="90" t="s">
        <v>287</v>
      </c>
      <c r="B126" s="75" t="s">
        <v>326</v>
      </c>
      <c r="C126" s="90">
        <v>400</v>
      </c>
      <c r="D126" s="90">
        <v>76</v>
      </c>
      <c r="E126" s="90">
        <f t="shared" si="13"/>
        <v>0</v>
      </c>
      <c r="F126" s="96" t="s">
        <v>515</v>
      </c>
      <c r="G126" s="90">
        <v>140</v>
      </c>
      <c r="H126" s="90">
        <v>3.66</v>
      </c>
      <c r="I126" s="90">
        <v>0.61</v>
      </c>
      <c r="J126" s="90">
        <v>3.6</v>
      </c>
      <c r="K126" s="90">
        <v>5</v>
      </c>
      <c r="L126" s="90">
        <v>7.2</v>
      </c>
      <c r="M126" s="90">
        <v>9.9</v>
      </c>
      <c r="N126" s="90">
        <v>15.6</v>
      </c>
      <c r="O126" s="90">
        <v>21.3</v>
      </c>
      <c r="P126" s="90">
        <v>29.3</v>
      </c>
      <c r="Q126" s="90">
        <v>42.6</v>
      </c>
      <c r="R126" s="90">
        <f>+IF(AND($R$124=F126,$R$125=$J$125),J126,IF(AND($R$124=F126,$R$125=$K$125),K126,IF(AND($R$124=F126,$R$125=$L$125),L126,IF(AND($R$124=F126,$R$125=$M$125),M126,IF(AND($R$124=F126,$R$125=$N$125),N126,IF(AND($R$124=F126,$R$125=$O$125),O126,IF(AND($R$124=F126,$R$1254=$P$125),P126,IF(AND($R$124=F126,$R$125=$Q$125),Q126,0))))))))</f>
        <v>3.6</v>
      </c>
      <c r="S126" s="90">
        <v>2.9</v>
      </c>
      <c r="T126" s="90">
        <v>5.4</v>
      </c>
      <c r="U126" s="90">
        <v>7.8</v>
      </c>
      <c r="V126" s="90">
        <v>12.3</v>
      </c>
      <c r="W126" s="90">
        <v>23.1</v>
      </c>
      <c r="X126" s="90">
        <v>33.700000000000003</v>
      </c>
      <c r="AA126" s="99">
        <f>+IF(AND($AA$124=F126,$AA$125=$S$125),S126,IF(AND($AA$124=F126,$AA$125=$T$125),T126,IF(AND($AA$124=F126,$AA$125=$U$125),U126,IF(AND($AA$124=F126,$AA$125=$V$125),V126,IF(AND($AA$124=F126,$AA$125=$W$125),W126,IF(AND($AA$124=F126,$AA$125=$X$125),X126,IF(AND($AA$124=F126,$R$1254=$Y$125),Y126,IF(AND($AA$124=F126,$AA$125=$Z$125),Z126,0))))))))</f>
        <v>5.4</v>
      </c>
      <c r="AB126" s="100" t="s">
        <v>515</v>
      </c>
      <c r="AC126" s="90">
        <v>0.29199999999999998</v>
      </c>
    </row>
    <row r="127" spans="1:30" x14ac:dyDescent="0.2">
      <c r="A127" s="90" t="s">
        <v>287</v>
      </c>
      <c r="B127" s="75" t="s">
        <v>326</v>
      </c>
      <c r="C127" s="90">
        <v>500</v>
      </c>
      <c r="D127" s="90">
        <v>104</v>
      </c>
      <c r="E127" s="90">
        <f t="shared" si="13"/>
        <v>0</v>
      </c>
      <c r="F127" s="95" t="s">
        <v>516</v>
      </c>
      <c r="G127" s="90">
        <v>155</v>
      </c>
      <c r="H127" s="90">
        <v>3.66</v>
      </c>
      <c r="I127" s="90">
        <v>0.61</v>
      </c>
      <c r="J127" s="90">
        <v>3.6</v>
      </c>
      <c r="K127" s="90">
        <v>4.9000000000000004</v>
      </c>
      <c r="L127" s="99">
        <v>7.2</v>
      </c>
      <c r="M127" s="99">
        <v>9.9</v>
      </c>
      <c r="N127" s="99">
        <v>15.4</v>
      </c>
      <c r="O127" s="90">
        <v>20.9</v>
      </c>
      <c r="P127" s="90">
        <v>28.8</v>
      </c>
      <c r="Q127" s="90">
        <v>41.9</v>
      </c>
      <c r="R127" s="99">
        <f>+IF(AND($R$124=F127,$R$125=$J$125),J127,IF(AND($R$124=F127,$R$125=$K$125),K127,IF(AND($R$124=F127,$R$125=$L$125),L127,IF(AND($R$124=F127,$R$125=$M$125),M127,IF(AND($R$124=F127,$R$125=$N$125),N127,IF(AND($R$124=F127,$R$125=$O$125),O127,IF(AND($R$124=F127,$R$1254=$P$125),P127,IF(AND($R$124=F127,$R$125=$Q$125),Q127,0))))))))</f>
        <v>0</v>
      </c>
      <c r="S127" s="90">
        <v>2.9</v>
      </c>
      <c r="T127" s="90">
        <v>5.4</v>
      </c>
      <c r="U127" s="90">
        <v>7.8</v>
      </c>
      <c r="V127" s="90">
        <v>12.2</v>
      </c>
      <c r="W127" s="90">
        <v>23</v>
      </c>
      <c r="X127" s="90">
        <v>33.1</v>
      </c>
      <c r="AA127" s="99">
        <f t="shared" ref="AA127:AA144" si="14">+IF(AND($AA$124=F127,$AA$125=$S$125),S127,IF(AND($AA$124=F127,$AA$125=$T$125),T127,IF(AND($AA$124=F127,$AA$125=$U$125),U127,IF(AND($AA$124=F127,$AA$125=$V$125),V127,IF(AND($AA$124=F127,$AA$125=$W$125),W127,IF(AND($AA$124=F127,$AA$125=$X$125),X127,IF(AND($AA$124=F127,$R$1254=$Y$125),Y127,IF(AND($AA$124=F127,$AA$125=$Z$125),Z127,0))))))))</f>
        <v>0</v>
      </c>
      <c r="AB127" s="99" t="s">
        <v>516</v>
      </c>
      <c r="AC127" s="99">
        <v>0.29199999999999998</v>
      </c>
    </row>
    <row r="128" spans="1:30" x14ac:dyDescent="0.2">
      <c r="A128" s="90" t="s">
        <v>287</v>
      </c>
      <c r="B128" s="75" t="s">
        <v>326</v>
      </c>
      <c r="C128" s="90">
        <v>600</v>
      </c>
      <c r="D128" s="90">
        <v>133</v>
      </c>
      <c r="E128" s="90">
        <f t="shared" si="13"/>
        <v>0</v>
      </c>
      <c r="F128" s="95" t="s">
        <v>517</v>
      </c>
      <c r="G128" s="90">
        <v>140</v>
      </c>
      <c r="H128" s="90">
        <v>3.66</v>
      </c>
      <c r="I128" s="90">
        <v>0.61</v>
      </c>
      <c r="J128" s="90">
        <v>3.4</v>
      </c>
      <c r="K128" s="90">
        <v>4.5999999999999996</v>
      </c>
      <c r="L128" s="99">
        <v>6.7</v>
      </c>
      <c r="M128" s="99">
        <v>9.1999999999999993</v>
      </c>
      <c r="N128" s="99">
        <v>14.6</v>
      </c>
      <c r="O128" s="90">
        <v>19.8</v>
      </c>
      <c r="P128" s="90">
        <v>27.3</v>
      </c>
      <c r="Q128" s="90">
        <v>39.700000000000003</v>
      </c>
      <c r="R128" s="99">
        <f t="shared" ref="R128:R144" si="15">+IF(AND($R$124=F128,$R$125=$J$125),J128,IF(AND($R$124=F128,$R$125=$K$125),K128,IF(AND($R$124=F128,$R$125=$L$125),L128,IF(AND($R$124=F128,$R$125=$M$125),M128,IF(AND($R$124=F128,$R$125=$N$125),N128,IF(AND($R$124=F128,$R$125=$O$125),O128,IF(AND($R$124=F128,$R$1254=$P$125),P128,IF(AND($R$124=F128,$R$125=$Q$125),Q128,0))))))))</f>
        <v>0</v>
      </c>
      <c r="S128" s="90">
        <v>2.7</v>
      </c>
      <c r="T128" s="90">
        <v>5</v>
      </c>
      <c r="U128" s="90">
        <v>7.3</v>
      </c>
      <c r="V128" s="90">
        <v>11.5</v>
      </c>
      <c r="W128" s="90">
        <v>21.6</v>
      </c>
      <c r="X128" s="90">
        <v>31.3</v>
      </c>
      <c r="AA128" s="99">
        <f t="shared" si="14"/>
        <v>0</v>
      </c>
      <c r="AB128" s="99" t="s">
        <v>517</v>
      </c>
      <c r="AC128" s="99">
        <v>0.29199999999999998</v>
      </c>
    </row>
    <row r="129" spans="1:30" x14ac:dyDescent="0.2">
      <c r="A129" s="90" t="s">
        <v>287</v>
      </c>
      <c r="B129" s="75" t="s">
        <v>326</v>
      </c>
      <c r="C129" s="90">
        <v>700</v>
      </c>
      <c r="D129" s="90">
        <v>162</v>
      </c>
      <c r="E129" s="90">
        <f t="shared" si="13"/>
        <v>0</v>
      </c>
      <c r="F129" s="95" t="s">
        <v>518</v>
      </c>
      <c r="G129" s="90">
        <v>185</v>
      </c>
      <c r="H129" s="90">
        <v>3.66</v>
      </c>
      <c r="I129" s="90">
        <v>0.61</v>
      </c>
      <c r="J129" s="90">
        <v>3.5</v>
      </c>
      <c r="K129" s="90">
        <v>4.8</v>
      </c>
      <c r="L129" s="99">
        <v>7</v>
      </c>
      <c r="M129" s="99">
        <v>9.6</v>
      </c>
      <c r="N129" s="99">
        <v>15.1</v>
      </c>
      <c r="O129" s="90">
        <v>20.5</v>
      </c>
      <c r="P129" s="90">
        <v>28.3</v>
      </c>
      <c r="Q129" s="90">
        <v>41.1</v>
      </c>
      <c r="R129" s="99">
        <f t="shared" si="15"/>
        <v>0</v>
      </c>
      <c r="S129" s="90">
        <v>2.8</v>
      </c>
      <c r="T129" s="90">
        <v>5.2</v>
      </c>
      <c r="U129" s="90">
        <v>7.6</v>
      </c>
      <c r="V129" s="90">
        <v>11.9</v>
      </c>
      <c r="W129" s="90">
        <v>22.3</v>
      </c>
      <c r="X129" s="90">
        <v>32.4</v>
      </c>
      <c r="AA129" s="99">
        <f t="shared" si="14"/>
        <v>0</v>
      </c>
      <c r="AB129" s="99" t="s">
        <v>518</v>
      </c>
      <c r="AC129" s="99">
        <v>0.29199999999999998</v>
      </c>
    </row>
    <row r="130" spans="1:30" x14ac:dyDescent="0.2">
      <c r="A130" s="90" t="s">
        <v>287</v>
      </c>
      <c r="B130" s="75" t="s">
        <v>339</v>
      </c>
      <c r="C130" s="90">
        <v>1000</v>
      </c>
      <c r="D130" s="90">
        <v>139</v>
      </c>
      <c r="E130" s="90">
        <f t="shared" si="13"/>
        <v>0</v>
      </c>
      <c r="F130" s="95" t="s">
        <v>519</v>
      </c>
      <c r="G130" s="90">
        <v>200</v>
      </c>
      <c r="H130" s="90">
        <v>4.2699999999999996</v>
      </c>
      <c r="I130" s="90">
        <v>0.68600000000000005</v>
      </c>
      <c r="J130" s="90">
        <v>3.5</v>
      </c>
      <c r="K130" s="90">
        <v>4.8</v>
      </c>
      <c r="L130" s="81">
        <v>7</v>
      </c>
      <c r="M130" s="81">
        <v>9.6</v>
      </c>
      <c r="N130" s="81">
        <v>15</v>
      </c>
      <c r="O130" s="90">
        <v>20.3</v>
      </c>
      <c r="P130" s="90">
        <v>28</v>
      </c>
      <c r="Q130" s="90">
        <v>28</v>
      </c>
      <c r="R130" s="99">
        <f t="shared" si="15"/>
        <v>0</v>
      </c>
      <c r="S130" s="90">
        <v>2.8</v>
      </c>
      <c r="T130" s="90">
        <v>5.2</v>
      </c>
      <c r="U130" s="90">
        <v>7.6</v>
      </c>
      <c r="V130" s="90">
        <v>11.8</v>
      </c>
      <c r="W130" s="90">
        <v>22.3</v>
      </c>
      <c r="X130" s="90">
        <v>32.1</v>
      </c>
      <c r="AA130" s="99">
        <f t="shared" si="14"/>
        <v>0</v>
      </c>
      <c r="AB130" s="99" t="s">
        <v>519</v>
      </c>
      <c r="AC130" s="99">
        <v>0.29199999999999998</v>
      </c>
    </row>
    <row r="131" spans="1:30" x14ac:dyDescent="0.2">
      <c r="A131" s="90" t="s">
        <v>287</v>
      </c>
      <c r="B131" s="75" t="s">
        <v>339</v>
      </c>
      <c r="C131" s="90">
        <v>1300</v>
      </c>
      <c r="D131" s="90">
        <v>184</v>
      </c>
      <c r="E131" s="90">
        <f t="shared" si="13"/>
        <v>0</v>
      </c>
      <c r="F131" s="95" t="s">
        <v>520</v>
      </c>
      <c r="G131" s="90">
        <v>125</v>
      </c>
      <c r="H131" s="90">
        <v>3.66</v>
      </c>
      <c r="I131" s="90">
        <v>0.61</v>
      </c>
      <c r="J131" s="90">
        <v>3.6</v>
      </c>
      <c r="K131" s="90">
        <v>5</v>
      </c>
      <c r="L131" s="81">
        <v>7.2</v>
      </c>
      <c r="M131" s="81">
        <v>9.9</v>
      </c>
      <c r="N131" s="81">
        <v>15.6</v>
      </c>
      <c r="O131" s="90">
        <v>21.3</v>
      </c>
      <c r="P131" s="90">
        <v>29.3</v>
      </c>
      <c r="Q131" s="90">
        <v>42.6</v>
      </c>
      <c r="R131" s="99">
        <f t="shared" si="15"/>
        <v>0</v>
      </c>
      <c r="S131" s="90">
        <v>2.9</v>
      </c>
      <c r="T131" s="90">
        <v>5.4</v>
      </c>
      <c r="U131" s="90">
        <v>7.8</v>
      </c>
      <c r="V131" s="90">
        <v>12.3</v>
      </c>
      <c r="W131" s="90">
        <v>23.1</v>
      </c>
      <c r="X131" s="90">
        <v>33.700000000000003</v>
      </c>
      <c r="AA131" s="99">
        <f t="shared" si="14"/>
        <v>0</v>
      </c>
      <c r="AB131" s="99" t="s">
        <v>520</v>
      </c>
      <c r="AC131" s="99">
        <v>0.29199999999999998</v>
      </c>
      <c r="AD131" s="90">
        <v>0.317</v>
      </c>
    </row>
    <row r="132" spans="1:30" x14ac:dyDescent="0.2">
      <c r="A132" s="90" t="s">
        <v>287</v>
      </c>
      <c r="B132" s="75" t="s">
        <v>339</v>
      </c>
      <c r="C132" s="90">
        <v>1600</v>
      </c>
      <c r="D132" s="90">
        <v>229</v>
      </c>
      <c r="E132" s="90">
        <f t="shared" si="13"/>
        <v>0</v>
      </c>
      <c r="F132" s="95" t="s">
        <v>521</v>
      </c>
      <c r="G132" s="90">
        <v>140</v>
      </c>
      <c r="H132" s="90">
        <v>3.66</v>
      </c>
      <c r="I132" s="90">
        <v>0.61</v>
      </c>
      <c r="J132" s="90">
        <v>3.6</v>
      </c>
      <c r="K132" s="90">
        <v>4.9000000000000004</v>
      </c>
      <c r="L132" s="81">
        <v>7.2</v>
      </c>
      <c r="M132" s="81">
        <v>9.9</v>
      </c>
      <c r="N132" s="81">
        <v>15.4</v>
      </c>
      <c r="O132" s="90">
        <v>20.9</v>
      </c>
      <c r="P132" s="90">
        <v>28.8</v>
      </c>
      <c r="Q132" s="90">
        <v>41.9</v>
      </c>
      <c r="R132" s="99">
        <f t="shared" si="15"/>
        <v>0</v>
      </c>
      <c r="S132" s="90">
        <v>2.9</v>
      </c>
      <c r="T132" s="90">
        <v>5.4</v>
      </c>
      <c r="U132" s="90">
        <v>7.8</v>
      </c>
      <c r="V132" s="90">
        <v>12.2</v>
      </c>
      <c r="W132" s="90">
        <v>23</v>
      </c>
      <c r="X132" s="90">
        <v>33.1</v>
      </c>
      <c r="AA132" s="99">
        <f t="shared" si="14"/>
        <v>0</v>
      </c>
      <c r="AB132" s="99" t="s">
        <v>521</v>
      </c>
      <c r="AC132" s="99">
        <v>0.29199999999999998</v>
      </c>
      <c r="AD132" s="99">
        <v>0.317</v>
      </c>
    </row>
    <row r="133" spans="1:30" x14ac:dyDescent="0.2">
      <c r="A133" s="90" t="s">
        <v>288</v>
      </c>
      <c r="B133" s="75" t="s">
        <v>340</v>
      </c>
      <c r="C133" s="90">
        <v>460</v>
      </c>
      <c r="D133" s="90">
        <v>150</v>
      </c>
      <c r="E133" s="90">
        <f t="shared" si="13"/>
        <v>0</v>
      </c>
      <c r="F133" s="95" t="s">
        <v>522</v>
      </c>
      <c r="G133" s="90">
        <v>155</v>
      </c>
      <c r="H133" s="90">
        <v>3.66</v>
      </c>
      <c r="I133" s="90">
        <v>0.61</v>
      </c>
      <c r="J133" s="90">
        <v>3.4</v>
      </c>
      <c r="K133" s="90">
        <v>4.5999999999999996</v>
      </c>
      <c r="L133" s="81">
        <v>6.7</v>
      </c>
      <c r="M133" s="81">
        <v>9.1999999999999993</v>
      </c>
      <c r="N133" s="99">
        <v>14.6</v>
      </c>
      <c r="O133" s="90">
        <v>19.8</v>
      </c>
      <c r="P133" s="90">
        <v>27.3</v>
      </c>
      <c r="Q133" s="90">
        <v>39.700000000000003</v>
      </c>
      <c r="R133" s="99">
        <f t="shared" si="15"/>
        <v>0</v>
      </c>
      <c r="S133" s="90">
        <v>2.7</v>
      </c>
      <c r="T133" s="90">
        <v>5</v>
      </c>
      <c r="U133" s="90">
        <v>7.3</v>
      </c>
      <c r="V133" s="90">
        <v>11.5</v>
      </c>
      <c r="W133" s="90">
        <v>21.6</v>
      </c>
      <c r="X133" s="90">
        <v>31.3</v>
      </c>
      <c r="AA133" s="99">
        <f t="shared" si="14"/>
        <v>0</v>
      </c>
      <c r="AB133" s="99" t="s">
        <v>522</v>
      </c>
      <c r="AC133" s="99">
        <v>0.29199999999999998</v>
      </c>
      <c r="AD133" s="99">
        <v>0.317</v>
      </c>
    </row>
    <row r="134" spans="1:30" x14ac:dyDescent="0.2">
      <c r="A134" s="90" t="s">
        <v>289</v>
      </c>
      <c r="B134" s="75" t="s">
        <v>342</v>
      </c>
      <c r="C134" s="90">
        <v>500</v>
      </c>
      <c r="D134" s="90">
        <v>180</v>
      </c>
      <c r="E134" s="90">
        <f t="shared" si="13"/>
        <v>0</v>
      </c>
      <c r="F134" s="95" t="s">
        <v>523</v>
      </c>
      <c r="G134" s="90">
        <v>165</v>
      </c>
      <c r="H134" s="90">
        <v>3.66</v>
      </c>
      <c r="I134" s="90">
        <v>0.61</v>
      </c>
      <c r="J134" s="90">
        <v>3.5</v>
      </c>
      <c r="K134" s="90">
        <v>4.8</v>
      </c>
      <c r="L134" s="81">
        <v>7</v>
      </c>
      <c r="M134" s="81">
        <v>9.6</v>
      </c>
      <c r="N134" s="81">
        <v>15.1</v>
      </c>
      <c r="O134" s="90">
        <v>20.5</v>
      </c>
      <c r="P134" s="90">
        <v>28.3</v>
      </c>
      <c r="Q134" s="90">
        <v>41.1</v>
      </c>
      <c r="R134" s="99">
        <f t="shared" si="15"/>
        <v>0</v>
      </c>
      <c r="S134" s="90">
        <v>2.8</v>
      </c>
      <c r="T134" s="90">
        <v>5.2</v>
      </c>
      <c r="U134" s="90">
        <v>7.6</v>
      </c>
      <c r="V134" s="90">
        <v>11.9</v>
      </c>
      <c r="W134" s="90">
        <v>22.3</v>
      </c>
      <c r="X134" s="90">
        <v>32.4</v>
      </c>
      <c r="AA134" s="99">
        <f t="shared" si="14"/>
        <v>0</v>
      </c>
      <c r="AB134" s="99" t="s">
        <v>523</v>
      </c>
      <c r="AC134" s="99">
        <v>0.29199999999999998</v>
      </c>
      <c r="AD134" s="99">
        <v>0.317</v>
      </c>
    </row>
    <row r="135" spans="1:30" x14ac:dyDescent="0.2">
      <c r="A135" s="90" t="s">
        <v>289</v>
      </c>
      <c r="B135" s="75" t="s">
        <v>342</v>
      </c>
      <c r="C135" s="90">
        <v>600</v>
      </c>
      <c r="D135" s="90">
        <v>230</v>
      </c>
      <c r="E135" s="90">
        <f t="shared" si="13"/>
        <v>0</v>
      </c>
      <c r="F135" s="95" t="s">
        <v>524</v>
      </c>
      <c r="G135" s="90">
        <v>185</v>
      </c>
      <c r="H135" s="90">
        <v>3.66</v>
      </c>
      <c r="I135" s="90">
        <v>0.61</v>
      </c>
      <c r="J135" s="90">
        <v>3.5</v>
      </c>
      <c r="K135" s="90">
        <v>4.8</v>
      </c>
      <c r="L135" s="99">
        <v>7</v>
      </c>
      <c r="M135" s="81">
        <v>9.6</v>
      </c>
      <c r="N135" s="81">
        <v>15.1</v>
      </c>
      <c r="O135" s="90">
        <v>20.5</v>
      </c>
      <c r="P135" s="90">
        <v>28.3</v>
      </c>
      <c r="Q135" s="90">
        <v>41.1</v>
      </c>
      <c r="R135" s="99">
        <f t="shared" si="15"/>
        <v>0</v>
      </c>
      <c r="S135" s="90">
        <v>2.8</v>
      </c>
      <c r="T135" s="90">
        <v>5.2</v>
      </c>
      <c r="U135" s="90">
        <v>7.6</v>
      </c>
      <c r="V135" s="90">
        <v>11.9</v>
      </c>
      <c r="W135" s="90">
        <v>22.3</v>
      </c>
      <c r="X135" s="90">
        <v>32.4</v>
      </c>
      <c r="AA135" s="99">
        <f t="shared" si="14"/>
        <v>0</v>
      </c>
      <c r="AB135" s="99" t="s">
        <v>524</v>
      </c>
      <c r="AC135" s="99">
        <v>0.29199999999999998</v>
      </c>
      <c r="AD135" s="99">
        <v>0.317</v>
      </c>
    </row>
    <row r="136" spans="1:30" x14ac:dyDescent="0.2">
      <c r="A136" s="90" t="s">
        <v>289</v>
      </c>
      <c r="B136" s="75" t="s">
        <v>342</v>
      </c>
      <c r="C136" s="90">
        <v>610</v>
      </c>
      <c r="D136" s="90">
        <v>230</v>
      </c>
      <c r="E136" s="90">
        <f t="shared" si="13"/>
        <v>0</v>
      </c>
      <c r="F136" s="95" t="s">
        <v>525</v>
      </c>
      <c r="G136" s="90">
        <v>185</v>
      </c>
      <c r="H136" s="90">
        <v>4.2699999999999996</v>
      </c>
      <c r="I136" s="90">
        <v>0.68600000000000005</v>
      </c>
      <c r="J136" s="90">
        <v>3.5</v>
      </c>
      <c r="K136" s="90">
        <v>4.8</v>
      </c>
      <c r="L136" s="99">
        <v>7</v>
      </c>
      <c r="M136" s="81">
        <v>9.6</v>
      </c>
      <c r="N136" s="81">
        <v>15</v>
      </c>
      <c r="O136" s="90">
        <v>20.3</v>
      </c>
      <c r="P136" s="90">
        <v>28</v>
      </c>
      <c r="Q136" s="90">
        <v>40.700000000000003</v>
      </c>
      <c r="R136" s="99">
        <f t="shared" si="15"/>
        <v>0</v>
      </c>
      <c r="S136" s="90">
        <v>2.8</v>
      </c>
      <c r="T136" s="90">
        <v>5.2</v>
      </c>
      <c r="U136" s="90">
        <v>7.6</v>
      </c>
      <c r="V136" s="90">
        <v>11.8</v>
      </c>
      <c r="W136" s="90">
        <v>22.3</v>
      </c>
      <c r="X136" s="90">
        <v>32.1</v>
      </c>
      <c r="AA136" s="99">
        <f t="shared" si="14"/>
        <v>0</v>
      </c>
      <c r="AB136" s="99" t="s">
        <v>525</v>
      </c>
      <c r="AC136" s="99">
        <v>0.29199999999999998</v>
      </c>
      <c r="AD136" s="99">
        <v>0.317</v>
      </c>
    </row>
    <row r="137" spans="1:30" x14ac:dyDescent="0.2">
      <c r="A137" s="90" t="s">
        <v>289</v>
      </c>
      <c r="B137" s="75" t="s">
        <v>342</v>
      </c>
      <c r="C137" s="90">
        <v>700</v>
      </c>
      <c r="D137" s="90">
        <v>240</v>
      </c>
      <c r="E137" s="90">
        <f t="shared" si="13"/>
        <v>0</v>
      </c>
      <c r="F137" s="95" t="s">
        <v>526</v>
      </c>
      <c r="G137" s="90">
        <v>200</v>
      </c>
      <c r="H137" s="90">
        <v>4.2699999999999996</v>
      </c>
      <c r="I137" s="90">
        <v>0.68600000000000005</v>
      </c>
      <c r="J137" s="90">
        <v>3.5</v>
      </c>
      <c r="K137" s="90">
        <v>4.8</v>
      </c>
      <c r="L137" s="99">
        <v>7</v>
      </c>
      <c r="M137" s="81">
        <v>9.6</v>
      </c>
      <c r="N137" s="81">
        <v>15</v>
      </c>
      <c r="O137" s="90">
        <v>20.3</v>
      </c>
      <c r="P137" s="90">
        <v>28</v>
      </c>
      <c r="Q137" s="90">
        <v>40.700000000000003</v>
      </c>
      <c r="R137" s="99">
        <f t="shared" si="15"/>
        <v>0</v>
      </c>
      <c r="S137" s="90">
        <v>2.8</v>
      </c>
      <c r="T137" s="90">
        <v>5.2</v>
      </c>
      <c r="U137" s="90">
        <v>7.6</v>
      </c>
      <c r="V137" s="90">
        <v>11.8</v>
      </c>
      <c r="W137" s="90">
        <v>22.3</v>
      </c>
      <c r="X137" s="90">
        <v>32.1</v>
      </c>
      <c r="AA137" s="99">
        <f t="shared" si="14"/>
        <v>0</v>
      </c>
      <c r="AB137" s="99" t="s">
        <v>526</v>
      </c>
      <c r="AC137" s="99">
        <v>0.29199999999999998</v>
      </c>
      <c r="AD137" s="99">
        <v>0.317</v>
      </c>
    </row>
    <row r="138" spans="1:30" x14ac:dyDescent="0.2">
      <c r="A138" s="90" t="s">
        <v>289</v>
      </c>
      <c r="B138" s="75" t="s">
        <v>342</v>
      </c>
      <c r="C138" s="90">
        <v>760</v>
      </c>
      <c r="D138" s="90">
        <v>310</v>
      </c>
      <c r="E138" s="90">
        <f t="shared" si="13"/>
        <v>0</v>
      </c>
      <c r="F138" s="95" t="s">
        <v>527</v>
      </c>
      <c r="G138" s="90">
        <v>200</v>
      </c>
      <c r="H138" s="90">
        <v>4.2699999999999996</v>
      </c>
      <c r="I138" s="90">
        <v>0.68600000000000005</v>
      </c>
      <c r="J138" s="90">
        <v>3.7</v>
      </c>
      <c r="K138" s="90">
        <v>5.3</v>
      </c>
      <c r="L138" s="99">
        <v>7.1</v>
      </c>
      <c r="M138" s="81">
        <v>10.3</v>
      </c>
      <c r="N138" s="81">
        <v>15.5</v>
      </c>
      <c r="O138" s="90">
        <v>21.8</v>
      </c>
      <c r="P138" s="90">
        <v>29.5</v>
      </c>
      <c r="Q138" s="90">
        <v>42.7</v>
      </c>
      <c r="R138" s="99">
        <f t="shared" si="15"/>
        <v>0</v>
      </c>
      <c r="S138" s="90">
        <v>4.0999999999999996</v>
      </c>
      <c r="T138" s="90">
        <v>5.8</v>
      </c>
      <c r="U138" s="90">
        <v>7.9</v>
      </c>
      <c r="V138" s="90">
        <v>11.4</v>
      </c>
      <c r="W138" s="90">
        <v>17.7</v>
      </c>
      <c r="X138" s="90">
        <v>24.1</v>
      </c>
      <c r="Y138" s="90">
        <v>32.700000000000003</v>
      </c>
      <c r="Z138" s="90">
        <v>47.3</v>
      </c>
      <c r="AA138" s="99">
        <f t="shared" si="14"/>
        <v>0</v>
      </c>
      <c r="AB138" s="99" t="s">
        <v>527</v>
      </c>
      <c r="AC138" s="99">
        <v>0.29199999999999998</v>
      </c>
    </row>
    <row r="139" spans="1:30" x14ac:dyDescent="0.2">
      <c r="A139" s="90" t="s">
        <v>289</v>
      </c>
      <c r="B139" s="75" t="s">
        <v>342</v>
      </c>
      <c r="C139" s="90">
        <v>800</v>
      </c>
      <c r="D139" s="90">
        <v>280</v>
      </c>
      <c r="E139" s="90">
        <f t="shared" si="13"/>
        <v>0</v>
      </c>
      <c r="F139" s="95" t="s">
        <v>528</v>
      </c>
      <c r="G139" s="90">
        <v>275</v>
      </c>
      <c r="H139" s="90">
        <v>4.88</v>
      </c>
      <c r="I139" s="90">
        <v>0.78700000000000003</v>
      </c>
      <c r="J139" s="90">
        <v>3.9</v>
      </c>
      <c r="K139" s="90">
        <v>5.5</v>
      </c>
      <c r="L139" s="99">
        <v>7.4</v>
      </c>
      <c r="M139" s="81">
        <v>10.7</v>
      </c>
      <c r="N139" s="81">
        <v>16.2</v>
      </c>
      <c r="O139" s="90">
        <v>22.7</v>
      </c>
      <c r="P139" s="90">
        <v>308</v>
      </c>
      <c r="Q139" s="90">
        <v>44.5</v>
      </c>
      <c r="R139" s="99">
        <f t="shared" si="15"/>
        <v>0</v>
      </c>
      <c r="S139" s="90">
        <v>3.7</v>
      </c>
      <c r="T139" s="90">
        <v>5.2</v>
      </c>
      <c r="U139" s="90">
        <v>7</v>
      </c>
      <c r="V139" s="90">
        <v>10.199999999999999</v>
      </c>
      <c r="W139" s="90">
        <v>15.4</v>
      </c>
      <c r="X139" s="90">
        <v>21.6</v>
      </c>
      <c r="Y139" s="90">
        <v>29.2</v>
      </c>
      <c r="Z139" s="90">
        <v>42.3</v>
      </c>
      <c r="AA139" s="99">
        <f t="shared" si="14"/>
        <v>0</v>
      </c>
      <c r="AB139" s="99" t="s">
        <v>528</v>
      </c>
      <c r="AC139" s="99">
        <v>0.29199999999999998</v>
      </c>
    </row>
    <row r="140" spans="1:30" x14ac:dyDescent="0.2">
      <c r="A140" s="90" t="s">
        <v>289</v>
      </c>
      <c r="B140" s="75" t="s">
        <v>342</v>
      </c>
      <c r="C140" s="90">
        <v>915</v>
      </c>
      <c r="D140" s="90">
        <v>370</v>
      </c>
      <c r="E140" s="90">
        <f t="shared" si="13"/>
        <v>0</v>
      </c>
      <c r="F140" s="95" t="s">
        <v>529</v>
      </c>
      <c r="G140" s="90">
        <v>500</v>
      </c>
      <c r="H140" s="90">
        <v>7.32</v>
      </c>
      <c r="I140" s="90">
        <v>1.0669999999999999</v>
      </c>
      <c r="J140" s="90">
        <v>3.2</v>
      </c>
      <c r="K140" s="90">
        <v>4.9000000000000004</v>
      </c>
      <c r="L140" s="99">
        <v>8.5</v>
      </c>
      <c r="M140" s="81">
        <v>13.1</v>
      </c>
      <c r="N140" s="81">
        <v>24.3</v>
      </c>
      <c r="O140" s="90">
        <v>37.700000000000003</v>
      </c>
      <c r="R140" s="99">
        <f t="shared" si="15"/>
        <v>0</v>
      </c>
      <c r="S140" s="90">
        <v>4.7</v>
      </c>
      <c r="T140" s="90">
        <v>2.6</v>
      </c>
      <c r="U140" s="90">
        <v>36.1</v>
      </c>
      <c r="AA140" s="99">
        <f t="shared" si="14"/>
        <v>0</v>
      </c>
      <c r="AB140" s="99" t="s">
        <v>529</v>
      </c>
      <c r="AC140" s="99">
        <v>0.29199999999999998</v>
      </c>
    </row>
    <row r="141" spans="1:30" x14ac:dyDescent="0.2">
      <c r="A141" s="90" t="s">
        <v>289</v>
      </c>
      <c r="B141" s="75" t="s">
        <v>328</v>
      </c>
      <c r="C141" s="90">
        <v>300</v>
      </c>
      <c r="D141" s="90">
        <v>90</v>
      </c>
      <c r="E141" s="90">
        <f t="shared" si="13"/>
        <v>0</v>
      </c>
      <c r="F141" s="95" t="s">
        <v>530</v>
      </c>
      <c r="G141" s="90">
        <v>140</v>
      </c>
      <c r="H141" s="90">
        <v>3.66</v>
      </c>
      <c r="I141" s="90">
        <v>0.61</v>
      </c>
      <c r="J141" s="90">
        <v>3.6</v>
      </c>
      <c r="K141" s="90">
        <v>5</v>
      </c>
      <c r="L141" s="90">
        <v>7.2</v>
      </c>
      <c r="M141" s="90">
        <v>9.9</v>
      </c>
      <c r="N141" s="90">
        <v>15.6</v>
      </c>
      <c r="O141" s="90">
        <v>21.3</v>
      </c>
      <c r="P141" s="90">
        <v>29.3</v>
      </c>
      <c r="Q141" s="90">
        <v>42.6</v>
      </c>
      <c r="R141" s="99">
        <f t="shared" si="15"/>
        <v>0</v>
      </c>
      <c r="S141" s="90">
        <v>2.9</v>
      </c>
      <c r="T141" s="90">
        <v>5.4</v>
      </c>
      <c r="U141" s="90">
        <v>7.8</v>
      </c>
      <c r="V141" s="90">
        <v>12.3</v>
      </c>
      <c r="W141" s="90">
        <v>23.1</v>
      </c>
      <c r="X141" s="90">
        <v>33.700000000000003</v>
      </c>
      <c r="AA141" s="99">
        <f t="shared" si="14"/>
        <v>0</v>
      </c>
      <c r="AB141" s="99" t="s">
        <v>530</v>
      </c>
      <c r="AC141" s="99">
        <v>0.29199999999999998</v>
      </c>
    </row>
    <row r="142" spans="1:30" x14ac:dyDescent="0.2">
      <c r="A142" s="90" t="s">
        <v>289</v>
      </c>
      <c r="B142" s="75" t="s">
        <v>328</v>
      </c>
      <c r="C142" s="90">
        <v>450</v>
      </c>
      <c r="D142" s="90">
        <v>160</v>
      </c>
      <c r="E142" s="90">
        <f t="shared" si="13"/>
        <v>0</v>
      </c>
      <c r="F142" s="95" t="s">
        <v>531</v>
      </c>
      <c r="G142" s="90">
        <v>140</v>
      </c>
      <c r="H142" s="90">
        <v>3.66</v>
      </c>
      <c r="I142" s="90">
        <v>0.61</v>
      </c>
      <c r="J142" s="90">
        <v>3.4</v>
      </c>
      <c r="K142" s="90">
        <v>4.5999999999999996</v>
      </c>
      <c r="L142" s="90">
        <v>7.2</v>
      </c>
      <c r="M142" s="90">
        <v>9.1999999999999993</v>
      </c>
      <c r="N142" s="90">
        <v>14.6</v>
      </c>
      <c r="O142" s="90">
        <v>19.8</v>
      </c>
      <c r="P142" s="90">
        <v>27.3</v>
      </c>
      <c r="Q142" s="90">
        <v>39.700000000000003</v>
      </c>
      <c r="R142" s="99">
        <f t="shared" si="15"/>
        <v>0</v>
      </c>
      <c r="S142" s="90">
        <v>2.7</v>
      </c>
      <c r="T142" s="90">
        <v>5</v>
      </c>
      <c r="U142" s="90">
        <v>7.3</v>
      </c>
      <c r="V142" s="90">
        <v>11.5</v>
      </c>
      <c r="W142" s="90">
        <v>21.6</v>
      </c>
      <c r="X142" s="90">
        <v>31.3</v>
      </c>
      <c r="AA142" s="99">
        <f t="shared" si="14"/>
        <v>0</v>
      </c>
      <c r="AB142" s="99" t="s">
        <v>531</v>
      </c>
      <c r="AC142" s="99">
        <v>0.29199999999999998</v>
      </c>
    </row>
    <row r="143" spans="1:30" x14ac:dyDescent="0.2">
      <c r="A143" s="90" t="s">
        <v>289</v>
      </c>
      <c r="B143" s="75" t="s">
        <v>328</v>
      </c>
      <c r="C143" s="90">
        <v>750</v>
      </c>
      <c r="D143" s="90">
        <v>300</v>
      </c>
      <c r="E143" s="90">
        <f t="shared" si="13"/>
        <v>0</v>
      </c>
      <c r="F143" s="95" t="s">
        <v>532</v>
      </c>
      <c r="G143" s="90">
        <v>185</v>
      </c>
      <c r="H143" s="90">
        <v>3.66</v>
      </c>
      <c r="I143" s="90">
        <v>0.61</v>
      </c>
      <c r="J143" s="90">
        <v>3.5</v>
      </c>
      <c r="K143" s="90">
        <v>4.8</v>
      </c>
      <c r="L143" s="90">
        <v>7</v>
      </c>
      <c r="M143" s="90">
        <v>9.6</v>
      </c>
      <c r="N143" s="90">
        <v>15.1</v>
      </c>
      <c r="O143" s="90">
        <v>20.5</v>
      </c>
      <c r="P143" s="90">
        <v>28.3</v>
      </c>
      <c r="Q143" s="90">
        <v>41.1</v>
      </c>
      <c r="R143" s="99">
        <f t="shared" si="15"/>
        <v>0</v>
      </c>
      <c r="S143" s="90">
        <v>2.8</v>
      </c>
      <c r="T143" s="90">
        <v>5.2</v>
      </c>
      <c r="U143" s="90">
        <v>7.6</v>
      </c>
      <c r="V143" s="90">
        <v>11.9</v>
      </c>
      <c r="W143" s="90">
        <v>22.3</v>
      </c>
      <c r="X143" s="90">
        <v>32.4</v>
      </c>
      <c r="AA143" s="99">
        <f t="shared" si="14"/>
        <v>0</v>
      </c>
      <c r="AB143" s="99" t="s">
        <v>532</v>
      </c>
      <c r="AC143" s="99">
        <v>0.29199999999999998</v>
      </c>
    </row>
    <row r="144" spans="1:30" x14ac:dyDescent="0.2">
      <c r="A144" s="90" t="s">
        <v>289</v>
      </c>
      <c r="B144" s="75" t="s">
        <v>328</v>
      </c>
      <c r="C144" s="90">
        <v>800</v>
      </c>
      <c r="D144" s="90">
        <v>325</v>
      </c>
      <c r="E144" s="90">
        <f t="shared" si="13"/>
        <v>0</v>
      </c>
      <c r="F144" s="95" t="s">
        <v>533</v>
      </c>
      <c r="G144" s="90">
        <v>200</v>
      </c>
      <c r="H144" s="90">
        <v>4.2699999999999996</v>
      </c>
      <c r="I144" s="90">
        <v>0.68600000000000005</v>
      </c>
      <c r="J144" s="90">
        <v>3.5</v>
      </c>
      <c r="K144" s="90">
        <v>4.8</v>
      </c>
      <c r="L144" s="90">
        <v>7</v>
      </c>
      <c r="M144" s="90">
        <v>9.6</v>
      </c>
      <c r="N144" s="90">
        <v>15</v>
      </c>
      <c r="O144" s="90">
        <v>20.3</v>
      </c>
      <c r="P144" s="90">
        <v>28</v>
      </c>
      <c r="Q144" s="90">
        <v>40.700000000000003</v>
      </c>
      <c r="R144" s="99">
        <f t="shared" si="15"/>
        <v>0</v>
      </c>
      <c r="S144" s="90">
        <v>2.8</v>
      </c>
      <c r="T144" s="90">
        <v>5.2</v>
      </c>
      <c r="U144" s="90">
        <v>7.6</v>
      </c>
      <c r="V144" s="90">
        <v>11.8</v>
      </c>
      <c r="W144" s="90">
        <v>22.3</v>
      </c>
      <c r="X144" s="90">
        <v>32.1</v>
      </c>
      <c r="AA144" s="99">
        <f t="shared" si="14"/>
        <v>0</v>
      </c>
      <c r="AB144" s="99" t="s">
        <v>533</v>
      </c>
      <c r="AC144" s="99">
        <v>0.29199999999999998</v>
      </c>
    </row>
    <row r="145" spans="1:5" x14ac:dyDescent="0.2">
      <c r="A145" s="90" t="s">
        <v>289</v>
      </c>
      <c r="B145" s="75" t="s">
        <v>328</v>
      </c>
      <c r="C145" s="90">
        <v>850</v>
      </c>
      <c r="D145" s="90">
        <v>350</v>
      </c>
      <c r="E145" s="90">
        <f t="shared" si="13"/>
        <v>0</v>
      </c>
    </row>
    <row r="146" spans="1:5" x14ac:dyDescent="0.2">
      <c r="A146" s="90" t="s">
        <v>289</v>
      </c>
      <c r="B146" s="75" t="s">
        <v>328</v>
      </c>
      <c r="C146" s="90">
        <v>1000</v>
      </c>
      <c r="D146" s="90">
        <v>800</v>
      </c>
      <c r="E146" s="90">
        <f t="shared" si="13"/>
        <v>0</v>
      </c>
    </row>
    <row r="147" spans="1:5" ht="20.25" x14ac:dyDescent="0.15">
      <c r="A147" s="90" t="s">
        <v>289</v>
      </c>
      <c r="B147" s="75" t="s">
        <v>341</v>
      </c>
      <c r="C147" s="90">
        <v>300</v>
      </c>
      <c r="D147" s="90">
        <v>133</v>
      </c>
      <c r="E147" s="90">
        <f t="shared" si="13"/>
        <v>0</v>
      </c>
    </row>
    <row r="148" spans="1:5" ht="20.25" x14ac:dyDescent="0.15">
      <c r="A148" s="90" t="s">
        <v>289</v>
      </c>
      <c r="B148" s="75" t="s">
        <v>341</v>
      </c>
      <c r="C148" s="90">
        <v>450</v>
      </c>
      <c r="D148" s="90">
        <v>174</v>
      </c>
      <c r="E148" s="90">
        <f t="shared" ref="E148:E211" si="16">+IF(AND($E$80=A148,$E$81=B148,$E$82=C148),D148,0)</f>
        <v>0</v>
      </c>
    </row>
    <row r="149" spans="1:5" ht="20.25" x14ac:dyDescent="0.15">
      <c r="A149" s="90" t="s">
        <v>289</v>
      </c>
      <c r="B149" s="75" t="s">
        <v>341</v>
      </c>
      <c r="C149" s="90">
        <v>600</v>
      </c>
      <c r="D149" s="90">
        <v>197</v>
      </c>
      <c r="E149" s="90">
        <f t="shared" si="16"/>
        <v>0</v>
      </c>
    </row>
    <row r="150" spans="1:5" ht="20.25" x14ac:dyDescent="0.15">
      <c r="A150" s="90" t="s">
        <v>289</v>
      </c>
      <c r="B150" s="75" t="s">
        <v>341</v>
      </c>
      <c r="C150" s="90">
        <v>750</v>
      </c>
      <c r="D150" s="90">
        <v>214</v>
      </c>
      <c r="E150" s="90">
        <f t="shared" si="16"/>
        <v>0</v>
      </c>
    </row>
    <row r="151" spans="1:5" ht="20.25" x14ac:dyDescent="0.15">
      <c r="A151" s="90" t="s">
        <v>289</v>
      </c>
      <c r="B151" s="75" t="s">
        <v>341</v>
      </c>
      <c r="C151" s="90">
        <v>800</v>
      </c>
      <c r="D151" s="90">
        <v>228</v>
      </c>
      <c r="E151" s="90">
        <f t="shared" si="16"/>
        <v>0</v>
      </c>
    </row>
    <row r="152" spans="1:5" x14ac:dyDescent="0.2">
      <c r="A152" s="90" t="s">
        <v>290</v>
      </c>
      <c r="B152" s="75" t="s">
        <v>343</v>
      </c>
      <c r="C152" s="90">
        <v>625</v>
      </c>
      <c r="D152" s="90">
        <v>336</v>
      </c>
      <c r="E152" s="90">
        <f t="shared" si="16"/>
        <v>0</v>
      </c>
    </row>
    <row r="153" spans="1:5" x14ac:dyDescent="0.2">
      <c r="A153" s="90" t="s">
        <v>290</v>
      </c>
      <c r="B153" s="75" t="s">
        <v>343</v>
      </c>
      <c r="C153" s="90">
        <v>775</v>
      </c>
      <c r="D153" s="90">
        <v>372</v>
      </c>
      <c r="E153" s="90">
        <f t="shared" si="16"/>
        <v>0</v>
      </c>
    </row>
    <row r="154" spans="1:5" x14ac:dyDescent="0.2">
      <c r="A154" s="90" t="s">
        <v>290</v>
      </c>
      <c r="B154" s="75" t="s">
        <v>343</v>
      </c>
      <c r="C154" s="90">
        <v>925</v>
      </c>
      <c r="D154" s="90">
        <v>415</v>
      </c>
      <c r="E154" s="90">
        <f t="shared" si="16"/>
        <v>0</v>
      </c>
    </row>
    <row r="155" spans="1:5" x14ac:dyDescent="0.2">
      <c r="A155" s="90" t="s">
        <v>290</v>
      </c>
      <c r="B155" s="75" t="s">
        <v>343</v>
      </c>
      <c r="C155" s="90">
        <v>1075</v>
      </c>
      <c r="D155" s="90">
        <v>459</v>
      </c>
      <c r="E155" s="90">
        <f t="shared" si="16"/>
        <v>0</v>
      </c>
    </row>
    <row r="156" spans="1:5" x14ac:dyDescent="0.2">
      <c r="A156" s="90" t="s">
        <v>290</v>
      </c>
      <c r="B156" s="75" t="s">
        <v>343</v>
      </c>
      <c r="C156" s="90">
        <v>1225</v>
      </c>
      <c r="D156" s="90">
        <v>495</v>
      </c>
      <c r="E156" s="90">
        <f t="shared" si="16"/>
        <v>0</v>
      </c>
    </row>
    <row r="157" spans="1:5" x14ac:dyDescent="0.2">
      <c r="A157" s="90" t="s">
        <v>291</v>
      </c>
      <c r="B157" s="75" t="s">
        <v>347</v>
      </c>
      <c r="C157" s="90">
        <v>450</v>
      </c>
      <c r="D157" s="90">
        <v>250</v>
      </c>
      <c r="E157" s="90">
        <f t="shared" si="16"/>
        <v>0</v>
      </c>
    </row>
    <row r="158" spans="1:5" x14ac:dyDescent="0.2">
      <c r="A158" s="90" t="s">
        <v>291</v>
      </c>
      <c r="B158" s="75" t="s">
        <v>347</v>
      </c>
      <c r="C158" s="90">
        <v>600</v>
      </c>
      <c r="D158" s="90">
        <v>270</v>
      </c>
      <c r="E158" s="90">
        <f t="shared" si="16"/>
        <v>0</v>
      </c>
    </row>
    <row r="159" spans="1:5" x14ac:dyDescent="0.2">
      <c r="A159" s="90" t="s">
        <v>291</v>
      </c>
      <c r="B159" s="75" t="s">
        <v>347</v>
      </c>
      <c r="C159" s="90">
        <v>625</v>
      </c>
      <c r="D159" s="90">
        <v>336</v>
      </c>
      <c r="E159" s="90">
        <f t="shared" si="16"/>
        <v>0</v>
      </c>
    </row>
    <row r="160" spans="1:5" x14ac:dyDescent="0.2">
      <c r="A160" s="90" t="s">
        <v>291</v>
      </c>
      <c r="B160" s="75" t="s">
        <v>347</v>
      </c>
      <c r="C160" s="90">
        <v>700</v>
      </c>
      <c r="D160" s="90">
        <v>295</v>
      </c>
      <c r="E160" s="90">
        <f t="shared" si="16"/>
        <v>0</v>
      </c>
    </row>
    <row r="161" spans="1:5" x14ac:dyDescent="0.2">
      <c r="A161" s="90" t="s">
        <v>291</v>
      </c>
      <c r="B161" s="75" t="s">
        <v>347</v>
      </c>
      <c r="C161" s="90">
        <v>775</v>
      </c>
      <c r="D161" s="90">
        <v>372</v>
      </c>
      <c r="E161" s="90">
        <f t="shared" si="16"/>
        <v>0</v>
      </c>
    </row>
    <row r="162" spans="1:5" x14ac:dyDescent="0.2">
      <c r="A162" s="90" t="s">
        <v>291</v>
      </c>
      <c r="B162" s="75" t="s">
        <v>347</v>
      </c>
      <c r="C162" s="90">
        <v>900</v>
      </c>
      <c r="D162" s="90">
        <v>340</v>
      </c>
      <c r="E162" s="90">
        <f t="shared" si="16"/>
        <v>0</v>
      </c>
    </row>
    <row r="163" spans="1:5" x14ac:dyDescent="0.2">
      <c r="A163" s="90" t="s">
        <v>291</v>
      </c>
      <c r="B163" s="75" t="s">
        <v>347</v>
      </c>
      <c r="C163" s="90">
        <v>925</v>
      </c>
      <c r="D163" s="90">
        <v>415</v>
      </c>
      <c r="E163" s="90">
        <f t="shared" si="16"/>
        <v>0</v>
      </c>
    </row>
    <row r="164" spans="1:5" x14ac:dyDescent="0.2">
      <c r="A164" s="90" t="s">
        <v>291</v>
      </c>
      <c r="B164" s="75" t="s">
        <v>347</v>
      </c>
      <c r="C164" s="90">
        <v>1000</v>
      </c>
      <c r="D164" s="90">
        <v>358</v>
      </c>
      <c r="E164" s="90">
        <f t="shared" si="16"/>
        <v>0</v>
      </c>
    </row>
    <row r="165" spans="1:5" x14ac:dyDescent="0.2">
      <c r="A165" s="90" t="s">
        <v>291</v>
      </c>
      <c r="B165" s="75" t="s">
        <v>347</v>
      </c>
      <c r="C165" s="90">
        <v>1075</v>
      </c>
      <c r="D165" s="90">
        <v>459</v>
      </c>
      <c r="E165" s="90">
        <f t="shared" si="16"/>
        <v>0</v>
      </c>
    </row>
    <row r="166" spans="1:5" x14ac:dyDescent="0.2">
      <c r="A166" s="90" t="s">
        <v>291</v>
      </c>
      <c r="B166" s="75" t="s">
        <v>347</v>
      </c>
      <c r="C166" s="90">
        <v>1100</v>
      </c>
      <c r="D166" s="90">
        <v>385</v>
      </c>
      <c r="E166" s="90">
        <f t="shared" si="16"/>
        <v>0</v>
      </c>
    </row>
    <row r="167" spans="1:5" x14ac:dyDescent="0.2">
      <c r="A167" s="90" t="s">
        <v>291</v>
      </c>
      <c r="B167" s="75" t="s">
        <v>347</v>
      </c>
      <c r="C167" s="90">
        <v>1200</v>
      </c>
      <c r="D167" s="90">
        <v>403</v>
      </c>
      <c r="E167" s="90">
        <f t="shared" si="16"/>
        <v>0</v>
      </c>
    </row>
    <row r="168" spans="1:5" x14ac:dyDescent="0.2">
      <c r="A168" s="90" t="s">
        <v>291</v>
      </c>
      <c r="B168" s="75" t="s">
        <v>347</v>
      </c>
      <c r="C168" s="90">
        <v>1225</v>
      </c>
      <c r="D168" s="90">
        <v>495</v>
      </c>
      <c r="E168" s="90">
        <f t="shared" si="16"/>
        <v>0</v>
      </c>
    </row>
    <row r="169" spans="1:5" x14ac:dyDescent="0.2">
      <c r="A169" s="90" t="s">
        <v>291</v>
      </c>
      <c r="B169" s="75" t="s">
        <v>346</v>
      </c>
      <c r="C169" s="90">
        <v>450</v>
      </c>
      <c r="D169" s="90">
        <v>235</v>
      </c>
      <c r="E169" s="90">
        <f t="shared" si="16"/>
        <v>0</v>
      </c>
    </row>
    <row r="170" spans="1:5" x14ac:dyDescent="0.2">
      <c r="A170" s="90" t="s">
        <v>291</v>
      </c>
      <c r="B170" s="75" t="s">
        <v>346</v>
      </c>
      <c r="C170" s="90">
        <v>600</v>
      </c>
      <c r="D170" s="90">
        <v>330</v>
      </c>
      <c r="E170" s="90">
        <f t="shared" si="16"/>
        <v>0</v>
      </c>
    </row>
    <row r="171" spans="1:5" x14ac:dyDescent="0.2">
      <c r="A171" s="90" t="s">
        <v>291</v>
      </c>
      <c r="B171" s="75" t="s">
        <v>346</v>
      </c>
      <c r="C171" s="90">
        <v>700</v>
      </c>
      <c r="D171" s="90">
        <v>400</v>
      </c>
      <c r="E171" s="90">
        <f t="shared" si="16"/>
        <v>0</v>
      </c>
    </row>
    <row r="172" spans="1:5" x14ac:dyDescent="0.2">
      <c r="A172" s="90" t="s">
        <v>291</v>
      </c>
      <c r="B172" s="75" t="s">
        <v>346</v>
      </c>
      <c r="C172" s="90">
        <v>750</v>
      </c>
      <c r="D172" s="90">
        <v>400</v>
      </c>
      <c r="E172" s="90">
        <f t="shared" si="16"/>
        <v>0</v>
      </c>
    </row>
    <row r="173" spans="1:5" x14ac:dyDescent="0.2">
      <c r="A173" s="90" t="s">
        <v>291</v>
      </c>
      <c r="B173" s="75" t="s">
        <v>346</v>
      </c>
      <c r="C173" s="90">
        <v>900</v>
      </c>
      <c r="D173" s="90">
        <v>540</v>
      </c>
      <c r="E173" s="90">
        <f t="shared" si="16"/>
        <v>0</v>
      </c>
    </row>
    <row r="174" spans="1:5" x14ac:dyDescent="0.2">
      <c r="A174" s="90" t="s">
        <v>291</v>
      </c>
      <c r="B174" s="75" t="s">
        <v>346</v>
      </c>
      <c r="C174" s="90">
        <v>1000</v>
      </c>
      <c r="D174" s="90">
        <v>610</v>
      </c>
      <c r="E174" s="90">
        <f t="shared" si="16"/>
        <v>0</v>
      </c>
    </row>
    <row r="175" spans="1:5" x14ac:dyDescent="0.2">
      <c r="A175" s="90" t="s">
        <v>291</v>
      </c>
      <c r="B175" s="75" t="s">
        <v>324</v>
      </c>
      <c r="C175" s="90">
        <v>450</v>
      </c>
      <c r="D175" s="90">
        <v>235</v>
      </c>
      <c r="E175" s="90">
        <f t="shared" si="16"/>
        <v>0</v>
      </c>
    </row>
    <row r="176" spans="1:5" x14ac:dyDescent="0.2">
      <c r="A176" s="90" t="s">
        <v>291</v>
      </c>
      <c r="B176" s="75" t="s">
        <v>324</v>
      </c>
      <c r="C176" s="90">
        <v>600</v>
      </c>
      <c r="D176" s="90">
        <v>330</v>
      </c>
      <c r="E176" s="90">
        <f t="shared" si="16"/>
        <v>0</v>
      </c>
    </row>
    <row r="177" spans="1:5" x14ac:dyDescent="0.2">
      <c r="A177" s="90" t="s">
        <v>291</v>
      </c>
      <c r="B177" s="75" t="s">
        <v>324</v>
      </c>
      <c r="C177" s="90">
        <v>700</v>
      </c>
      <c r="D177" s="90">
        <v>400</v>
      </c>
      <c r="E177" s="90">
        <f t="shared" si="16"/>
        <v>0</v>
      </c>
    </row>
    <row r="178" spans="1:5" x14ac:dyDescent="0.2">
      <c r="A178" s="90" t="s">
        <v>291</v>
      </c>
      <c r="B178" s="75" t="s">
        <v>324</v>
      </c>
      <c r="C178" s="90">
        <v>750</v>
      </c>
      <c r="D178" s="90">
        <v>440</v>
      </c>
      <c r="E178" s="90">
        <f t="shared" si="16"/>
        <v>0</v>
      </c>
    </row>
    <row r="179" spans="1:5" x14ac:dyDescent="0.2">
      <c r="A179" s="90" t="s">
        <v>291</v>
      </c>
      <c r="B179" s="75" t="s">
        <v>324</v>
      </c>
      <c r="C179" s="90">
        <v>900</v>
      </c>
      <c r="D179" s="90">
        <v>540</v>
      </c>
      <c r="E179" s="90">
        <f t="shared" si="16"/>
        <v>0</v>
      </c>
    </row>
    <row r="180" spans="1:5" x14ac:dyDescent="0.2">
      <c r="A180" s="90" t="s">
        <v>291</v>
      </c>
      <c r="B180" s="75" t="s">
        <v>324</v>
      </c>
      <c r="C180" s="90">
        <v>1000</v>
      </c>
      <c r="D180" s="90">
        <v>550</v>
      </c>
      <c r="E180" s="90">
        <f t="shared" si="16"/>
        <v>0</v>
      </c>
    </row>
    <row r="181" spans="1:5" x14ac:dyDescent="0.2">
      <c r="A181" s="90" t="s">
        <v>291</v>
      </c>
      <c r="B181" s="75" t="s">
        <v>324</v>
      </c>
      <c r="C181" s="90">
        <v>1000</v>
      </c>
      <c r="D181" s="90">
        <v>610</v>
      </c>
      <c r="E181" s="90">
        <f t="shared" si="16"/>
        <v>0</v>
      </c>
    </row>
    <row r="182" spans="1:5" x14ac:dyDescent="0.2">
      <c r="A182" s="90" t="s">
        <v>291</v>
      </c>
      <c r="B182" s="75" t="s">
        <v>324</v>
      </c>
      <c r="C182" s="90">
        <v>1100</v>
      </c>
      <c r="D182" s="90">
        <v>680</v>
      </c>
      <c r="E182" s="90">
        <f t="shared" si="16"/>
        <v>0</v>
      </c>
    </row>
    <row r="183" spans="1:5" x14ac:dyDescent="0.2">
      <c r="A183" s="90" t="s">
        <v>291</v>
      </c>
      <c r="B183" s="75" t="s">
        <v>324</v>
      </c>
      <c r="C183" s="90">
        <v>1200</v>
      </c>
      <c r="D183" s="90">
        <v>750</v>
      </c>
      <c r="E183" s="90">
        <f t="shared" si="16"/>
        <v>0</v>
      </c>
    </row>
    <row r="184" spans="1:5" ht="20.25" x14ac:dyDescent="0.15">
      <c r="A184" s="90" t="s">
        <v>291</v>
      </c>
      <c r="B184" s="75" t="s">
        <v>344</v>
      </c>
      <c r="C184" s="90">
        <v>450</v>
      </c>
      <c r="D184" s="90">
        <v>235</v>
      </c>
      <c r="E184" s="90">
        <f t="shared" si="16"/>
        <v>0</v>
      </c>
    </row>
    <row r="185" spans="1:5" ht="20.25" x14ac:dyDescent="0.15">
      <c r="A185" s="90" t="s">
        <v>291</v>
      </c>
      <c r="B185" s="75" t="s">
        <v>344</v>
      </c>
      <c r="C185" s="90">
        <v>600</v>
      </c>
      <c r="D185" s="90">
        <v>330</v>
      </c>
      <c r="E185" s="90">
        <f t="shared" si="16"/>
        <v>0</v>
      </c>
    </row>
    <row r="186" spans="1:5" ht="20.25" x14ac:dyDescent="0.15">
      <c r="A186" s="90" t="s">
        <v>291</v>
      </c>
      <c r="B186" s="75" t="s">
        <v>344</v>
      </c>
      <c r="C186" s="90">
        <v>700</v>
      </c>
      <c r="D186" s="90">
        <v>400</v>
      </c>
      <c r="E186" s="90">
        <f t="shared" si="16"/>
        <v>0</v>
      </c>
    </row>
    <row r="187" spans="1:5" ht="20.25" x14ac:dyDescent="0.15">
      <c r="A187" s="90" t="s">
        <v>291</v>
      </c>
      <c r="B187" s="75" t="s">
        <v>344</v>
      </c>
      <c r="C187" s="90">
        <v>750</v>
      </c>
      <c r="D187" s="90">
        <v>440</v>
      </c>
      <c r="E187" s="90">
        <f t="shared" si="16"/>
        <v>0</v>
      </c>
    </row>
    <row r="188" spans="1:5" ht="20.25" x14ac:dyDescent="0.15">
      <c r="A188" s="90" t="s">
        <v>291</v>
      </c>
      <c r="B188" s="75" t="s">
        <v>344</v>
      </c>
      <c r="C188" s="90">
        <v>900</v>
      </c>
      <c r="D188" s="90">
        <v>540</v>
      </c>
      <c r="E188" s="90">
        <f t="shared" si="16"/>
        <v>0</v>
      </c>
    </row>
    <row r="189" spans="1:5" ht="20.25" x14ac:dyDescent="0.15">
      <c r="A189" s="90" t="s">
        <v>291</v>
      </c>
      <c r="B189" s="75" t="s">
        <v>344</v>
      </c>
      <c r="C189" s="90">
        <v>1000</v>
      </c>
      <c r="D189" s="90">
        <v>610</v>
      </c>
      <c r="E189" s="90">
        <f t="shared" si="16"/>
        <v>0</v>
      </c>
    </row>
    <row r="190" spans="1:5" ht="20.25" x14ac:dyDescent="0.15">
      <c r="A190" s="90" t="s">
        <v>291</v>
      </c>
      <c r="B190" s="75" t="s">
        <v>344</v>
      </c>
      <c r="C190" s="90">
        <v>1100</v>
      </c>
      <c r="D190" s="90">
        <v>680</v>
      </c>
      <c r="E190" s="90">
        <f t="shared" si="16"/>
        <v>0</v>
      </c>
    </row>
    <row r="191" spans="1:5" x14ac:dyDescent="0.2">
      <c r="A191" s="90" t="s">
        <v>291</v>
      </c>
      <c r="B191" s="75" t="s">
        <v>345</v>
      </c>
      <c r="C191" s="90">
        <v>1500</v>
      </c>
      <c r="D191" s="90">
        <v>400</v>
      </c>
      <c r="E191" s="90">
        <f t="shared" si="16"/>
        <v>0</v>
      </c>
    </row>
    <row r="192" spans="1:5" x14ac:dyDescent="0.2">
      <c r="A192" s="90" t="s">
        <v>291</v>
      </c>
      <c r="B192" s="75" t="s">
        <v>345</v>
      </c>
      <c r="C192" s="90">
        <v>1600</v>
      </c>
      <c r="D192" s="90">
        <v>330</v>
      </c>
      <c r="E192" s="90">
        <f t="shared" si="16"/>
        <v>0</v>
      </c>
    </row>
    <row r="193" spans="1:5" x14ac:dyDescent="0.2">
      <c r="A193" s="90" t="s">
        <v>291</v>
      </c>
      <c r="B193" s="75" t="s">
        <v>345</v>
      </c>
      <c r="C193" s="90">
        <v>1800</v>
      </c>
      <c r="D193" s="90">
        <v>370</v>
      </c>
      <c r="E193" s="90">
        <f t="shared" si="16"/>
        <v>0</v>
      </c>
    </row>
    <row r="194" spans="1:5" x14ac:dyDescent="0.2">
      <c r="A194" s="90" t="s">
        <v>291</v>
      </c>
      <c r="B194" s="75" t="s">
        <v>345</v>
      </c>
      <c r="C194" s="90">
        <v>2000</v>
      </c>
      <c r="D194" s="90">
        <v>330</v>
      </c>
      <c r="E194" s="90">
        <f t="shared" si="16"/>
        <v>0</v>
      </c>
    </row>
    <row r="195" spans="1:5" x14ac:dyDescent="0.2">
      <c r="A195" s="90" t="s">
        <v>291</v>
      </c>
      <c r="B195" s="75" t="s">
        <v>292</v>
      </c>
      <c r="C195" s="90">
        <v>1200</v>
      </c>
      <c r="D195" s="90">
        <v>395</v>
      </c>
      <c r="E195" s="90">
        <f t="shared" si="16"/>
        <v>0</v>
      </c>
    </row>
    <row r="196" spans="1:5" x14ac:dyDescent="0.2">
      <c r="A196" s="90" t="s">
        <v>291</v>
      </c>
      <c r="B196" s="75" t="s">
        <v>292</v>
      </c>
      <c r="C196" s="90">
        <v>1600</v>
      </c>
      <c r="D196" s="90">
        <v>465</v>
      </c>
      <c r="E196" s="90">
        <f t="shared" si="16"/>
        <v>0</v>
      </c>
    </row>
    <row r="197" spans="1:5" x14ac:dyDescent="0.2">
      <c r="A197" s="90" t="s">
        <v>291</v>
      </c>
      <c r="B197" s="75" t="s">
        <v>292</v>
      </c>
      <c r="C197" s="90">
        <v>1800</v>
      </c>
      <c r="D197" s="90">
        <v>530</v>
      </c>
      <c r="E197" s="90">
        <f t="shared" si="16"/>
        <v>0</v>
      </c>
    </row>
    <row r="198" spans="1:5" x14ac:dyDescent="0.2">
      <c r="A198" s="90" t="s">
        <v>291</v>
      </c>
      <c r="B198" s="75" t="s">
        <v>292</v>
      </c>
      <c r="C198" s="90">
        <v>2000</v>
      </c>
      <c r="D198" s="90">
        <v>605</v>
      </c>
      <c r="E198" s="90">
        <f t="shared" si="16"/>
        <v>0</v>
      </c>
    </row>
    <row r="199" spans="1:5" x14ac:dyDescent="0.2">
      <c r="A199" s="90" t="s">
        <v>291</v>
      </c>
      <c r="B199" s="75" t="s">
        <v>348</v>
      </c>
      <c r="C199" s="90">
        <v>1200</v>
      </c>
      <c r="D199" s="90">
        <v>395</v>
      </c>
      <c r="E199" s="90">
        <f t="shared" si="16"/>
        <v>0</v>
      </c>
    </row>
    <row r="200" spans="1:5" x14ac:dyDescent="0.2">
      <c r="A200" s="90" t="s">
        <v>291</v>
      </c>
      <c r="B200" s="75" t="s">
        <v>348</v>
      </c>
      <c r="C200" s="90">
        <v>1400</v>
      </c>
      <c r="D200" s="90">
        <v>465</v>
      </c>
      <c r="E200" s="90">
        <f t="shared" si="16"/>
        <v>0</v>
      </c>
    </row>
    <row r="201" spans="1:5" x14ac:dyDescent="0.2">
      <c r="A201" s="90" t="s">
        <v>291</v>
      </c>
      <c r="B201" s="75" t="s">
        <v>348</v>
      </c>
      <c r="C201" s="90">
        <v>1600</v>
      </c>
      <c r="D201" s="90">
        <v>530</v>
      </c>
      <c r="E201" s="90">
        <f t="shared" si="16"/>
        <v>0</v>
      </c>
    </row>
    <row r="202" spans="1:5" x14ac:dyDescent="0.2">
      <c r="A202" s="90" t="s">
        <v>291</v>
      </c>
      <c r="B202" s="75" t="s">
        <v>348</v>
      </c>
      <c r="C202" s="90">
        <v>1800</v>
      </c>
      <c r="D202" s="90">
        <v>605</v>
      </c>
      <c r="E202" s="90">
        <f t="shared" si="16"/>
        <v>0</v>
      </c>
    </row>
    <row r="203" spans="1:5" x14ac:dyDescent="0.2">
      <c r="A203" s="90" t="s">
        <v>293</v>
      </c>
      <c r="B203" s="75" t="s">
        <v>294</v>
      </c>
      <c r="C203" s="90">
        <v>625</v>
      </c>
      <c r="D203" s="90">
        <v>350</v>
      </c>
      <c r="E203" s="90">
        <f t="shared" si="16"/>
        <v>0</v>
      </c>
    </row>
    <row r="204" spans="1:5" x14ac:dyDescent="0.2">
      <c r="A204" s="90" t="s">
        <v>293</v>
      </c>
      <c r="B204" s="75" t="s">
        <v>294</v>
      </c>
      <c r="C204" s="90">
        <v>775</v>
      </c>
      <c r="D204" s="90">
        <v>460</v>
      </c>
      <c r="E204" s="90">
        <f t="shared" si="16"/>
        <v>0</v>
      </c>
    </row>
    <row r="205" spans="1:5" x14ac:dyDescent="0.2">
      <c r="A205" s="90" t="s">
        <v>293</v>
      </c>
      <c r="B205" s="75" t="s">
        <v>294</v>
      </c>
      <c r="C205" s="90">
        <v>925</v>
      </c>
      <c r="D205" s="90">
        <v>570</v>
      </c>
      <c r="E205" s="90">
        <f t="shared" si="16"/>
        <v>0</v>
      </c>
    </row>
    <row r="206" spans="1:5" x14ac:dyDescent="0.2">
      <c r="A206" s="90" t="s">
        <v>293</v>
      </c>
      <c r="B206" s="75" t="s">
        <v>294</v>
      </c>
      <c r="C206" s="90">
        <v>1075</v>
      </c>
      <c r="D206" s="90">
        <v>670</v>
      </c>
      <c r="E206" s="90">
        <f t="shared" si="16"/>
        <v>0</v>
      </c>
    </row>
    <row r="207" spans="1:5" x14ac:dyDescent="0.2">
      <c r="A207" s="90" t="s">
        <v>293</v>
      </c>
      <c r="B207" s="75" t="s">
        <v>294</v>
      </c>
      <c r="C207" s="90">
        <v>1225</v>
      </c>
      <c r="D207" s="90">
        <v>780</v>
      </c>
      <c r="E207" s="90">
        <f t="shared" si="16"/>
        <v>0</v>
      </c>
    </row>
    <row r="208" spans="1:5" x14ac:dyDescent="0.2">
      <c r="A208" s="90" t="s">
        <v>296</v>
      </c>
      <c r="B208" s="75" t="s">
        <v>349</v>
      </c>
      <c r="C208" s="90">
        <v>610</v>
      </c>
      <c r="D208" s="90">
        <v>380</v>
      </c>
      <c r="E208" s="90">
        <f t="shared" si="16"/>
        <v>0</v>
      </c>
    </row>
    <row r="209" spans="1:5" x14ac:dyDescent="0.2">
      <c r="A209" s="90" t="s">
        <v>297</v>
      </c>
      <c r="B209" s="75" t="s">
        <v>352</v>
      </c>
      <c r="C209" s="90">
        <v>760</v>
      </c>
      <c r="D209" s="90">
        <v>500</v>
      </c>
      <c r="E209" s="90">
        <f t="shared" si="16"/>
        <v>0</v>
      </c>
    </row>
    <row r="210" spans="1:5" x14ac:dyDescent="0.2">
      <c r="A210" s="90" t="s">
        <v>297</v>
      </c>
      <c r="B210" s="75" t="s">
        <v>352</v>
      </c>
      <c r="C210" s="90">
        <v>914</v>
      </c>
      <c r="D210" s="90">
        <v>610</v>
      </c>
      <c r="E210" s="90">
        <f t="shared" si="16"/>
        <v>0</v>
      </c>
    </row>
    <row r="211" spans="1:5" x14ac:dyDescent="0.2">
      <c r="A211" s="90" t="s">
        <v>297</v>
      </c>
      <c r="B211" s="75" t="s">
        <v>352</v>
      </c>
      <c r="C211" s="90">
        <v>1067</v>
      </c>
      <c r="D211" s="90">
        <v>690</v>
      </c>
      <c r="E211" s="90">
        <f t="shared" si="16"/>
        <v>0</v>
      </c>
    </row>
    <row r="212" spans="1:5" x14ac:dyDescent="0.2">
      <c r="A212" s="90" t="s">
        <v>297</v>
      </c>
      <c r="B212" s="75" t="s">
        <v>352</v>
      </c>
      <c r="C212" s="90">
        <v>1219</v>
      </c>
      <c r="D212" s="90">
        <v>840</v>
      </c>
      <c r="E212" s="90">
        <f t="shared" ref="E212:E275" si="17">+IF(AND($E$80=A212,$E$81=B212,$E$82=C212),D212,0)</f>
        <v>0</v>
      </c>
    </row>
    <row r="213" spans="1:5" x14ac:dyDescent="0.2">
      <c r="A213" s="90" t="s">
        <v>297</v>
      </c>
      <c r="B213" s="75" t="s">
        <v>330</v>
      </c>
      <c r="C213" s="90">
        <v>600</v>
      </c>
      <c r="D213" s="90">
        <v>350</v>
      </c>
      <c r="E213" s="90">
        <f t="shared" si="17"/>
        <v>0</v>
      </c>
    </row>
    <row r="214" spans="1:5" x14ac:dyDescent="0.2">
      <c r="A214" s="90" t="s">
        <v>297</v>
      </c>
      <c r="B214" s="75" t="s">
        <v>330</v>
      </c>
      <c r="C214" s="90">
        <v>600</v>
      </c>
      <c r="D214" s="90">
        <v>350</v>
      </c>
      <c r="E214" s="90">
        <f t="shared" si="17"/>
        <v>0</v>
      </c>
    </row>
    <row r="215" spans="1:5" x14ac:dyDescent="0.2">
      <c r="A215" s="90" t="s">
        <v>297</v>
      </c>
      <c r="B215" s="75" t="s">
        <v>330</v>
      </c>
      <c r="C215" s="90">
        <v>750</v>
      </c>
      <c r="D215" s="90">
        <v>47</v>
      </c>
      <c r="E215" s="90">
        <f t="shared" si="17"/>
        <v>0</v>
      </c>
    </row>
    <row r="216" spans="1:5" x14ac:dyDescent="0.2">
      <c r="A216" s="90" t="s">
        <v>297</v>
      </c>
      <c r="B216" s="75" t="s">
        <v>330</v>
      </c>
      <c r="C216" s="90">
        <v>750</v>
      </c>
      <c r="D216" s="90">
        <v>470</v>
      </c>
      <c r="E216" s="90">
        <f t="shared" si="17"/>
        <v>0</v>
      </c>
    </row>
    <row r="217" spans="1:5" x14ac:dyDescent="0.2">
      <c r="A217" s="90" t="s">
        <v>297</v>
      </c>
      <c r="B217" s="75" t="s">
        <v>330</v>
      </c>
      <c r="C217" s="90">
        <v>850</v>
      </c>
      <c r="D217" s="90">
        <v>560</v>
      </c>
      <c r="E217" s="90">
        <f t="shared" si="17"/>
        <v>0</v>
      </c>
    </row>
    <row r="218" spans="1:5" x14ac:dyDescent="0.2">
      <c r="A218" s="90" t="s">
        <v>297</v>
      </c>
      <c r="B218" s="75" t="s">
        <v>330</v>
      </c>
      <c r="C218" s="90">
        <v>850</v>
      </c>
      <c r="D218" s="90">
        <v>560</v>
      </c>
      <c r="E218" s="90">
        <f t="shared" si="17"/>
        <v>0</v>
      </c>
    </row>
    <row r="219" spans="1:5" x14ac:dyDescent="0.2">
      <c r="A219" s="90" t="s">
        <v>297</v>
      </c>
      <c r="B219" s="75" t="s">
        <v>330</v>
      </c>
      <c r="C219" s="90">
        <v>1000</v>
      </c>
      <c r="D219" s="90">
        <v>680</v>
      </c>
      <c r="E219" s="90">
        <f t="shared" si="17"/>
        <v>0</v>
      </c>
    </row>
    <row r="220" spans="1:5" x14ac:dyDescent="0.2">
      <c r="A220" s="90" t="s">
        <v>297</v>
      </c>
      <c r="B220" s="75" t="s">
        <v>330</v>
      </c>
      <c r="C220" s="90">
        <v>1000</v>
      </c>
      <c r="D220" s="90">
        <v>680</v>
      </c>
      <c r="E220" s="90">
        <f t="shared" si="17"/>
        <v>0</v>
      </c>
    </row>
    <row r="221" spans="1:5" x14ac:dyDescent="0.2">
      <c r="A221" s="90" t="s">
        <v>297</v>
      </c>
      <c r="B221" s="75" t="s">
        <v>330</v>
      </c>
      <c r="C221" s="90">
        <v>1100</v>
      </c>
      <c r="D221" s="90">
        <v>770</v>
      </c>
      <c r="E221" s="90">
        <f t="shared" si="17"/>
        <v>0</v>
      </c>
    </row>
    <row r="222" spans="1:5" x14ac:dyDescent="0.2">
      <c r="A222" s="90" t="s">
        <v>297</v>
      </c>
      <c r="B222" s="75" t="s">
        <v>330</v>
      </c>
      <c r="C222" s="90">
        <v>1100</v>
      </c>
      <c r="D222" s="90">
        <v>770</v>
      </c>
      <c r="E222" s="90">
        <f t="shared" si="17"/>
        <v>0</v>
      </c>
    </row>
    <row r="223" spans="1:5" x14ac:dyDescent="0.2">
      <c r="A223" s="90" t="s">
        <v>297</v>
      </c>
      <c r="B223" s="75" t="s">
        <v>330</v>
      </c>
      <c r="C223" s="90">
        <v>1200</v>
      </c>
      <c r="D223" s="90">
        <v>860</v>
      </c>
      <c r="E223" s="90">
        <f t="shared" si="17"/>
        <v>0</v>
      </c>
    </row>
    <row r="224" spans="1:5" x14ac:dyDescent="0.2">
      <c r="A224" s="90" t="s">
        <v>297</v>
      </c>
      <c r="B224" s="75" t="s">
        <v>330</v>
      </c>
      <c r="C224" s="90">
        <v>1200</v>
      </c>
      <c r="D224" s="90">
        <v>860</v>
      </c>
      <c r="E224" s="90">
        <f t="shared" si="17"/>
        <v>0</v>
      </c>
    </row>
    <row r="225" spans="1:5" x14ac:dyDescent="0.2">
      <c r="A225" s="90" t="s">
        <v>297</v>
      </c>
      <c r="B225" s="75" t="s">
        <v>330</v>
      </c>
      <c r="C225" s="90">
        <v>1300</v>
      </c>
      <c r="D225" s="90">
        <v>930</v>
      </c>
      <c r="E225" s="90">
        <f t="shared" si="17"/>
        <v>0</v>
      </c>
    </row>
    <row r="226" spans="1:5" x14ac:dyDescent="0.2">
      <c r="A226" s="90" t="s">
        <v>297</v>
      </c>
      <c r="B226" s="75" t="s">
        <v>330</v>
      </c>
      <c r="C226" s="90">
        <v>1300</v>
      </c>
      <c r="D226" s="90">
        <v>930</v>
      </c>
      <c r="E226" s="90">
        <f t="shared" si="17"/>
        <v>0</v>
      </c>
    </row>
    <row r="227" spans="1:5" x14ac:dyDescent="0.2">
      <c r="A227" s="90" t="s">
        <v>297</v>
      </c>
      <c r="B227" s="75" t="s">
        <v>330</v>
      </c>
      <c r="C227" s="90">
        <v>1300</v>
      </c>
      <c r="D227" s="90">
        <v>1000</v>
      </c>
      <c r="E227" s="90">
        <f t="shared" si="17"/>
        <v>0</v>
      </c>
    </row>
    <row r="228" spans="1:5" x14ac:dyDescent="0.2">
      <c r="A228" s="90" t="s">
        <v>297</v>
      </c>
      <c r="B228" s="75" t="s">
        <v>330</v>
      </c>
      <c r="C228" s="90">
        <v>1300</v>
      </c>
      <c r="D228" s="90">
        <v>1000</v>
      </c>
      <c r="E228" s="90">
        <f t="shared" si="17"/>
        <v>0</v>
      </c>
    </row>
    <row r="229" spans="1:5" ht="20.25" x14ac:dyDescent="0.15">
      <c r="A229" s="90" t="s">
        <v>297</v>
      </c>
      <c r="B229" s="75" t="s">
        <v>350</v>
      </c>
      <c r="C229" s="90">
        <v>600</v>
      </c>
      <c r="D229" s="90">
        <v>350</v>
      </c>
      <c r="E229" s="90">
        <f t="shared" si="17"/>
        <v>0</v>
      </c>
    </row>
    <row r="230" spans="1:5" ht="20.25" x14ac:dyDescent="0.15">
      <c r="A230" s="90" t="s">
        <v>297</v>
      </c>
      <c r="B230" s="75" t="s">
        <v>350</v>
      </c>
      <c r="C230" s="90">
        <v>600</v>
      </c>
      <c r="D230" s="90">
        <v>350</v>
      </c>
      <c r="E230" s="90">
        <f t="shared" si="17"/>
        <v>0</v>
      </c>
    </row>
    <row r="231" spans="1:5" ht="20.25" x14ac:dyDescent="0.15">
      <c r="A231" s="90" t="s">
        <v>297</v>
      </c>
      <c r="B231" s="75" t="s">
        <v>350</v>
      </c>
      <c r="C231" s="90">
        <v>750</v>
      </c>
      <c r="D231" s="90">
        <v>470</v>
      </c>
      <c r="E231" s="90">
        <f t="shared" si="17"/>
        <v>0</v>
      </c>
    </row>
    <row r="232" spans="1:5" ht="20.25" x14ac:dyDescent="0.15">
      <c r="A232" s="90" t="s">
        <v>297</v>
      </c>
      <c r="B232" s="75" t="s">
        <v>350</v>
      </c>
      <c r="C232" s="90">
        <v>750</v>
      </c>
      <c r="D232" s="90">
        <v>470</v>
      </c>
      <c r="E232" s="90">
        <f t="shared" si="17"/>
        <v>0</v>
      </c>
    </row>
    <row r="233" spans="1:5" ht="20.25" x14ac:dyDescent="0.15">
      <c r="A233" s="90" t="s">
        <v>297</v>
      </c>
      <c r="B233" s="75" t="s">
        <v>350</v>
      </c>
      <c r="C233" s="90">
        <v>850</v>
      </c>
      <c r="D233" s="90">
        <v>560</v>
      </c>
      <c r="E233" s="90">
        <f t="shared" si="17"/>
        <v>0</v>
      </c>
    </row>
    <row r="234" spans="1:5" ht="20.25" x14ac:dyDescent="0.15">
      <c r="A234" s="90" t="s">
        <v>297</v>
      </c>
      <c r="B234" s="75" t="s">
        <v>350</v>
      </c>
      <c r="C234" s="90">
        <v>850</v>
      </c>
      <c r="D234" s="90">
        <v>560</v>
      </c>
      <c r="E234" s="90">
        <f t="shared" si="17"/>
        <v>0</v>
      </c>
    </row>
    <row r="235" spans="1:5" ht="20.25" x14ac:dyDescent="0.15">
      <c r="A235" s="90" t="s">
        <v>297</v>
      </c>
      <c r="B235" s="75" t="s">
        <v>350</v>
      </c>
      <c r="C235" s="90">
        <v>1000</v>
      </c>
      <c r="D235" s="90">
        <v>680</v>
      </c>
      <c r="E235" s="90">
        <f t="shared" si="17"/>
        <v>0</v>
      </c>
    </row>
    <row r="236" spans="1:5" ht="20.25" x14ac:dyDescent="0.15">
      <c r="A236" s="90" t="s">
        <v>297</v>
      </c>
      <c r="B236" s="75" t="s">
        <v>350</v>
      </c>
      <c r="C236" s="90">
        <v>1000</v>
      </c>
      <c r="D236" s="90">
        <v>680</v>
      </c>
      <c r="E236" s="90">
        <f t="shared" si="17"/>
        <v>0</v>
      </c>
    </row>
    <row r="237" spans="1:5" ht="20.25" x14ac:dyDescent="0.15">
      <c r="A237" s="90" t="s">
        <v>297</v>
      </c>
      <c r="B237" s="75" t="s">
        <v>350</v>
      </c>
      <c r="C237" s="90">
        <v>1100</v>
      </c>
      <c r="D237" s="90">
        <v>770</v>
      </c>
      <c r="E237" s="90">
        <f t="shared" si="17"/>
        <v>0</v>
      </c>
    </row>
    <row r="238" spans="1:5" ht="20.25" x14ac:dyDescent="0.15">
      <c r="A238" s="90" t="s">
        <v>297</v>
      </c>
      <c r="B238" s="75" t="s">
        <v>350</v>
      </c>
      <c r="C238" s="90">
        <v>1200</v>
      </c>
      <c r="D238" s="90">
        <v>860</v>
      </c>
      <c r="E238" s="90">
        <f t="shared" si="17"/>
        <v>0</v>
      </c>
    </row>
    <row r="239" spans="1:5" ht="20.25" x14ac:dyDescent="0.15">
      <c r="A239" s="90" t="s">
        <v>297</v>
      </c>
      <c r="B239" s="75" t="s">
        <v>350</v>
      </c>
      <c r="C239" s="90">
        <v>1200</v>
      </c>
      <c r="D239" s="90">
        <v>860</v>
      </c>
      <c r="E239" s="90">
        <f t="shared" si="17"/>
        <v>0</v>
      </c>
    </row>
    <row r="240" spans="1:5" x14ac:dyDescent="0.2">
      <c r="A240" s="90" t="s">
        <v>297</v>
      </c>
      <c r="B240" s="75" t="s">
        <v>351</v>
      </c>
      <c r="C240" s="90">
        <v>1600</v>
      </c>
      <c r="D240" s="90">
        <v>330</v>
      </c>
      <c r="E240" s="90">
        <f t="shared" si="17"/>
        <v>0</v>
      </c>
    </row>
    <row r="241" spans="1:5" x14ac:dyDescent="0.2">
      <c r="A241" s="90" t="s">
        <v>297</v>
      </c>
      <c r="B241" s="75" t="s">
        <v>351</v>
      </c>
      <c r="C241" s="90">
        <v>1800</v>
      </c>
      <c r="D241" s="90">
        <v>370</v>
      </c>
      <c r="E241" s="90">
        <f t="shared" si="17"/>
        <v>0</v>
      </c>
    </row>
    <row r="242" spans="1:5" x14ac:dyDescent="0.2">
      <c r="A242" s="90" t="s">
        <v>297</v>
      </c>
      <c r="B242" s="75" t="s">
        <v>351</v>
      </c>
      <c r="C242" s="90">
        <v>1800</v>
      </c>
      <c r="D242" s="90">
        <v>370</v>
      </c>
      <c r="E242" s="90">
        <f t="shared" si="17"/>
        <v>0</v>
      </c>
    </row>
    <row r="243" spans="1:5" x14ac:dyDescent="0.2">
      <c r="A243" s="90" t="s">
        <v>297</v>
      </c>
      <c r="B243" s="75" t="s">
        <v>351</v>
      </c>
      <c r="C243" s="90">
        <v>2000</v>
      </c>
      <c r="D243" s="90">
        <v>410</v>
      </c>
      <c r="E243" s="90">
        <f t="shared" si="17"/>
        <v>0</v>
      </c>
    </row>
    <row r="244" spans="1:5" x14ac:dyDescent="0.2">
      <c r="A244" s="90" t="s">
        <v>297</v>
      </c>
      <c r="B244" s="75" t="s">
        <v>351</v>
      </c>
      <c r="C244" s="90">
        <v>2000</v>
      </c>
      <c r="D244" s="90">
        <v>410</v>
      </c>
      <c r="E244" s="90">
        <f t="shared" si="17"/>
        <v>0</v>
      </c>
    </row>
    <row r="245" spans="1:5" x14ac:dyDescent="0.2">
      <c r="A245" s="90" t="s">
        <v>297</v>
      </c>
      <c r="B245" s="75" t="s">
        <v>334</v>
      </c>
      <c r="C245" s="90">
        <v>1200</v>
      </c>
      <c r="D245" s="90">
        <v>395</v>
      </c>
      <c r="E245" s="90">
        <f t="shared" si="17"/>
        <v>0</v>
      </c>
    </row>
    <row r="246" spans="1:5" x14ac:dyDescent="0.2">
      <c r="A246" s="90" t="s">
        <v>297</v>
      </c>
      <c r="B246" s="75" t="s">
        <v>334</v>
      </c>
      <c r="C246" s="90">
        <v>1400</v>
      </c>
      <c r="D246" s="90">
        <v>465</v>
      </c>
      <c r="E246" s="90">
        <f t="shared" si="17"/>
        <v>0</v>
      </c>
    </row>
    <row r="247" spans="1:5" x14ac:dyDescent="0.2">
      <c r="A247" s="90" t="s">
        <v>297</v>
      </c>
      <c r="B247" s="75" t="s">
        <v>334</v>
      </c>
      <c r="C247" s="90">
        <v>1600</v>
      </c>
      <c r="D247" s="90">
        <v>535</v>
      </c>
      <c r="E247" s="90">
        <f t="shared" si="17"/>
        <v>0</v>
      </c>
    </row>
    <row r="248" spans="1:5" x14ac:dyDescent="0.2">
      <c r="A248" s="90" t="s">
        <v>297</v>
      </c>
      <c r="B248" s="75" t="s">
        <v>334</v>
      </c>
      <c r="C248" s="90">
        <v>1800</v>
      </c>
      <c r="D248" s="90">
        <v>605</v>
      </c>
      <c r="E248" s="90">
        <f t="shared" si="17"/>
        <v>0</v>
      </c>
    </row>
    <row r="249" spans="1:5" x14ac:dyDescent="0.2">
      <c r="A249" s="90" t="s">
        <v>297</v>
      </c>
      <c r="B249" s="75" t="s">
        <v>298</v>
      </c>
      <c r="C249" s="90">
        <v>500</v>
      </c>
      <c r="D249" s="90">
        <v>380</v>
      </c>
      <c r="E249" s="90">
        <f t="shared" si="17"/>
        <v>0</v>
      </c>
    </row>
    <row r="250" spans="1:5" x14ac:dyDescent="0.2">
      <c r="A250" s="90" t="s">
        <v>297</v>
      </c>
      <c r="B250" s="75" t="s">
        <v>298</v>
      </c>
      <c r="C250" s="90">
        <v>500</v>
      </c>
      <c r="D250" s="90">
        <v>510</v>
      </c>
      <c r="E250" s="90">
        <f t="shared" si="17"/>
        <v>0</v>
      </c>
    </row>
    <row r="251" spans="1:5" x14ac:dyDescent="0.2">
      <c r="A251" s="90" t="s">
        <v>297</v>
      </c>
      <c r="B251" s="75" t="s">
        <v>298</v>
      </c>
      <c r="C251" s="90">
        <v>2400</v>
      </c>
      <c r="D251" s="90">
        <v>380</v>
      </c>
      <c r="E251" s="90">
        <f t="shared" si="17"/>
        <v>0</v>
      </c>
    </row>
    <row r="252" spans="1:5" x14ac:dyDescent="0.2">
      <c r="A252" s="90" t="s">
        <v>297</v>
      </c>
      <c r="B252" s="75" t="s">
        <v>298</v>
      </c>
      <c r="C252" s="90">
        <v>3350</v>
      </c>
      <c r="D252" s="90">
        <v>510</v>
      </c>
      <c r="E252" s="90">
        <f t="shared" si="17"/>
        <v>0</v>
      </c>
    </row>
    <row r="253" spans="1:5" x14ac:dyDescent="0.2">
      <c r="A253" s="90" t="s">
        <v>297</v>
      </c>
      <c r="B253" s="75" t="s">
        <v>323</v>
      </c>
      <c r="C253" s="90">
        <v>4000</v>
      </c>
      <c r="D253" s="90">
        <v>0</v>
      </c>
      <c r="E253" s="90">
        <f t="shared" si="17"/>
        <v>0</v>
      </c>
    </row>
    <row r="254" spans="1:5" x14ac:dyDescent="0.2">
      <c r="A254" s="90" t="s">
        <v>299</v>
      </c>
      <c r="B254" s="75" t="s">
        <v>331</v>
      </c>
      <c r="C254" s="90">
        <v>600</v>
      </c>
      <c r="D254" s="90">
        <v>350</v>
      </c>
      <c r="E254" s="90">
        <f t="shared" si="17"/>
        <v>0</v>
      </c>
    </row>
    <row r="255" spans="1:5" x14ac:dyDescent="0.2">
      <c r="A255" s="90" t="s">
        <v>299</v>
      </c>
      <c r="B255" s="75" t="s">
        <v>331</v>
      </c>
      <c r="C255" s="90">
        <v>750</v>
      </c>
      <c r="D255" s="90">
        <v>470</v>
      </c>
      <c r="E255" s="90">
        <f t="shared" si="17"/>
        <v>0</v>
      </c>
    </row>
    <row r="256" spans="1:5" x14ac:dyDescent="0.2">
      <c r="A256" s="90" t="s">
        <v>299</v>
      </c>
      <c r="B256" s="75" t="s">
        <v>331</v>
      </c>
      <c r="C256" s="90">
        <v>850</v>
      </c>
      <c r="D256" s="90">
        <v>560</v>
      </c>
      <c r="E256" s="90">
        <f t="shared" si="17"/>
        <v>0</v>
      </c>
    </row>
    <row r="257" spans="1:5" x14ac:dyDescent="0.2">
      <c r="A257" s="90" t="s">
        <v>299</v>
      </c>
      <c r="B257" s="75" t="s">
        <v>331</v>
      </c>
      <c r="C257" s="90">
        <v>1000</v>
      </c>
      <c r="D257" s="90">
        <v>680</v>
      </c>
      <c r="E257" s="90">
        <f t="shared" si="17"/>
        <v>0</v>
      </c>
    </row>
    <row r="258" spans="1:5" x14ac:dyDescent="0.2">
      <c r="A258" s="90" t="s">
        <v>299</v>
      </c>
      <c r="B258" s="75" t="s">
        <v>331</v>
      </c>
      <c r="C258" s="90">
        <v>1050</v>
      </c>
      <c r="D258" s="90">
        <v>725</v>
      </c>
      <c r="E258" s="90">
        <f t="shared" si="17"/>
        <v>0</v>
      </c>
    </row>
    <row r="259" spans="1:5" x14ac:dyDescent="0.2">
      <c r="A259" s="90" t="s">
        <v>299</v>
      </c>
      <c r="B259" s="75" t="s">
        <v>331</v>
      </c>
      <c r="C259" s="90">
        <v>1100</v>
      </c>
      <c r="D259" s="90">
        <v>770</v>
      </c>
      <c r="E259" s="90">
        <f t="shared" si="17"/>
        <v>0</v>
      </c>
    </row>
    <row r="260" spans="1:5" x14ac:dyDescent="0.2">
      <c r="A260" s="90" t="s">
        <v>299</v>
      </c>
      <c r="B260" s="75" t="s">
        <v>331</v>
      </c>
      <c r="C260" s="90">
        <v>1200</v>
      </c>
      <c r="D260" s="90">
        <v>860</v>
      </c>
      <c r="E260" s="90">
        <f t="shared" si="17"/>
        <v>0</v>
      </c>
    </row>
    <row r="261" spans="1:5" x14ac:dyDescent="0.2">
      <c r="A261" s="90" t="s">
        <v>299</v>
      </c>
      <c r="B261" s="75" t="s">
        <v>331</v>
      </c>
      <c r="C261" s="90">
        <v>1300</v>
      </c>
      <c r="D261" s="90">
        <v>900</v>
      </c>
      <c r="E261" s="90">
        <f t="shared" si="17"/>
        <v>0</v>
      </c>
    </row>
    <row r="262" spans="1:5" x14ac:dyDescent="0.2">
      <c r="A262" s="90" t="s">
        <v>299</v>
      </c>
      <c r="B262" s="75" t="s">
        <v>353</v>
      </c>
      <c r="C262" s="90">
        <v>600</v>
      </c>
      <c r="D262" s="90">
        <v>350</v>
      </c>
      <c r="E262" s="90">
        <f t="shared" si="17"/>
        <v>0</v>
      </c>
    </row>
    <row r="263" spans="1:5" x14ac:dyDescent="0.2">
      <c r="A263" s="90" t="s">
        <v>299</v>
      </c>
      <c r="B263" s="75" t="s">
        <v>353</v>
      </c>
      <c r="C263" s="90">
        <v>750</v>
      </c>
      <c r="D263" s="90">
        <v>470</v>
      </c>
      <c r="E263" s="90">
        <f t="shared" si="17"/>
        <v>0</v>
      </c>
    </row>
    <row r="264" spans="1:5" x14ac:dyDescent="0.2">
      <c r="A264" s="90" t="s">
        <v>299</v>
      </c>
      <c r="B264" s="75" t="s">
        <v>353</v>
      </c>
      <c r="C264" s="90">
        <v>850</v>
      </c>
      <c r="D264" s="90">
        <v>560</v>
      </c>
      <c r="E264" s="90">
        <f t="shared" si="17"/>
        <v>0</v>
      </c>
    </row>
    <row r="265" spans="1:5" x14ac:dyDescent="0.2">
      <c r="A265" s="90" t="s">
        <v>299</v>
      </c>
      <c r="B265" s="75" t="s">
        <v>353</v>
      </c>
      <c r="C265" s="90">
        <v>1000</v>
      </c>
      <c r="D265" s="90">
        <v>680</v>
      </c>
      <c r="E265" s="90">
        <f t="shared" si="17"/>
        <v>0</v>
      </c>
    </row>
    <row r="266" spans="1:5" x14ac:dyDescent="0.2">
      <c r="A266" s="90" t="s">
        <v>299</v>
      </c>
      <c r="B266" s="75" t="s">
        <v>353</v>
      </c>
      <c r="C266" s="90">
        <v>1200</v>
      </c>
      <c r="D266" s="90">
        <v>860</v>
      </c>
      <c r="E266" s="90">
        <f t="shared" si="17"/>
        <v>0</v>
      </c>
    </row>
    <row r="267" spans="1:5" x14ac:dyDescent="0.2">
      <c r="A267" s="90" t="s">
        <v>300</v>
      </c>
      <c r="B267" s="75" t="s">
        <v>354</v>
      </c>
      <c r="C267" s="90">
        <v>620</v>
      </c>
      <c r="D267" s="90">
        <v>400</v>
      </c>
      <c r="E267" s="90">
        <f t="shared" si="17"/>
        <v>0</v>
      </c>
    </row>
    <row r="268" spans="1:5" x14ac:dyDescent="0.2">
      <c r="A268" s="90" t="s">
        <v>301</v>
      </c>
      <c r="B268" s="75" t="s">
        <v>356</v>
      </c>
      <c r="C268" s="90">
        <v>772</v>
      </c>
      <c r="D268" s="90">
        <v>540</v>
      </c>
      <c r="E268" s="90">
        <f t="shared" si="17"/>
        <v>0</v>
      </c>
    </row>
    <row r="269" spans="1:5" x14ac:dyDescent="0.2">
      <c r="A269" s="90" t="s">
        <v>301</v>
      </c>
      <c r="B269" s="75" t="s">
        <v>356</v>
      </c>
      <c r="C269" s="90">
        <v>926</v>
      </c>
      <c r="D269" s="90">
        <v>700</v>
      </c>
      <c r="E269" s="90">
        <f t="shared" si="17"/>
        <v>0</v>
      </c>
    </row>
    <row r="270" spans="1:5" x14ac:dyDescent="0.2">
      <c r="A270" s="90" t="s">
        <v>301</v>
      </c>
      <c r="B270" s="75" t="s">
        <v>356</v>
      </c>
      <c r="C270" s="90">
        <v>1078</v>
      </c>
      <c r="D270" s="90">
        <v>860</v>
      </c>
      <c r="E270" s="90">
        <f t="shared" si="17"/>
        <v>0</v>
      </c>
    </row>
    <row r="271" spans="1:5" x14ac:dyDescent="0.2">
      <c r="A271" s="90" t="s">
        <v>301</v>
      </c>
      <c r="B271" s="75" t="s">
        <v>356</v>
      </c>
      <c r="C271" s="90">
        <v>1230</v>
      </c>
      <c r="D271" s="90">
        <v>1000</v>
      </c>
      <c r="E271" s="90">
        <f t="shared" si="17"/>
        <v>0</v>
      </c>
    </row>
    <row r="272" spans="1:5" ht="20.25" x14ac:dyDescent="0.15">
      <c r="A272" s="90" t="s">
        <v>301</v>
      </c>
      <c r="B272" s="75" t="s">
        <v>355</v>
      </c>
      <c r="C272" s="90">
        <v>600</v>
      </c>
      <c r="D272" s="90">
        <v>410</v>
      </c>
      <c r="E272" s="90">
        <f t="shared" si="17"/>
        <v>0</v>
      </c>
    </row>
    <row r="273" spans="1:5" ht="20.25" x14ac:dyDescent="0.15">
      <c r="A273" s="90" t="s">
        <v>301</v>
      </c>
      <c r="B273" s="75" t="s">
        <v>355</v>
      </c>
      <c r="C273" s="90">
        <v>750</v>
      </c>
      <c r="D273" s="90">
        <v>550</v>
      </c>
      <c r="E273" s="90">
        <f t="shared" si="17"/>
        <v>0</v>
      </c>
    </row>
    <row r="274" spans="1:5" ht="20.25" x14ac:dyDescent="0.15">
      <c r="A274" s="90" t="s">
        <v>301</v>
      </c>
      <c r="B274" s="75" t="s">
        <v>355</v>
      </c>
      <c r="C274" s="90">
        <v>1000</v>
      </c>
      <c r="D274" s="90">
        <v>800</v>
      </c>
      <c r="E274" s="90">
        <f t="shared" si="17"/>
        <v>0</v>
      </c>
    </row>
    <row r="275" spans="1:5" ht="20.25" x14ac:dyDescent="0.15">
      <c r="A275" s="90" t="s">
        <v>301</v>
      </c>
      <c r="B275" s="75" t="s">
        <v>355</v>
      </c>
      <c r="C275" s="90">
        <v>1250</v>
      </c>
      <c r="D275" s="90">
        <v>1050</v>
      </c>
      <c r="E275" s="90">
        <f t="shared" si="17"/>
        <v>0</v>
      </c>
    </row>
    <row r="276" spans="1:5" ht="20.25" x14ac:dyDescent="0.15">
      <c r="A276" s="90" t="s">
        <v>301</v>
      </c>
      <c r="B276" s="75" t="s">
        <v>355</v>
      </c>
      <c r="C276" s="90">
        <v>1400</v>
      </c>
      <c r="D276" s="90">
        <v>1200</v>
      </c>
      <c r="E276" s="90">
        <f t="shared" ref="E276:E339" si="18">+IF(AND($E$80=A276,$E$81=B276,$E$82=C276),D276,0)</f>
        <v>0</v>
      </c>
    </row>
    <row r="277" spans="1:5" ht="20.25" x14ac:dyDescent="0.15">
      <c r="A277" s="90" t="s">
        <v>301</v>
      </c>
      <c r="B277" s="75" t="s">
        <v>355</v>
      </c>
      <c r="C277" s="90">
        <v>1500</v>
      </c>
      <c r="D277" s="90">
        <v>1350</v>
      </c>
      <c r="E277" s="90">
        <f t="shared" si="18"/>
        <v>0</v>
      </c>
    </row>
    <row r="278" spans="1:5" ht="30" x14ac:dyDescent="0.15">
      <c r="A278" s="90" t="s">
        <v>301</v>
      </c>
      <c r="B278" s="75" t="s">
        <v>357</v>
      </c>
      <c r="C278" s="90">
        <v>600</v>
      </c>
      <c r="D278" s="90">
        <v>410</v>
      </c>
      <c r="E278" s="90">
        <f t="shared" si="18"/>
        <v>0</v>
      </c>
    </row>
    <row r="279" spans="1:5" ht="30" x14ac:dyDescent="0.15">
      <c r="A279" s="90" t="s">
        <v>301</v>
      </c>
      <c r="B279" s="75" t="s">
        <v>357</v>
      </c>
      <c r="C279" s="90">
        <v>750</v>
      </c>
      <c r="D279" s="90">
        <v>550</v>
      </c>
      <c r="E279" s="90">
        <f t="shared" si="18"/>
        <v>0</v>
      </c>
    </row>
    <row r="280" spans="1:5" ht="30" x14ac:dyDescent="0.15">
      <c r="A280" s="90" t="s">
        <v>301</v>
      </c>
      <c r="B280" s="75" t="s">
        <v>357</v>
      </c>
      <c r="C280" s="90">
        <v>1000</v>
      </c>
      <c r="D280" s="90">
        <v>800</v>
      </c>
      <c r="E280" s="90">
        <f t="shared" si="18"/>
        <v>0</v>
      </c>
    </row>
    <row r="281" spans="1:5" ht="30" x14ac:dyDescent="0.15">
      <c r="A281" s="90" t="s">
        <v>301</v>
      </c>
      <c r="B281" s="75" t="s">
        <v>357</v>
      </c>
      <c r="C281" s="90">
        <v>1250</v>
      </c>
      <c r="D281" s="90">
        <v>1050</v>
      </c>
      <c r="E281" s="90">
        <f t="shared" si="18"/>
        <v>0</v>
      </c>
    </row>
    <row r="282" spans="1:5" ht="30" x14ac:dyDescent="0.15">
      <c r="A282" s="90" t="s">
        <v>301</v>
      </c>
      <c r="B282" s="75" t="s">
        <v>357</v>
      </c>
      <c r="C282" s="90">
        <v>1400</v>
      </c>
      <c r="D282" s="90">
        <v>1200</v>
      </c>
      <c r="E282" s="90">
        <f t="shared" si="18"/>
        <v>0</v>
      </c>
    </row>
    <row r="283" spans="1:5" ht="20.25" x14ac:dyDescent="0.15">
      <c r="A283" s="90" t="s">
        <v>301</v>
      </c>
      <c r="B283" s="75" t="s">
        <v>358</v>
      </c>
      <c r="C283" s="90">
        <v>1400</v>
      </c>
      <c r="D283" s="90">
        <v>605</v>
      </c>
      <c r="E283" s="90">
        <f t="shared" si="18"/>
        <v>0</v>
      </c>
    </row>
    <row r="284" spans="1:5" ht="20.25" x14ac:dyDescent="0.15">
      <c r="A284" s="90" t="s">
        <v>301</v>
      </c>
      <c r="B284" s="75" t="s">
        <v>358</v>
      </c>
      <c r="C284" s="90">
        <v>1600</v>
      </c>
      <c r="D284" s="90">
        <v>700</v>
      </c>
      <c r="E284" s="90">
        <f t="shared" si="18"/>
        <v>0</v>
      </c>
    </row>
    <row r="285" spans="1:5" ht="20.25" x14ac:dyDescent="0.15">
      <c r="A285" s="90" t="s">
        <v>301</v>
      </c>
      <c r="B285" s="75" t="s">
        <v>358</v>
      </c>
      <c r="C285" s="90">
        <v>1800</v>
      </c>
      <c r="D285" s="90">
        <v>790</v>
      </c>
      <c r="E285" s="90">
        <f t="shared" si="18"/>
        <v>0</v>
      </c>
    </row>
    <row r="286" spans="1:5" ht="20.25" x14ac:dyDescent="0.15">
      <c r="A286" s="90" t="s">
        <v>301</v>
      </c>
      <c r="B286" s="75" t="s">
        <v>358</v>
      </c>
      <c r="C286" s="90">
        <v>2000</v>
      </c>
      <c r="D286" s="90">
        <v>880</v>
      </c>
      <c r="E286" s="90">
        <f t="shared" si="18"/>
        <v>0</v>
      </c>
    </row>
    <row r="287" spans="1:5" x14ac:dyDescent="0.2">
      <c r="A287" s="90" t="s">
        <v>301</v>
      </c>
      <c r="B287" s="75" t="s">
        <v>359</v>
      </c>
      <c r="C287" s="90">
        <v>1800</v>
      </c>
      <c r="D287" s="90">
        <v>490</v>
      </c>
      <c r="E287" s="90">
        <f t="shared" si="18"/>
        <v>0</v>
      </c>
    </row>
    <row r="288" spans="1:5" x14ac:dyDescent="0.2">
      <c r="A288" s="90" t="s">
        <v>301</v>
      </c>
      <c r="B288" s="75" t="s">
        <v>359</v>
      </c>
      <c r="C288" s="90">
        <v>2000</v>
      </c>
      <c r="D288" s="90">
        <v>550</v>
      </c>
      <c r="E288" s="90">
        <f t="shared" si="18"/>
        <v>0</v>
      </c>
    </row>
    <row r="289" spans="1:5" ht="20.25" x14ac:dyDescent="0.15">
      <c r="A289" s="90" t="s">
        <v>301</v>
      </c>
      <c r="B289" s="75" t="s">
        <v>360</v>
      </c>
      <c r="C289" s="90">
        <v>600</v>
      </c>
      <c r="D289" s="90">
        <v>410</v>
      </c>
      <c r="E289" s="90">
        <f t="shared" si="18"/>
        <v>0</v>
      </c>
    </row>
    <row r="290" spans="1:5" ht="20.25" x14ac:dyDescent="0.15">
      <c r="A290" s="90" t="s">
        <v>301</v>
      </c>
      <c r="B290" s="75" t="s">
        <v>360</v>
      </c>
      <c r="C290" s="90">
        <v>750</v>
      </c>
      <c r="D290" s="90">
        <v>550</v>
      </c>
      <c r="E290" s="90">
        <f t="shared" si="18"/>
        <v>0</v>
      </c>
    </row>
    <row r="291" spans="1:5" ht="20.25" x14ac:dyDescent="0.15">
      <c r="A291" s="90" t="s">
        <v>301</v>
      </c>
      <c r="B291" s="75" t="s">
        <v>360</v>
      </c>
      <c r="C291" s="90">
        <v>1000</v>
      </c>
      <c r="D291" s="90">
        <v>810</v>
      </c>
      <c r="E291" s="90">
        <f t="shared" si="18"/>
        <v>0</v>
      </c>
    </row>
    <row r="292" spans="1:5" ht="20.25" x14ac:dyDescent="0.15">
      <c r="A292" s="90" t="s">
        <v>301</v>
      </c>
      <c r="B292" s="75" t="s">
        <v>360</v>
      </c>
      <c r="C292" s="90">
        <v>1250</v>
      </c>
      <c r="D292" s="90">
        <v>1050</v>
      </c>
      <c r="E292" s="90">
        <f t="shared" si="18"/>
        <v>0</v>
      </c>
    </row>
    <row r="293" spans="1:5" x14ac:dyDescent="0.2">
      <c r="A293" s="90" t="s">
        <v>302</v>
      </c>
      <c r="B293" s="75" t="s">
        <v>329</v>
      </c>
      <c r="C293" s="90">
        <v>450</v>
      </c>
      <c r="D293" s="90">
        <v>240</v>
      </c>
      <c r="E293" s="90">
        <f t="shared" si="18"/>
        <v>0</v>
      </c>
    </row>
    <row r="294" spans="1:5" x14ac:dyDescent="0.2">
      <c r="A294" s="90" t="s">
        <v>303</v>
      </c>
      <c r="B294" s="75" t="s">
        <v>332</v>
      </c>
      <c r="C294" s="90">
        <v>600</v>
      </c>
      <c r="D294" s="90">
        <v>330</v>
      </c>
      <c r="E294" s="90">
        <f t="shared" si="18"/>
        <v>0</v>
      </c>
    </row>
    <row r="295" spans="1:5" x14ac:dyDescent="0.2">
      <c r="A295" s="90" t="s">
        <v>303</v>
      </c>
      <c r="B295" s="75" t="s">
        <v>332</v>
      </c>
      <c r="C295" s="90">
        <v>700</v>
      </c>
      <c r="D295" s="90">
        <v>400</v>
      </c>
      <c r="E295" s="90">
        <f t="shared" si="18"/>
        <v>0</v>
      </c>
    </row>
    <row r="296" spans="1:5" x14ac:dyDescent="0.2">
      <c r="A296" s="90" t="s">
        <v>303</v>
      </c>
      <c r="B296" s="75" t="s">
        <v>332</v>
      </c>
      <c r="C296" s="90">
        <v>750</v>
      </c>
      <c r="D296" s="90">
        <v>470</v>
      </c>
      <c r="E296" s="90">
        <f t="shared" si="18"/>
        <v>0</v>
      </c>
    </row>
    <row r="297" spans="1:5" x14ac:dyDescent="0.2">
      <c r="A297" s="90" t="s">
        <v>303</v>
      </c>
      <c r="B297" s="75" t="s">
        <v>332</v>
      </c>
      <c r="C297" s="90">
        <v>850</v>
      </c>
      <c r="D297" s="90">
        <v>560</v>
      </c>
      <c r="E297" s="90">
        <f t="shared" si="18"/>
        <v>0</v>
      </c>
    </row>
    <row r="298" spans="1:5" x14ac:dyDescent="0.2">
      <c r="A298" s="90" t="s">
        <v>303</v>
      </c>
      <c r="B298" s="75" t="s">
        <v>332</v>
      </c>
      <c r="C298" s="90">
        <v>900</v>
      </c>
      <c r="D298" s="90">
        <v>540</v>
      </c>
      <c r="E298" s="90">
        <f t="shared" si="18"/>
        <v>0</v>
      </c>
    </row>
    <row r="299" spans="1:5" x14ac:dyDescent="0.2">
      <c r="A299" s="90" t="s">
        <v>303</v>
      </c>
      <c r="B299" s="75" t="s">
        <v>332</v>
      </c>
      <c r="C299" s="90">
        <v>1000</v>
      </c>
      <c r="D299" s="90">
        <v>610</v>
      </c>
      <c r="E299" s="90">
        <f t="shared" si="18"/>
        <v>0</v>
      </c>
    </row>
    <row r="300" spans="1:5" x14ac:dyDescent="0.2">
      <c r="A300" s="90" t="s">
        <v>303</v>
      </c>
      <c r="B300" s="75" t="s">
        <v>332</v>
      </c>
      <c r="C300" s="90">
        <v>1100</v>
      </c>
      <c r="D300" s="90">
        <v>680</v>
      </c>
      <c r="E300" s="90">
        <f t="shared" si="18"/>
        <v>0</v>
      </c>
    </row>
    <row r="301" spans="1:5" x14ac:dyDescent="0.2">
      <c r="A301" s="90" t="s">
        <v>303</v>
      </c>
      <c r="B301" s="75" t="s">
        <v>332</v>
      </c>
      <c r="C301" s="90">
        <v>1200</v>
      </c>
      <c r="D301" s="90">
        <v>860</v>
      </c>
      <c r="E301" s="90">
        <f t="shared" si="18"/>
        <v>0</v>
      </c>
    </row>
    <row r="302" spans="1:5" ht="20.25" x14ac:dyDescent="0.15">
      <c r="A302" s="90" t="s">
        <v>303</v>
      </c>
      <c r="B302" s="75" t="s">
        <v>361</v>
      </c>
      <c r="C302" s="90">
        <v>1100</v>
      </c>
      <c r="D302" s="90">
        <v>680</v>
      </c>
      <c r="E302" s="90">
        <f t="shared" si="18"/>
        <v>0</v>
      </c>
    </row>
    <row r="303" spans="1:5" ht="20.25" x14ac:dyDescent="0.15">
      <c r="A303" s="90" t="s">
        <v>303</v>
      </c>
      <c r="B303" s="75" t="s">
        <v>361</v>
      </c>
      <c r="C303" s="90">
        <v>1200</v>
      </c>
      <c r="D303" s="90">
        <v>750</v>
      </c>
      <c r="E303" s="90">
        <f t="shared" si="18"/>
        <v>0</v>
      </c>
    </row>
    <row r="304" spans="1:5" x14ac:dyDescent="0.2">
      <c r="A304" s="90" t="s">
        <v>304</v>
      </c>
      <c r="B304" s="75" t="s">
        <v>333</v>
      </c>
      <c r="C304" s="90">
        <v>600</v>
      </c>
      <c r="D304" s="90">
        <v>400</v>
      </c>
      <c r="E304" s="90">
        <f t="shared" si="18"/>
        <v>0</v>
      </c>
    </row>
    <row r="305" spans="1:5" x14ac:dyDescent="0.2">
      <c r="A305" s="90" t="s">
        <v>304</v>
      </c>
      <c r="B305" s="75" t="s">
        <v>333</v>
      </c>
      <c r="C305" s="90">
        <v>750</v>
      </c>
      <c r="D305" s="90">
        <v>550</v>
      </c>
      <c r="E305" s="90">
        <f t="shared" si="18"/>
        <v>0</v>
      </c>
    </row>
    <row r="306" spans="1:5" x14ac:dyDescent="0.2">
      <c r="A306" s="90" t="s">
        <v>304</v>
      </c>
      <c r="B306" s="75" t="s">
        <v>333</v>
      </c>
      <c r="C306" s="90">
        <v>1000</v>
      </c>
      <c r="D306" s="90">
        <v>700</v>
      </c>
      <c r="E306" s="90">
        <f t="shared" si="18"/>
        <v>0</v>
      </c>
    </row>
    <row r="307" spans="1:5" x14ac:dyDescent="0.2">
      <c r="A307" s="90" t="s">
        <v>304</v>
      </c>
      <c r="B307" s="75" t="s">
        <v>333</v>
      </c>
      <c r="C307" s="90">
        <v>1000</v>
      </c>
      <c r="D307" s="90">
        <v>800</v>
      </c>
      <c r="E307" s="90">
        <f t="shared" si="18"/>
        <v>0</v>
      </c>
    </row>
    <row r="308" spans="1:5" x14ac:dyDescent="0.2">
      <c r="A308" s="90" t="s">
        <v>304</v>
      </c>
      <c r="B308" s="75" t="s">
        <v>333</v>
      </c>
      <c r="C308" s="90">
        <v>1100</v>
      </c>
      <c r="D308" s="90">
        <v>800</v>
      </c>
      <c r="E308" s="90">
        <f t="shared" si="18"/>
        <v>0</v>
      </c>
    </row>
    <row r="309" spans="1:5" x14ac:dyDescent="0.2">
      <c r="A309" s="90" t="s">
        <v>304</v>
      </c>
      <c r="B309" s="75" t="s">
        <v>333</v>
      </c>
      <c r="C309" s="90">
        <v>1200</v>
      </c>
      <c r="D309" s="90">
        <v>900</v>
      </c>
      <c r="E309" s="90">
        <f t="shared" si="18"/>
        <v>0</v>
      </c>
    </row>
    <row r="310" spans="1:5" x14ac:dyDescent="0.2">
      <c r="A310" s="90" t="s">
        <v>304</v>
      </c>
      <c r="B310" s="75" t="s">
        <v>333</v>
      </c>
      <c r="C310" s="90">
        <v>1250</v>
      </c>
      <c r="D310" s="90">
        <v>1050</v>
      </c>
      <c r="E310" s="90">
        <f t="shared" si="18"/>
        <v>0</v>
      </c>
    </row>
    <row r="311" spans="1:5" ht="20.25" x14ac:dyDescent="0.15">
      <c r="A311" s="90" t="s">
        <v>304</v>
      </c>
      <c r="B311" s="75" t="s">
        <v>363</v>
      </c>
      <c r="C311" s="90">
        <v>1200</v>
      </c>
      <c r="D311" s="90">
        <v>900</v>
      </c>
      <c r="E311" s="90">
        <f t="shared" si="18"/>
        <v>0</v>
      </c>
    </row>
    <row r="312" spans="1:5" x14ac:dyDescent="0.2">
      <c r="A312" s="90" t="s">
        <v>304</v>
      </c>
      <c r="B312" s="75" t="s">
        <v>362</v>
      </c>
      <c r="C312" s="90">
        <v>600</v>
      </c>
      <c r="D312" s="90">
        <v>410</v>
      </c>
      <c r="E312" s="90">
        <f t="shared" si="18"/>
        <v>0</v>
      </c>
    </row>
    <row r="313" spans="1:5" x14ac:dyDescent="0.2">
      <c r="A313" s="90" t="s">
        <v>304</v>
      </c>
      <c r="B313" s="75" t="s">
        <v>362</v>
      </c>
      <c r="C313" s="90">
        <v>750</v>
      </c>
      <c r="D313" s="90">
        <v>550</v>
      </c>
      <c r="E313" s="90">
        <f t="shared" si="18"/>
        <v>0</v>
      </c>
    </row>
    <row r="314" spans="1:5" x14ac:dyDescent="0.2">
      <c r="A314" s="90" t="s">
        <v>304</v>
      </c>
      <c r="B314" s="75" t="s">
        <v>362</v>
      </c>
      <c r="C314" s="90">
        <v>1000</v>
      </c>
      <c r="D314" s="90">
        <v>800</v>
      </c>
      <c r="E314" s="90">
        <f t="shared" si="18"/>
        <v>0</v>
      </c>
    </row>
    <row r="315" spans="1:5" x14ac:dyDescent="0.2">
      <c r="A315" s="90" t="s">
        <v>304</v>
      </c>
      <c r="B315" s="75" t="s">
        <v>362</v>
      </c>
      <c r="C315" s="90">
        <v>1250</v>
      </c>
      <c r="D315" s="90">
        <v>1050</v>
      </c>
      <c r="E315" s="90">
        <f t="shared" si="18"/>
        <v>0</v>
      </c>
    </row>
    <row r="316" spans="1:5" x14ac:dyDescent="0.2">
      <c r="A316" s="90" t="s">
        <v>304</v>
      </c>
      <c r="B316" s="75" t="s">
        <v>362</v>
      </c>
      <c r="C316" s="90">
        <v>1400</v>
      </c>
      <c r="D316" s="90">
        <v>1200</v>
      </c>
      <c r="E316" s="90">
        <f t="shared" si="18"/>
        <v>0</v>
      </c>
    </row>
    <row r="317" spans="1:5" x14ac:dyDescent="0.2">
      <c r="A317" s="90" t="s">
        <v>304</v>
      </c>
      <c r="B317" s="75" t="s">
        <v>362</v>
      </c>
      <c r="C317" s="90">
        <v>1500</v>
      </c>
      <c r="D317" s="90">
        <v>1350</v>
      </c>
      <c r="E317" s="90">
        <f t="shared" si="18"/>
        <v>0</v>
      </c>
    </row>
    <row r="318" spans="1:5" ht="20.25" x14ac:dyDescent="0.15">
      <c r="A318" s="90" t="s">
        <v>304</v>
      </c>
      <c r="B318" s="75" t="s">
        <v>364</v>
      </c>
      <c r="C318" s="90">
        <v>600</v>
      </c>
      <c r="D318" s="90">
        <v>410</v>
      </c>
      <c r="E318" s="90">
        <f t="shared" si="18"/>
        <v>0</v>
      </c>
    </row>
    <row r="319" spans="1:5" ht="20.25" x14ac:dyDescent="0.15">
      <c r="A319" s="90" t="s">
        <v>304</v>
      </c>
      <c r="B319" s="75" t="s">
        <v>364</v>
      </c>
      <c r="C319" s="90">
        <v>750</v>
      </c>
      <c r="D319" s="90">
        <v>550</v>
      </c>
      <c r="E319" s="90">
        <f t="shared" si="18"/>
        <v>0</v>
      </c>
    </row>
    <row r="320" spans="1:5" ht="20.25" x14ac:dyDescent="0.15">
      <c r="A320" s="90" t="s">
        <v>304</v>
      </c>
      <c r="B320" s="75" t="s">
        <v>364</v>
      </c>
      <c r="C320" s="90">
        <v>1000</v>
      </c>
      <c r="D320" s="90">
        <v>800</v>
      </c>
      <c r="E320" s="90">
        <f t="shared" si="18"/>
        <v>0</v>
      </c>
    </row>
    <row r="321" spans="1:5" ht="20.25" x14ac:dyDescent="0.15">
      <c r="A321" s="90" t="s">
        <v>304</v>
      </c>
      <c r="B321" s="75" t="s">
        <v>364</v>
      </c>
      <c r="C321" s="90">
        <v>1250</v>
      </c>
      <c r="D321" s="90">
        <v>1050</v>
      </c>
      <c r="E321" s="90">
        <f t="shared" si="18"/>
        <v>0</v>
      </c>
    </row>
    <row r="322" spans="1:5" ht="20.25" x14ac:dyDescent="0.15">
      <c r="A322" s="90" t="s">
        <v>304</v>
      </c>
      <c r="B322" s="75" t="s">
        <v>364</v>
      </c>
      <c r="C322" s="90">
        <v>1400</v>
      </c>
      <c r="D322" s="90">
        <v>1200</v>
      </c>
      <c r="E322" s="90">
        <f t="shared" si="18"/>
        <v>0</v>
      </c>
    </row>
    <row r="323" spans="1:5" x14ac:dyDescent="0.2">
      <c r="A323" s="90" t="s">
        <v>304</v>
      </c>
      <c r="B323" s="75" t="s">
        <v>366</v>
      </c>
      <c r="C323" s="90">
        <v>600</v>
      </c>
      <c r="D323" s="90">
        <v>410</v>
      </c>
      <c r="E323" s="90">
        <f t="shared" si="18"/>
        <v>0</v>
      </c>
    </row>
    <row r="324" spans="1:5" x14ac:dyDescent="0.2">
      <c r="A324" s="90" t="s">
        <v>304</v>
      </c>
      <c r="B324" s="75" t="s">
        <v>366</v>
      </c>
      <c r="C324" s="90">
        <v>750</v>
      </c>
      <c r="D324" s="90">
        <v>550</v>
      </c>
      <c r="E324" s="90">
        <f t="shared" si="18"/>
        <v>0</v>
      </c>
    </row>
    <row r="325" spans="1:5" x14ac:dyDescent="0.2">
      <c r="A325" s="90" t="s">
        <v>304</v>
      </c>
      <c r="B325" s="75" t="s">
        <v>366</v>
      </c>
      <c r="C325" s="90">
        <v>1000</v>
      </c>
      <c r="D325" s="90">
        <v>800</v>
      </c>
      <c r="E325" s="90">
        <f t="shared" si="18"/>
        <v>0</v>
      </c>
    </row>
    <row r="326" spans="1:5" x14ac:dyDescent="0.2">
      <c r="A326" s="90" t="s">
        <v>304</v>
      </c>
      <c r="B326" s="75" t="s">
        <v>366</v>
      </c>
      <c r="C326" s="90">
        <v>1250</v>
      </c>
      <c r="D326" s="90">
        <v>1050</v>
      </c>
      <c r="E326" s="90">
        <f t="shared" si="18"/>
        <v>0</v>
      </c>
    </row>
    <row r="327" spans="1:5" x14ac:dyDescent="0.2">
      <c r="A327" s="90" t="s">
        <v>304</v>
      </c>
      <c r="B327" s="75" t="s">
        <v>365</v>
      </c>
      <c r="C327" s="90">
        <v>1800</v>
      </c>
      <c r="D327" s="90">
        <v>480</v>
      </c>
      <c r="E327" s="90">
        <f t="shared" si="18"/>
        <v>0</v>
      </c>
    </row>
    <row r="328" spans="1:5" x14ac:dyDescent="0.2">
      <c r="A328" s="90" t="s">
        <v>304</v>
      </c>
      <c r="B328" s="75" t="s">
        <v>365</v>
      </c>
      <c r="C328" s="90">
        <v>2000</v>
      </c>
      <c r="D328" s="90">
        <v>580</v>
      </c>
      <c r="E328" s="90">
        <f t="shared" si="18"/>
        <v>0</v>
      </c>
    </row>
    <row r="329" spans="1:5" x14ac:dyDescent="0.2">
      <c r="A329" s="90" t="s">
        <v>304</v>
      </c>
      <c r="B329" s="75" t="s">
        <v>365</v>
      </c>
      <c r="C329" s="90">
        <v>2200</v>
      </c>
      <c r="D329" s="90">
        <v>620</v>
      </c>
      <c r="E329" s="90">
        <f t="shared" si="18"/>
        <v>0</v>
      </c>
    </row>
    <row r="330" spans="1:5" x14ac:dyDescent="0.2">
      <c r="A330" s="90" t="s">
        <v>304</v>
      </c>
      <c r="B330" s="75" t="s">
        <v>367</v>
      </c>
      <c r="C330" s="90">
        <v>1400</v>
      </c>
      <c r="D330" s="90">
        <v>605</v>
      </c>
      <c r="E330" s="90">
        <f t="shared" si="18"/>
        <v>0</v>
      </c>
    </row>
    <row r="331" spans="1:5" x14ac:dyDescent="0.2">
      <c r="A331" s="90" t="s">
        <v>304</v>
      </c>
      <c r="B331" s="75" t="s">
        <v>367</v>
      </c>
      <c r="C331" s="90">
        <v>1600</v>
      </c>
      <c r="D331" s="90">
        <v>800</v>
      </c>
      <c r="E331" s="90">
        <f t="shared" si="18"/>
        <v>0</v>
      </c>
    </row>
    <row r="332" spans="1:5" x14ac:dyDescent="0.2">
      <c r="A332" s="90" t="s">
        <v>304</v>
      </c>
      <c r="B332" s="75" t="s">
        <v>367</v>
      </c>
      <c r="C332" s="90">
        <v>1800</v>
      </c>
      <c r="D332" s="90">
        <v>790</v>
      </c>
      <c r="E332" s="90">
        <f t="shared" si="18"/>
        <v>0</v>
      </c>
    </row>
    <row r="333" spans="1:5" x14ac:dyDescent="0.2">
      <c r="A333" s="90" t="s">
        <v>304</v>
      </c>
      <c r="B333" s="75" t="s">
        <v>367</v>
      </c>
      <c r="C333" s="90">
        <v>2000</v>
      </c>
      <c r="D333" s="90">
        <v>880</v>
      </c>
      <c r="E333" s="90">
        <f t="shared" si="18"/>
        <v>0</v>
      </c>
    </row>
    <row r="334" spans="1:5" x14ac:dyDescent="0.2">
      <c r="A334" s="90" t="s">
        <v>304</v>
      </c>
      <c r="B334" s="75" t="s">
        <v>368</v>
      </c>
      <c r="C334" s="90">
        <v>1400</v>
      </c>
      <c r="D334" s="90">
        <v>605</v>
      </c>
      <c r="E334" s="90">
        <f t="shared" si="18"/>
        <v>0</v>
      </c>
    </row>
    <row r="335" spans="1:5" x14ac:dyDescent="0.2">
      <c r="A335" s="90" t="s">
        <v>304</v>
      </c>
      <c r="B335" s="75" t="s">
        <v>368</v>
      </c>
      <c r="C335" s="90">
        <v>1600</v>
      </c>
      <c r="D335" s="90">
        <v>700</v>
      </c>
      <c r="E335" s="90">
        <f t="shared" si="18"/>
        <v>0</v>
      </c>
    </row>
    <row r="336" spans="1:5" x14ac:dyDescent="0.2">
      <c r="A336" s="90" t="s">
        <v>304</v>
      </c>
      <c r="B336" s="75" t="s">
        <v>368</v>
      </c>
      <c r="C336" s="90">
        <v>1800</v>
      </c>
      <c r="D336" s="90">
        <v>790</v>
      </c>
      <c r="E336" s="90">
        <f t="shared" si="18"/>
        <v>0</v>
      </c>
    </row>
    <row r="337" spans="1:5" x14ac:dyDescent="0.2">
      <c r="A337" s="90" t="s">
        <v>304</v>
      </c>
      <c r="B337" s="75" t="s">
        <v>368</v>
      </c>
      <c r="C337" s="90">
        <v>2000</v>
      </c>
      <c r="D337" s="90">
        <v>880</v>
      </c>
      <c r="E337" s="90">
        <f t="shared" si="18"/>
        <v>0</v>
      </c>
    </row>
    <row r="338" spans="1:5" x14ac:dyDescent="0.2">
      <c r="A338" s="90" t="s">
        <v>305</v>
      </c>
      <c r="B338" s="75" t="s">
        <v>371</v>
      </c>
      <c r="C338" s="90">
        <v>600</v>
      </c>
      <c r="D338" s="90">
        <v>410</v>
      </c>
      <c r="E338" s="90">
        <f t="shared" si="18"/>
        <v>0</v>
      </c>
    </row>
    <row r="339" spans="1:5" x14ac:dyDescent="0.2">
      <c r="A339" s="90" t="s">
        <v>305</v>
      </c>
      <c r="B339" s="75" t="s">
        <v>371</v>
      </c>
      <c r="C339" s="90">
        <v>750</v>
      </c>
      <c r="D339" s="90">
        <v>550</v>
      </c>
      <c r="E339" s="90">
        <f t="shared" si="18"/>
        <v>0</v>
      </c>
    </row>
    <row r="340" spans="1:5" x14ac:dyDescent="0.2">
      <c r="A340" s="90" t="s">
        <v>305</v>
      </c>
      <c r="B340" s="75" t="s">
        <v>371</v>
      </c>
      <c r="C340" s="90">
        <v>1000</v>
      </c>
      <c r="D340" s="90">
        <v>810</v>
      </c>
      <c r="E340" s="90">
        <f t="shared" ref="E340:E403" si="19">+IF(AND($E$80=A340,$E$81=B340,$E$82=C340),D340,0)</f>
        <v>0</v>
      </c>
    </row>
    <row r="341" spans="1:5" x14ac:dyDescent="0.2">
      <c r="A341" s="90" t="s">
        <v>305</v>
      </c>
      <c r="B341" s="75" t="s">
        <v>371</v>
      </c>
      <c r="C341" s="90">
        <v>1100</v>
      </c>
      <c r="D341" s="90">
        <v>900</v>
      </c>
      <c r="E341" s="90">
        <f t="shared" si="19"/>
        <v>0</v>
      </c>
    </row>
    <row r="342" spans="1:5" x14ac:dyDescent="0.2">
      <c r="A342" s="90" t="s">
        <v>305</v>
      </c>
      <c r="B342" s="75" t="s">
        <v>371</v>
      </c>
      <c r="C342" s="90">
        <v>1250</v>
      </c>
      <c r="D342" s="90">
        <v>1050</v>
      </c>
      <c r="E342" s="90">
        <f t="shared" si="19"/>
        <v>0</v>
      </c>
    </row>
    <row r="343" spans="1:5" x14ac:dyDescent="0.2">
      <c r="A343" s="90" t="s">
        <v>305</v>
      </c>
      <c r="B343" s="75" t="s">
        <v>371</v>
      </c>
      <c r="C343" s="90">
        <v>1400</v>
      </c>
      <c r="D343" s="90">
        <v>1200</v>
      </c>
      <c r="E343" s="90">
        <f t="shared" si="19"/>
        <v>0</v>
      </c>
    </row>
    <row r="344" spans="1:5" x14ac:dyDescent="0.2">
      <c r="A344" s="90" t="s">
        <v>305</v>
      </c>
      <c r="B344" s="75" t="s">
        <v>371</v>
      </c>
      <c r="C344" s="90">
        <v>1500</v>
      </c>
      <c r="D344" s="90">
        <v>1350</v>
      </c>
      <c r="E344" s="90">
        <f t="shared" si="19"/>
        <v>0</v>
      </c>
    </row>
    <row r="345" spans="1:5" ht="20.25" x14ac:dyDescent="0.15">
      <c r="A345" s="90" t="s">
        <v>305</v>
      </c>
      <c r="B345" s="75" t="s">
        <v>369</v>
      </c>
      <c r="C345" s="90">
        <v>1200</v>
      </c>
      <c r="D345" s="90">
        <v>900</v>
      </c>
      <c r="E345" s="90">
        <f t="shared" si="19"/>
        <v>0</v>
      </c>
    </row>
    <row r="346" spans="1:5" ht="20.25" x14ac:dyDescent="0.15">
      <c r="A346" s="90" t="s">
        <v>305</v>
      </c>
      <c r="B346" s="75" t="s">
        <v>369</v>
      </c>
      <c r="C346" s="90">
        <v>1250</v>
      </c>
      <c r="D346" s="90">
        <v>1050</v>
      </c>
      <c r="E346" s="90">
        <f t="shared" si="19"/>
        <v>0</v>
      </c>
    </row>
    <row r="347" spans="1:5" x14ac:dyDescent="0.2">
      <c r="A347" s="90" t="s">
        <v>305</v>
      </c>
      <c r="B347" s="75" t="s">
        <v>370</v>
      </c>
      <c r="C347" s="90">
        <v>1800</v>
      </c>
      <c r="D347" s="90">
        <v>480</v>
      </c>
      <c r="E347" s="90">
        <f t="shared" si="19"/>
        <v>0</v>
      </c>
    </row>
    <row r="348" spans="1:5" x14ac:dyDescent="0.2">
      <c r="A348" s="90" t="s">
        <v>305</v>
      </c>
      <c r="B348" s="75" t="s">
        <v>370</v>
      </c>
      <c r="C348" s="90">
        <v>2000</v>
      </c>
      <c r="D348" s="90">
        <v>580</v>
      </c>
      <c r="E348" s="90">
        <f t="shared" si="19"/>
        <v>0</v>
      </c>
    </row>
    <row r="349" spans="1:5" x14ac:dyDescent="0.2">
      <c r="A349" s="90" t="s">
        <v>305</v>
      </c>
      <c r="B349" s="75" t="s">
        <v>370</v>
      </c>
      <c r="C349" s="90">
        <v>2000</v>
      </c>
      <c r="D349" s="90">
        <v>700</v>
      </c>
      <c r="E349" s="90">
        <f t="shared" si="19"/>
        <v>0</v>
      </c>
    </row>
    <row r="350" spans="1:5" x14ac:dyDescent="0.2">
      <c r="A350" s="90" t="s">
        <v>305</v>
      </c>
      <c r="B350" s="75" t="s">
        <v>370</v>
      </c>
      <c r="C350" s="90">
        <v>2300</v>
      </c>
      <c r="D350" s="90">
        <v>620</v>
      </c>
      <c r="E350" s="90">
        <f t="shared" si="19"/>
        <v>0</v>
      </c>
    </row>
    <row r="351" spans="1:5" x14ac:dyDescent="0.2">
      <c r="A351" s="90" t="s">
        <v>305</v>
      </c>
      <c r="B351" s="75" t="s">
        <v>370</v>
      </c>
      <c r="C351" s="90">
        <v>2000</v>
      </c>
      <c r="D351" s="90">
        <v>700</v>
      </c>
      <c r="E351" s="90">
        <f t="shared" si="19"/>
        <v>0</v>
      </c>
    </row>
    <row r="352" spans="1:5" x14ac:dyDescent="0.2">
      <c r="A352" s="90" t="s">
        <v>306</v>
      </c>
      <c r="B352" s="75" t="s">
        <v>383</v>
      </c>
      <c r="C352" s="90">
        <v>775</v>
      </c>
      <c r="D352" s="90">
        <v>700</v>
      </c>
      <c r="E352" s="90">
        <f t="shared" si="19"/>
        <v>0</v>
      </c>
    </row>
    <row r="353" spans="1:5" x14ac:dyDescent="0.2">
      <c r="A353" s="90" t="s">
        <v>306</v>
      </c>
      <c r="B353" s="75" t="s">
        <v>383</v>
      </c>
      <c r="C353" s="90">
        <v>932</v>
      </c>
      <c r="D353" s="90">
        <v>900</v>
      </c>
      <c r="E353" s="90">
        <f t="shared" si="19"/>
        <v>0</v>
      </c>
    </row>
    <row r="354" spans="1:5" x14ac:dyDescent="0.2">
      <c r="A354" s="90" t="s">
        <v>306</v>
      </c>
      <c r="B354" s="75" t="s">
        <v>383</v>
      </c>
      <c r="C354" s="90">
        <v>1082</v>
      </c>
      <c r="D354" s="90">
        <v>1100</v>
      </c>
      <c r="E354" s="90">
        <f t="shared" si="19"/>
        <v>0</v>
      </c>
    </row>
    <row r="355" spans="1:5" x14ac:dyDescent="0.2">
      <c r="A355" s="90" t="s">
        <v>306</v>
      </c>
      <c r="B355" s="75" t="s">
        <v>383</v>
      </c>
      <c r="C355" s="90">
        <v>1230</v>
      </c>
      <c r="D355" s="90">
        <v>1300</v>
      </c>
      <c r="E355" s="90">
        <f t="shared" si="19"/>
        <v>0</v>
      </c>
    </row>
    <row r="356" spans="1:5" x14ac:dyDescent="0.2">
      <c r="A356" s="90" t="s">
        <v>306</v>
      </c>
      <c r="B356" s="75" t="s">
        <v>384</v>
      </c>
      <c r="C356" s="90">
        <v>775</v>
      </c>
      <c r="D356" s="90">
        <v>800</v>
      </c>
      <c r="E356" s="90">
        <f t="shared" si="19"/>
        <v>0</v>
      </c>
    </row>
    <row r="357" spans="1:5" x14ac:dyDescent="0.2">
      <c r="A357" s="90" t="s">
        <v>306</v>
      </c>
      <c r="B357" s="75" t="s">
        <v>384</v>
      </c>
      <c r="C357" s="90">
        <v>948</v>
      </c>
      <c r="D357" s="90">
        <v>1100</v>
      </c>
      <c r="E357" s="90">
        <f t="shared" si="19"/>
        <v>0</v>
      </c>
    </row>
    <row r="358" spans="1:5" x14ac:dyDescent="0.2">
      <c r="A358" s="90" t="s">
        <v>306</v>
      </c>
      <c r="B358" s="75" t="s">
        <v>384</v>
      </c>
      <c r="C358" s="90">
        <v>1098</v>
      </c>
      <c r="D358" s="90">
        <v>1300</v>
      </c>
      <c r="E358" s="90">
        <f t="shared" si="19"/>
        <v>0</v>
      </c>
    </row>
    <row r="359" spans="1:5" x14ac:dyDescent="0.2">
      <c r="A359" s="90" t="s">
        <v>306</v>
      </c>
      <c r="B359" s="75" t="s">
        <v>384</v>
      </c>
      <c r="C359" s="90">
        <v>1248</v>
      </c>
      <c r="D359" s="90">
        <v>1600</v>
      </c>
      <c r="E359" s="90">
        <f t="shared" si="19"/>
        <v>0</v>
      </c>
    </row>
    <row r="360" spans="1:5" x14ac:dyDescent="0.2">
      <c r="A360" s="90" t="s">
        <v>306</v>
      </c>
      <c r="B360" s="75" t="s">
        <v>384</v>
      </c>
      <c r="C360" s="90">
        <v>1395</v>
      </c>
      <c r="D360" s="90">
        <v>1900</v>
      </c>
      <c r="E360" s="90">
        <f t="shared" si="19"/>
        <v>0</v>
      </c>
    </row>
    <row r="361" spans="1:5" x14ac:dyDescent="0.2">
      <c r="A361" s="90" t="s">
        <v>306</v>
      </c>
      <c r="B361" s="75" t="s">
        <v>372</v>
      </c>
      <c r="C361" s="90">
        <v>1130</v>
      </c>
      <c r="D361" s="90">
        <v>800</v>
      </c>
      <c r="E361" s="90">
        <f t="shared" si="19"/>
        <v>0</v>
      </c>
    </row>
    <row r="362" spans="1:5" x14ac:dyDescent="0.2">
      <c r="A362" s="90" t="s">
        <v>306</v>
      </c>
      <c r="B362" s="75" t="s">
        <v>372</v>
      </c>
      <c r="C362" s="90">
        <v>1260</v>
      </c>
      <c r="D362" s="90">
        <v>900</v>
      </c>
      <c r="E362" s="90">
        <f t="shared" si="19"/>
        <v>0</v>
      </c>
    </row>
    <row r="363" spans="1:5" x14ac:dyDescent="0.2">
      <c r="A363" s="90" t="s">
        <v>306</v>
      </c>
      <c r="B363" s="75" t="s">
        <v>372</v>
      </c>
      <c r="C363" s="90">
        <v>1370</v>
      </c>
      <c r="D363" s="90">
        <v>1000</v>
      </c>
      <c r="E363" s="90">
        <f t="shared" si="19"/>
        <v>1000</v>
      </c>
    </row>
    <row r="364" spans="1:5" x14ac:dyDescent="0.2">
      <c r="A364" s="90" t="s">
        <v>306</v>
      </c>
      <c r="B364" s="75" t="s">
        <v>372</v>
      </c>
      <c r="C364" s="90">
        <v>600</v>
      </c>
      <c r="D364" s="90">
        <v>410</v>
      </c>
      <c r="E364" s="90">
        <f t="shared" si="19"/>
        <v>0</v>
      </c>
    </row>
    <row r="365" spans="1:5" x14ac:dyDescent="0.2">
      <c r="A365" s="90" t="s">
        <v>306</v>
      </c>
      <c r="B365" s="75" t="s">
        <v>372</v>
      </c>
      <c r="C365" s="90">
        <v>750</v>
      </c>
      <c r="D365" s="90">
        <v>550</v>
      </c>
      <c r="E365" s="90">
        <f t="shared" si="19"/>
        <v>0</v>
      </c>
    </row>
    <row r="366" spans="1:5" x14ac:dyDescent="0.2">
      <c r="A366" s="90" t="s">
        <v>306</v>
      </c>
      <c r="B366" s="75" t="s">
        <v>372</v>
      </c>
      <c r="C366" s="90">
        <v>1000</v>
      </c>
      <c r="D366" s="90">
        <v>800</v>
      </c>
      <c r="E366" s="90">
        <f t="shared" si="19"/>
        <v>0</v>
      </c>
    </row>
    <row r="367" spans="1:5" x14ac:dyDescent="0.2">
      <c r="A367" s="90" t="s">
        <v>306</v>
      </c>
      <c r="B367" s="75" t="s">
        <v>372</v>
      </c>
      <c r="C367" s="90">
        <v>1250</v>
      </c>
      <c r="D367" s="90">
        <v>1050</v>
      </c>
      <c r="E367" s="90">
        <f t="shared" si="19"/>
        <v>0</v>
      </c>
    </row>
    <row r="368" spans="1:5" x14ac:dyDescent="0.2">
      <c r="A368" s="90" t="s">
        <v>306</v>
      </c>
      <c r="B368" s="75" t="s">
        <v>372</v>
      </c>
      <c r="C368" s="90">
        <v>1400</v>
      </c>
      <c r="D368" s="90">
        <v>1200</v>
      </c>
      <c r="E368" s="90">
        <f t="shared" si="19"/>
        <v>0</v>
      </c>
    </row>
    <row r="369" spans="1:5" x14ac:dyDescent="0.2">
      <c r="A369" s="90" t="s">
        <v>306</v>
      </c>
      <c r="B369" s="75" t="s">
        <v>372</v>
      </c>
      <c r="C369" s="90">
        <v>1500</v>
      </c>
      <c r="D369" s="90">
        <v>1350</v>
      </c>
      <c r="E369" s="90">
        <f t="shared" si="19"/>
        <v>0</v>
      </c>
    </row>
    <row r="370" spans="1:5" x14ac:dyDescent="0.2">
      <c r="A370" s="90" t="s">
        <v>306</v>
      </c>
      <c r="B370" s="75" t="s">
        <v>373</v>
      </c>
      <c r="C370" s="90">
        <v>1370</v>
      </c>
      <c r="D370" s="90">
        <v>1100</v>
      </c>
      <c r="E370" s="90">
        <f t="shared" si="19"/>
        <v>0</v>
      </c>
    </row>
    <row r="371" spans="1:5" x14ac:dyDescent="0.2">
      <c r="A371" s="90" t="s">
        <v>306</v>
      </c>
      <c r="B371" s="75" t="s">
        <v>373</v>
      </c>
      <c r="C371" s="90">
        <v>1470</v>
      </c>
      <c r="D371" s="90">
        <v>1200</v>
      </c>
      <c r="E371" s="90">
        <f t="shared" si="19"/>
        <v>0</v>
      </c>
    </row>
    <row r="372" spans="1:5" x14ac:dyDescent="0.2">
      <c r="A372" s="90" t="s">
        <v>306</v>
      </c>
      <c r="B372" s="75" t="s">
        <v>373</v>
      </c>
      <c r="C372" s="90">
        <v>750</v>
      </c>
      <c r="D372" s="90">
        <v>630</v>
      </c>
      <c r="E372" s="90">
        <f t="shared" si="19"/>
        <v>0</v>
      </c>
    </row>
    <row r="373" spans="1:5" x14ac:dyDescent="0.2">
      <c r="A373" s="90" t="s">
        <v>306</v>
      </c>
      <c r="B373" s="75" t="s">
        <v>373</v>
      </c>
      <c r="C373" s="90">
        <v>1000</v>
      </c>
      <c r="D373" s="90">
        <v>950</v>
      </c>
      <c r="E373" s="90">
        <f t="shared" si="19"/>
        <v>0</v>
      </c>
    </row>
    <row r="374" spans="1:5" x14ac:dyDescent="0.2">
      <c r="A374" s="90" t="s">
        <v>306</v>
      </c>
      <c r="B374" s="75" t="s">
        <v>373</v>
      </c>
      <c r="C374" s="90">
        <v>1150</v>
      </c>
      <c r="D374" s="90">
        <v>1150</v>
      </c>
      <c r="E374" s="90">
        <f t="shared" si="19"/>
        <v>0</v>
      </c>
    </row>
    <row r="375" spans="1:5" x14ac:dyDescent="0.2">
      <c r="A375" s="90" t="s">
        <v>306</v>
      </c>
      <c r="B375" s="75" t="s">
        <v>373</v>
      </c>
      <c r="C375" s="90">
        <v>1250</v>
      </c>
      <c r="D375" s="90">
        <v>1250</v>
      </c>
      <c r="E375" s="90">
        <f t="shared" si="19"/>
        <v>0</v>
      </c>
    </row>
    <row r="376" spans="1:5" x14ac:dyDescent="0.2">
      <c r="A376" s="90" t="s">
        <v>306</v>
      </c>
      <c r="B376" s="75" t="s">
        <v>373</v>
      </c>
      <c r="C376" s="90">
        <v>1350</v>
      </c>
      <c r="D376" s="90">
        <v>1400</v>
      </c>
      <c r="E376" s="90">
        <f t="shared" si="19"/>
        <v>0</v>
      </c>
    </row>
    <row r="377" spans="1:5" x14ac:dyDescent="0.2">
      <c r="A377" s="90" t="s">
        <v>306</v>
      </c>
      <c r="B377" s="75" t="s">
        <v>373</v>
      </c>
      <c r="C377" s="90">
        <v>1450</v>
      </c>
      <c r="D377" s="90">
        <v>1500</v>
      </c>
      <c r="E377" s="90">
        <f t="shared" si="19"/>
        <v>0</v>
      </c>
    </row>
    <row r="378" spans="1:5" x14ac:dyDescent="0.2">
      <c r="A378" s="90" t="s">
        <v>306</v>
      </c>
      <c r="B378" s="75" t="s">
        <v>373</v>
      </c>
      <c r="C378" s="90">
        <v>1600</v>
      </c>
      <c r="D378" s="90">
        <v>1700</v>
      </c>
      <c r="E378" s="90">
        <f t="shared" si="19"/>
        <v>0</v>
      </c>
    </row>
    <row r="379" spans="1:5" ht="20.25" x14ac:dyDescent="0.15">
      <c r="A379" s="90" t="s">
        <v>306</v>
      </c>
      <c r="B379" s="75" t="s">
        <v>375</v>
      </c>
      <c r="C379" s="90">
        <v>600</v>
      </c>
      <c r="D379" s="90">
        <v>410</v>
      </c>
      <c r="E379" s="90">
        <f t="shared" si="19"/>
        <v>0</v>
      </c>
    </row>
    <row r="380" spans="1:5" ht="20.25" x14ac:dyDescent="0.15">
      <c r="A380" s="90" t="s">
        <v>306</v>
      </c>
      <c r="B380" s="75" t="s">
        <v>375</v>
      </c>
      <c r="C380" s="90">
        <v>750</v>
      </c>
      <c r="D380" s="90">
        <v>550</v>
      </c>
      <c r="E380" s="90">
        <f t="shared" si="19"/>
        <v>0</v>
      </c>
    </row>
    <row r="381" spans="1:5" ht="20.25" x14ac:dyDescent="0.15">
      <c r="A381" s="90" t="s">
        <v>306</v>
      </c>
      <c r="B381" s="75" t="s">
        <v>375</v>
      </c>
      <c r="C381" s="90">
        <v>1000</v>
      </c>
      <c r="D381" s="90">
        <v>800</v>
      </c>
      <c r="E381" s="90">
        <f t="shared" si="19"/>
        <v>0</v>
      </c>
    </row>
    <row r="382" spans="1:5" ht="20.25" x14ac:dyDescent="0.15">
      <c r="A382" s="90" t="s">
        <v>306</v>
      </c>
      <c r="B382" s="75" t="s">
        <v>375</v>
      </c>
      <c r="C382" s="90">
        <v>1100</v>
      </c>
      <c r="D382" s="90">
        <v>800</v>
      </c>
      <c r="E382" s="90">
        <f t="shared" si="19"/>
        <v>0</v>
      </c>
    </row>
    <row r="383" spans="1:5" ht="20.25" x14ac:dyDescent="0.15">
      <c r="A383" s="90" t="s">
        <v>306</v>
      </c>
      <c r="B383" s="75" t="s">
        <v>375</v>
      </c>
      <c r="C383" s="90">
        <v>1250</v>
      </c>
      <c r="D383" s="90">
        <v>1050</v>
      </c>
      <c r="E383" s="90">
        <f t="shared" si="19"/>
        <v>0</v>
      </c>
    </row>
    <row r="384" spans="1:5" ht="20.25" x14ac:dyDescent="0.15">
      <c r="A384" s="90" t="s">
        <v>306</v>
      </c>
      <c r="B384" s="75" t="s">
        <v>375</v>
      </c>
      <c r="C384" s="90">
        <v>1400</v>
      </c>
      <c r="D384" s="90">
        <v>1200</v>
      </c>
      <c r="E384" s="90">
        <f t="shared" si="19"/>
        <v>0</v>
      </c>
    </row>
    <row r="385" spans="1:5" ht="20.25" x14ac:dyDescent="0.15">
      <c r="A385" s="90" t="s">
        <v>306</v>
      </c>
      <c r="B385" s="75" t="s">
        <v>376</v>
      </c>
      <c r="C385" s="90">
        <v>750</v>
      </c>
      <c r="D385" s="90">
        <v>630</v>
      </c>
      <c r="E385" s="90">
        <f t="shared" si="19"/>
        <v>0</v>
      </c>
    </row>
    <row r="386" spans="1:5" ht="20.25" x14ac:dyDescent="0.15">
      <c r="A386" s="90" t="s">
        <v>306</v>
      </c>
      <c r="B386" s="75" t="s">
        <v>376</v>
      </c>
      <c r="C386" s="90">
        <v>1000</v>
      </c>
      <c r="D386" s="90">
        <v>950</v>
      </c>
      <c r="E386" s="90">
        <f t="shared" si="19"/>
        <v>0</v>
      </c>
    </row>
    <row r="387" spans="1:5" ht="20.25" x14ac:dyDescent="0.15">
      <c r="A387" s="90" t="s">
        <v>306</v>
      </c>
      <c r="B387" s="75" t="s">
        <v>376</v>
      </c>
      <c r="C387" s="90">
        <v>1150</v>
      </c>
      <c r="D387" s="90">
        <v>1150</v>
      </c>
      <c r="E387" s="90">
        <f t="shared" si="19"/>
        <v>0</v>
      </c>
    </row>
    <row r="388" spans="1:5" ht="20.25" x14ac:dyDescent="0.15">
      <c r="A388" s="90" t="s">
        <v>306</v>
      </c>
      <c r="B388" s="75" t="s">
        <v>376</v>
      </c>
      <c r="C388" s="90">
        <v>1250</v>
      </c>
      <c r="D388" s="90">
        <v>1250</v>
      </c>
      <c r="E388" s="90">
        <f t="shared" si="19"/>
        <v>0</v>
      </c>
    </row>
    <row r="389" spans="1:5" ht="20.25" x14ac:dyDescent="0.15">
      <c r="A389" s="90" t="s">
        <v>306</v>
      </c>
      <c r="B389" s="75" t="s">
        <v>376</v>
      </c>
      <c r="C389" s="90">
        <v>1350</v>
      </c>
      <c r="D389" s="90">
        <v>1400</v>
      </c>
      <c r="E389" s="90">
        <f t="shared" si="19"/>
        <v>0</v>
      </c>
    </row>
    <row r="390" spans="1:5" ht="20.25" x14ac:dyDescent="0.15">
      <c r="A390" s="90" t="s">
        <v>306</v>
      </c>
      <c r="B390" s="75" t="s">
        <v>376</v>
      </c>
      <c r="C390" s="90">
        <v>1450</v>
      </c>
      <c r="D390" s="90">
        <v>1500</v>
      </c>
      <c r="E390" s="90">
        <f t="shared" si="19"/>
        <v>0</v>
      </c>
    </row>
    <row r="391" spans="1:5" ht="20.25" x14ac:dyDescent="0.15">
      <c r="A391" s="90" t="s">
        <v>306</v>
      </c>
      <c r="B391" s="75" t="s">
        <v>376</v>
      </c>
      <c r="C391" s="90">
        <v>1600</v>
      </c>
      <c r="D391" s="90">
        <v>1700</v>
      </c>
      <c r="E391" s="90">
        <f t="shared" si="19"/>
        <v>0</v>
      </c>
    </row>
    <row r="392" spans="1:5" x14ac:dyDescent="0.2">
      <c r="A392" s="90" t="s">
        <v>306</v>
      </c>
      <c r="B392" s="75" t="s">
        <v>381</v>
      </c>
      <c r="C392" s="90">
        <v>625</v>
      </c>
      <c r="D392" s="90">
        <v>450</v>
      </c>
      <c r="E392" s="90">
        <f t="shared" si="19"/>
        <v>0</v>
      </c>
    </row>
    <row r="393" spans="1:5" x14ac:dyDescent="0.2">
      <c r="A393" s="90" t="s">
        <v>306</v>
      </c>
      <c r="B393" s="75" t="s">
        <v>381</v>
      </c>
      <c r="C393" s="90">
        <v>775</v>
      </c>
      <c r="D393" s="90">
        <v>560</v>
      </c>
      <c r="E393" s="90">
        <f t="shared" si="19"/>
        <v>0</v>
      </c>
    </row>
    <row r="394" spans="1:5" x14ac:dyDescent="0.2">
      <c r="A394" s="90" t="s">
        <v>306</v>
      </c>
      <c r="B394" s="75" t="s">
        <v>381</v>
      </c>
      <c r="C394" s="90">
        <v>932</v>
      </c>
      <c r="D394" s="90">
        <v>800</v>
      </c>
      <c r="E394" s="90">
        <f t="shared" si="19"/>
        <v>0</v>
      </c>
    </row>
    <row r="395" spans="1:5" x14ac:dyDescent="0.2">
      <c r="A395" s="90" t="s">
        <v>306</v>
      </c>
      <c r="B395" s="75" t="s">
        <v>381</v>
      </c>
      <c r="C395" s="90">
        <v>1082</v>
      </c>
      <c r="D395" s="90">
        <v>1000</v>
      </c>
      <c r="E395" s="90">
        <f t="shared" si="19"/>
        <v>0</v>
      </c>
    </row>
    <row r="396" spans="1:5" x14ac:dyDescent="0.2">
      <c r="A396" s="90" t="s">
        <v>306</v>
      </c>
      <c r="B396" s="75" t="s">
        <v>381</v>
      </c>
      <c r="C396" s="90">
        <v>1227</v>
      </c>
      <c r="D396" s="90">
        <v>1200</v>
      </c>
      <c r="E396" s="90">
        <f t="shared" si="19"/>
        <v>0</v>
      </c>
    </row>
    <row r="397" spans="1:5" x14ac:dyDescent="0.2">
      <c r="A397" s="90" t="s">
        <v>306</v>
      </c>
      <c r="B397" s="75" t="s">
        <v>381</v>
      </c>
      <c r="C397" s="90">
        <v>1382</v>
      </c>
      <c r="D397" s="90">
        <v>1400</v>
      </c>
      <c r="E397" s="90">
        <f t="shared" si="19"/>
        <v>0</v>
      </c>
    </row>
    <row r="398" spans="1:5" x14ac:dyDescent="0.2">
      <c r="A398" s="90" t="s">
        <v>306</v>
      </c>
      <c r="B398" s="75" t="s">
        <v>381</v>
      </c>
      <c r="C398" s="90">
        <v>1519</v>
      </c>
      <c r="D398" s="90">
        <v>1500</v>
      </c>
      <c r="E398" s="90">
        <f t="shared" si="19"/>
        <v>0</v>
      </c>
    </row>
    <row r="399" spans="1:5" x14ac:dyDescent="0.2">
      <c r="A399" s="90" t="s">
        <v>306</v>
      </c>
      <c r="B399" s="75" t="s">
        <v>381</v>
      </c>
      <c r="C399" s="90">
        <v>1725</v>
      </c>
      <c r="D399" s="90">
        <v>1200</v>
      </c>
      <c r="E399" s="90">
        <f t="shared" si="19"/>
        <v>0</v>
      </c>
    </row>
    <row r="400" spans="1:5" x14ac:dyDescent="0.2">
      <c r="A400" s="90" t="s">
        <v>306</v>
      </c>
      <c r="B400" s="75" t="s">
        <v>382</v>
      </c>
      <c r="C400" s="90">
        <v>775</v>
      </c>
      <c r="D400" s="90">
        <v>700</v>
      </c>
      <c r="E400" s="90">
        <f t="shared" si="19"/>
        <v>0</v>
      </c>
    </row>
    <row r="401" spans="1:5" x14ac:dyDescent="0.2">
      <c r="A401" s="90" t="s">
        <v>306</v>
      </c>
      <c r="B401" s="75" t="s">
        <v>382</v>
      </c>
      <c r="C401" s="90">
        <v>948</v>
      </c>
      <c r="D401" s="90">
        <v>900</v>
      </c>
      <c r="E401" s="90">
        <f t="shared" si="19"/>
        <v>0</v>
      </c>
    </row>
    <row r="402" spans="1:5" x14ac:dyDescent="0.2">
      <c r="A402" s="90" t="s">
        <v>306</v>
      </c>
      <c r="B402" s="75" t="s">
        <v>382</v>
      </c>
      <c r="C402" s="90">
        <v>1098</v>
      </c>
      <c r="D402" s="90">
        <v>1100</v>
      </c>
      <c r="E402" s="90">
        <f t="shared" si="19"/>
        <v>0</v>
      </c>
    </row>
    <row r="403" spans="1:5" x14ac:dyDescent="0.2">
      <c r="A403" s="90" t="s">
        <v>306</v>
      </c>
      <c r="B403" s="75" t="s">
        <v>382</v>
      </c>
      <c r="C403" s="90">
        <v>1248</v>
      </c>
      <c r="D403" s="90">
        <v>1300</v>
      </c>
      <c r="E403" s="90">
        <f t="shared" si="19"/>
        <v>0</v>
      </c>
    </row>
    <row r="404" spans="1:5" x14ac:dyDescent="0.2">
      <c r="A404" s="90" t="s">
        <v>306</v>
      </c>
      <c r="B404" s="75" t="s">
        <v>382</v>
      </c>
      <c r="C404" s="90">
        <v>1378</v>
      </c>
      <c r="D404" s="90">
        <v>1200</v>
      </c>
      <c r="E404" s="90">
        <f t="shared" ref="E404:E467" si="20">+IF(AND($E$80=A404,$E$81=B404,$E$82=C404),D404,0)</f>
        <v>0</v>
      </c>
    </row>
    <row r="405" spans="1:5" x14ac:dyDescent="0.2">
      <c r="A405" s="90" t="s">
        <v>306</v>
      </c>
      <c r="B405" s="75" t="s">
        <v>382</v>
      </c>
      <c r="C405" s="90">
        <v>1395</v>
      </c>
      <c r="D405" s="90">
        <v>1500</v>
      </c>
      <c r="E405" s="90">
        <f t="shared" si="20"/>
        <v>0</v>
      </c>
    </row>
    <row r="406" spans="1:5" x14ac:dyDescent="0.2">
      <c r="A406" s="90" t="s">
        <v>306</v>
      </c>
      <c r="B406" s="75" t="s">
        <v>382</v>
      </c>
      <c r="C406" s="90">
        <v>1522</v>
      </c>
      <c r="D406" s="90">
        <v>1700</v>
      </c>
      <c r="E406" s="90">
        <f t="shared" si="20"/>
        <v>0</v>
      </c>
    </row>
    <row r="407" spans="1:5" x14ac:dyDescent="0.2">
      <c r="A407" s="90" t="s">
        <v>306</v>
      </c>
      <c r="B407" s="75" t="s">
        <v>382</v>
      </c>
      <c r="C407" s="90">
        <v>1680</v>
      </c>
      <c r="D407" s="90">
        <v>1900</v>
      </c>
      <c r="E407" s="90">
        <f t="shared" si="20"/>
        <v>0</v>
      </c>
    </row>
    <row r="408" spans="1:5" ht="20.25" x14ac:dyDescent="0.15">
      <c r="A408" s="90" t="s">
        <v>306</v>
      </c>
      <c r="B408" s="75" t="s">
        <v>374</v>
      </c>
      <c r="C408" s="90">
        <v>1440</v>
      </c>
      <c r="D408" s="90">
        <v>1300</v>
      </c>
      <c r="E408" s="90">
        <f t="shared" si="20"/>
        <v>0</v>
      </c>
    </row>
    <row r="409" spans="1:5" x14ac:dyDescent="0.2">
      <c r="A409" s="90" t="s">
        <v>306</v>
      </c>
      <c r="B409" s="75" t="s">
        <v>379</v>
      </c>
      <c r="C409" s="90">
        <v>600</v>
      </c>
      <c r="D409" s="90">
        <v>410</v>
      </c>
      <c r="E409" s="90">
        <f t="shared" si="20"/>
        <v>0</v>
      </c>
    </row>
    <row r="410" spans="1:5" x14ac:dyDescent="0.2">
      <c r="A410" s="90" t="s">
        <v>306</v>
      </c>
      <c r="B410" s="75" t="s">
        <v>379</v>
      </c>
      <c r="C410" s="90">
        <v>750</v>
      </c>
      <c r="D410" s="90">
        <v>550</v>
      </c>
      <c r="E410" s="90">
        <f t="shared" si="20"/>
        <v>0</v>
      </c>
    </row>
    <row r="411" spans="1:5" x14ac:dyDescent="0.2">
      <c r="A411" s="90" t="s">
        <v>306</v>
      </c>
      <c r="B411" s="75" t="s">
        <v>379</v>
      </c>
      <c r="C411" s="90">
        <v>1000</v>
      </c>
      <c r="D411" s="90">
        <v>800</v>
      </c>
      <c r="E411" s="90">
        <f t="shared" si="20"/>
        <v>0</v>
      </c>
    </row>
    <row r="412" spans="1:5" x14ac:dyDescent="0.2">
      <c r="A412" s="90" t="s">
        <v>306</v>
      </c>
      <c r="B412" s="75" t="s">
        <v>379</v>
      </c>
      <c r="C412" s="90">
        <v>1250</v>
      </c>
      <c r="D412" s="90">
        <v>1050</v>
      </c>
      <c r="E412" s="90">
        <f t="shared" si="20"/>
        <v>0</v>
      </c>
    </row>
    <row r="413" spans="1:5" x14ac:dyDescent="0.2">
      <c r="A413" s="90" t="s">
        <v>306</v>
      </c>
      <c r="B413" s="75" t="s">
        <v>380</v>
      </c>
      <c r="C413" s="90">
        <v>750</v>
      </c>
      <c r="D413" s="90">
        <v>630</v>
      </c>
      <c r="E413" s="90">
        <f t="shared" si="20"/>
        <v>0</v>
      </c>
    </row>
    <row r="414" spans="1:5" x14ac:dyDescent="0.2">
      <c r="A414" s="90" t="s">
        <v>306</v>
      </c>
      <c r="B414" s="75" t="s">
        <v>380</v>
      </c>
      <c r="C414" s="90">
        <v>1000</v>
      </c>
      <c r="D414" s="90">
        <v>950</v>
      </c>
      <c r="E414" s="90">
        <f t="shared" si="20"/>
        <v>0</v>
      </c>
    </row>
    <row r="415" spans="1:5" x14ac:dyDescent="0.2">
      <c r="A415" s="90" t="s">
        <v>306</v>
      </c>
      <c r="B415" s="75" t="s">
        <v>380</v>
      </c>
      <c r="C415" s="90">
        <v>1350</v>
      </c>
      <c r="D415" s="90">
        <v>1400</v>
      </c>
      <c r="E415" s="90">
        <f t="shared" si="20"/>
        <v>0</v>
      </c>
    </row>
    <row r="416" spans="1:5" ht="20.25" x14ac:dyDescent="0.15">
      <c r="A416" s="90" t="s">
        <v>306</v>
      </c>
      <c r="B416" s="75" t="s">
        <v>390</v>
      </c>
      <c r="C416" s="90">
        <v>625</v>
      </c>
      <c r="D416" s="90">
        <v>450</v>
      </c>
      <c r="E416" s="90">
        <f t="shared" si="20"/>
        <v>0</v>
      </c>
    </row>
    <row r="417" spans="1:5" ht="20.25" x14ac:dyDescent="0.15">
      <c r="A417" s="90" t="s">
        <v>306</v>
      </c>
      <c r="B417" s="75" t="s">
        <v>390</v>
      </c>
      <c r="C417" s="90">
        <v>775</v>
      </c>
      <c r="D417" s="90">
        <v>600</v>
      </c>
      <c r="E417" s="90">
        <f t="shared" si="20"/>
        <v>0</v>
      </c>
    </row>
    <row r="418" spans="1:5" ht="20.25" x14ac:dyDescent="0.15">
      <c r="A418" s="90" t="s">
        <v>306</v>
      </c>
      <c r="B418" s="75" t="s">
        <v>390</v>
      </c>
      <c r="C418" s="90">
        <v>932</v>
      </c>
      <c r="D418" s="90">
        <v>800</v>
      </c>
      <c r="E418" s="90">
        <f t="shared" si="20"/>
        <v>0</v>
      </c>
    </row>
    <row r="419" spans="1:5" ht="20.25" x14ac:dyDescent="0.15">
      <c r="A419" s="90" t="s">
        <v>306</v>
      </c>
      <c r="B419" s="75" t="s">
        <v>390</v>
      </c>
      <c r="C419" s="90">
        <v>1075</v>
      </c>
      <c r="D419" s="90">
        <v>2000</v>
      </c>
      <c r="E419" s="90">
        <f t="shared" si="20"/>
        <v>0</v>
      </c>
    </row>
    <row r="420" spans="1:5" x14ac:dyDescent="0.2">
      <c r="A420" s="90" t="s">
        <v>306</v>
      </c>
      <c r="B420" s="75" t="s">
        <v>389</v>
      </c>
      <c r="C420" s="90">
        <v>948</v>
      </c>
      <c r="D420" s="90">
        <v>900</v>
      </c>
      <c r="E420" s="90">
        <f t="shared" si="20"/>
        <v>0</v>
      </c>
    </row>
    <row r="421" spans="1:5" x14ac:dyDescent="0.2">
      <c r="A421" s="90" t="s">
        <v>306</v>
      </c>
      <c r="B421" s="75" t="s">
        <v>389</v>
      </c>
      <c r="C421" s="90">
        <v>1098</v>
      </c>
      <c r="D421" s="90">
        <v>2200</v>
      </c>
      <c r="E421" s="90">
        <f t="shared" si="20"/>
        <v>0</v>
      </c>
    </row>
    <row r="422" spans="1:5" x14ac:dyDescent="0.2">
      <c r="A422" s="90" t="s">
        <v>306</v>
      </c>
      <c r="B422" s="75" t="s">
        <v>389</v>
      </c>
      <c r="C422" s="90">
        <v>1248</v>
      </c>
      <c r="D422" s="90">
        <v>2300</v>
      </c>
      <c r="E422" s="90">
        <f t="shared" si="20"/>
        <v>0</v>
      </c>
    </row>
    <row r="423" spans="1:5" x14ac:dyDescent="0.2">
      <c r="A423" s="90" t="s">
        <v>306</v>
      </c>
      <c r="B423" s="75" t="s">
        <v>377</v>
      </c>
      <c r="C423" s="90">
        <v>1800</v>
      </c>
      <c r="D423" s="90">
        <v>490</v>
      </c>
      <c r="E423" s="90">
        <f t="shared" si="20"/>
        <v>0</v>
      </c>
    </row>
    <row r="424" spans="1:5" x14ac:dyDescent="0.2">
      <c r="A424" s="90" t="s">
        <v>306</v>
      </c>
      <c r="B424" s="75" t="s">
        <v>377</v>
      </c>
      <c r="C424" s="90">
        <v>2000</v>
      </c>
      <c r="D424" s="90">
        <v>550</v>
      </c>
      <c r="E424" s="90">
        <f t="shared" si="20"/>
        <v>0</v>
      </c>
    </row>
    <row r="425" spans="1:5" x14ac:dyDescent="0.2">
      <c r="A425" s="90" t="s">
        <v>306</v>
      </c>
      <c r="B425" s="75" t="s">
        <v>377</v>
      </c>
      <c r="C425" s="90">
        <v>2200</v>
      </c>
      <c r="D425" s="90">
        <v>610</v>
      </c>
      <c r="E425" s="90">
        <f t="shared" si="20"/>
        <v>0</v>
      </c>
    </row>
    <row r="426" spans="1:5" x14ac:dyDescent="0.2">
      <c r="A426" s="90" t="s">
        <v>306</v>
      </c>
      <c r="B426" s="75" t="s">
        <v>378</v>
      </c>
      <c r="C426" s="90">
        <v>2000</v>
      </c>
      <c r="D426" s="90">
        <v>730</v>
      </c>
      <c r="E426" s="90">
        <f t="shared" si="20"/>
        <v>0</v>
      </c>
    </row>
    <row r="427" spans="1:5" x14ac:dyDescent="0.2">
      <c r="A427" s="90" t="s">
        <v>306</v>
      </c>
      <c r="B427" s="75" t="s">
        <v>378</v>
      </c>
      <c r="C427" s="90">
        <v>2200</v>
      </c>
      <c r="D427" s="90">
        <v>805</v>
      </c>
      <c r="E427" s="90">
        <f t="shared" si="20"/>
        <v>0</v>
      </c>
    </row>
    <row r="428" spans="1:5" x14ac:dyDescent="0.2">
      <c r="A428" s="90" t="s">
        <v>306</v>
      </c>
      <c r="B428" s="75" t="s">
        <v>378</v>
      </c>
      <c r="C428" s="90">
        <v>2400</v>
      </c>
      <c r="D428" s="90">
        <v>880</v>
      </c>
      <c r="E428" s="90">
        <f t="shared" si="20"/>
        <v>0</v>
      </c>
    </row>
    <row r="429" spans="1:5" x14ac:dyDescent="0.2">
      <c r="A429" s="90" t="s">
        <v>306</v>
      </c>
      <c r="B429" s="75" t="s">
        <v>377</v>
      </c>
      <c r="C429" s="90">
        <v>1422</v>
      </c>
      <c r="D429" s="90">
        <v>900</v>
      </c>
      <c r="E429" s="90">
        <f t="shared" si="20"/>
        <v>0</v>
      </c>
    </row>
    <row r="430" spans="1:5" x14ac:dyDescent="0.2">
      <c r="A430" s="90" t="s">
        <v>306</v>
      </c>
      <c r="B430" s="75" t="s">
        <v>377</v>
      </c>
      <c r="C430" s="90">
        <v>1727</v>
      </c>
      <c r="D430" s="90">
        <v>1100</v>
      </c>
      <c r="E430" s="90">
        <f t="shared" si="20"/>
        <v>0</v>
      </c>
    </row>
    <row r="431" spans="1:5" x14ac:dyDescent="0.2">
      <c r="A431" s="90" t="s">
        <v>306</v>
      </c>
      <c r="B431" s="75" t="s">
        <v>378</v>
      </c>
      <c r="C431" s="90">
        <v>1676</v>
      </c>
      <c r="D431" s="90">
        <v>1100</v>
      </c>
      <c r="E431" s="90">
        <f t="shared" si="20"/>
        <v>0</v>
      </c>
    </row>
    <row r="432" spans="1:5" x14ac:dyDescent="0.2">
      <c r="A432" s="90" t="s">
        <v>306</v>
      </c>
      <c r="B432" s="75" t="s">
        <v>378</v>
      </c>
      <c r="C432" s="90">
        <v>1829</v>
      </c>
      <c r="D432" s="90">
        <v>1200</v>
      </c>
      <c r="E432" s="90">
        <f t="shared" si="20"/>
        <v>0</v>
      </c>
    </row>
    <row r="433" spans="1:5" x14ac:dyDescent="0.2">
      <c r="A433" s="90" t="s">
        <v>306</v>
      </c>
      <c r="B433" s="75" t="s">
        <v>385</v>
      </c>
      <c r="C433" s="90">
        <v>1400</v>
      </c>
      <c r="D433" s="90">
        <v>605</v>
      </c>
      <c r="E433" s="90">
        <f t="shared" si="20"/>
        <v>0</v>
      </c>
    </row>
    <row r="434" spans="1:5" x14ac:dyDescent="0.2">
      <c r="A434" s="90" t="s">
        <v>306</v>
      </c>
      <c r="B434" s="75" t="s">
        <v>385</v>
      </c>
      <c r="C434" s="90">
        <v>1600</v>
      </c>
      <c r="D434" s="90">
        <v>700</v>
      </c>
      <c r="E434" s="90">
        <f t="shared" si="20"/>
        <v>0</v>
      </c>
    </row>
    <row r="435" spans="1:5" x14ac:dyDescent="0.2">
      <c r="A435" s="90" t="s">
        <v>306</v>
      </c>
      <c r="B435" s="75" t="s">
        <v>385</v>
      </c>
      <c r="C435" s="90">
        <v>1800</v>
      </c>
      <c r="D435" s="90">
        <v>790</v>
      </c>
      <c r="E435" s="90">
        <f t="shared" si="20"/>
        <v>0</v>
      </c>
    </row>
    <row r="436" spans="1:5" x14ac:dyDescent="0.2">
      <c r="A436" s="90" t="s">
        <v>306</v>
      </c>
      <c r="B436" s="75" t="s">
        <v>385</v>
      </c>
      <c r="C436" s="90">
        <v>2000</v>
      </c>
      <c r="D436" s="90">
        <v>880</v>
      </c>
      <c r="E436" s="90">
        <f t="shared" si="20"/>
        <v>0</v>
      </c>
    </row>
    <row r="437" spans="1:5" x14ac:dyDescent="0.2">
      <c r="A437" s="90" t="s">
        <v>306</v>
      </c>
      <c r="B437" s="75" t="s">
        <v>386</v>
      </c>
      <c r="C437" s="90">
        <v>1600</v>
      </c>
      <c r="D437" s="90">
        <v>940</v>
      </c>
      <c r="E437" s="90">
        <f t="shared" si="20"/>
        <v>0</v>
      </c>
    </row>
    <row r="438" spans="1:5" x14ac:dyDescent="0.2">
      <c r="A438" s="90" t="s">
        <v>306</v>
      </c>
      <c r="B438" s="75" t="s">
        <v>386</v>
      </c>
      <c r="C438" s="90">
        <v>1800</v>
      </c>
      <c r="D438" s="90">
        <v>1065</v>
      </c>
      <c r="E438" s="90">
        <f t="shared" si="20"/>
        <v>0</v>
      </c>
    </row>
    <row r="439" spans="1:5" x14ac:dyDescent="0.2">
      <c r="A439" s="90" t="s">
        <v>306</v>
      </c>
      <c r="B439" s="75" t="s">
        <v>386</v>
      </c>
      <c r="C439" s="90">
        <v>2000</v>
      </c>
      <c r="D439" s="90">
        <v>1190</v>
      </c>
      <c r="E439" s="90">
        <f t="shared" si="20"/>
        <v>0</v>
      </c>
    </row>
    <row r="440" spans="1:5" x14ac:dyDescent="0.2">
      <c r="A440" s="90" t="s">
        <v>306</v>
      </c>
      <c r="B440" s="75" t="s">
        <v>386</v>
      </c>
      <c r="C440" s="90">
        <v>2200</v>
      </c>
      <c r="D440" s="90">
        <v>1315</v>
      </c>
      <c r="E440" s="90">
        <f t="shared" si="20"/>
        <v>0</v>
      </c>
    </row>
    <row r="441" spans="1:5" x14ac:dyDescent="0.2">
      <c r="A441" s="90" t="s">
        <v>306</v>
      </c>
      <c r="B441" s="75" t="s">
        <v>387</v>
      </c>
      <c r="C441" s="90">
        <v>1400</v>
      </c>
      <c r="D441" s="90">
        <v>605</v>
      </c>
      <c r="E441" s="90">
        <f t="shared" si="20"/>
        <v>0</v>
      </c>
    </row>
    <row r="442" spans="1:5" x14ac:dyDescent="0.2">
      <c r="A442" s="90" t="s">
        <v>306</v>
      </c>
      <c r="B442" s="75" t="s">
        <v>387</v>
      </c>
      <c r="C442" s="90">
        <v>1600</v>
      </c>
      <c r="D442" s="90">
        <v>700</v>
      </c>
      <c r="E442" s="90">
        <f t="shared" si="20"/>
        <v>0</v>
      </c>
    </row>
    <row r="443" spans="1:5" x14ac:dyDescent="0.2">
      <c r="A443" s="90" t="s">
        <v>306</v>
      </c>
      <c r="B443" s="75" t="s">
        <v>387</v>
      </c>
      <c r="C443" s="90">
        <v>1800</v>
      </c>
      <c r="D443" s="90">
        <v>790</v>
      </c>
      <c r="E443" s="90">
        <f t="shared" si="20"/>
        <v>0</v>
      </c>
    </row>
    <row r="444" spans="1:5" x14ac:dyDescent="0.2">
      <c r="A444" s="90" t="s">
        <v>306</v>
      </c>
      <c r="B444" s="75" t="s">
        <v>387</v>
      </c>
      <c r="C444" s="90">
        <v>2000</v>
      </c>
      <c r="D444" s="90">
        <v>880</v>
      </c>
      <c r="E444" s="90">
        <f t="shared" si="20"/>
        <v>0</v>
      </c>
    </row>
    <row r="445" spans="1:5" x14ac:dyDescent="0.2">
      <c r="A445" s="90" t="s">
        <v>306</v>
      </c>
      <c r="B445" s="75" t="s">
        <v>388</v>
      </c>
      <c r="C445" s="90">
        <v>1600</v>
      </c>
      <c r="D445" s="90">
        <v>940</v>
      </c>
      <c r="E445" s="90">
        <f t="shared" si="20"/>
        <v>0</v>
      </c>
    </row>
    <row r="446" spans="1:5" x14ac:dyDescent="0.2">
      <c r="A446" s="90" t="s">
        <v>306</v>
      </c>
      <c r="B446" s="75" t="s">
        <v>388</v>
      </c>
      <c r="C446" s="90">
        <v>1800</v>
      </c>
      <c r="D446" s="90">
        <v>1065</v>
      </c>
      <c r="E446" s="90">
        <f t="shared" si="20"/>
        <v>0</v>
      </c>
    </row>
    <row r="447" spans="1:5" x14ac:dyDescent="0.2">
      <c r="A447" s="90" t="s">
        <v>306</v>
      </c>
      <c r="B447" s="75" t="s">
        <v>388</v>
      </c>
      <c r="C447" s="90">
        <v>2000</v>
      </c>
      <c r="D447" s="90">
        <v>1190</v>
      </c>
      <c r="E447" s="90">
        <f t="shared" si="20"/>
        <v>0</v>
      </c>
    </row>
    <row r="448" spans="1:5" x14ac:dyDescent="0.2">
      <c r="A448" s="90" t="s">
        <v>306</v>
      </c>
      <c r="B448" s="75" t="s">
        <v>388</v>
      </c>
      <c r="C448" s="90">
        <v>2200</v>
      </c>
      <c r="D448" s="90">
        <v>1315</v>
      </c>
      <c r="E448" s="90">
        <f t="shared" si="20"/>
        <v>0</v>
      </c>
    </row>
    <row r="449" spans="1:5" x14ac:dyDescent="0.2">
      <c r="A449" s="90" t="s">
        <v>307</v>
      </c>
      <c r="B449" s="75" t="s">
        <v>406</v>
      </c>
      <c r="C449" s="90">
        <v>775</v>
      </c>
      <c r="D449" s="90">
        <v>700</v>
      </c>
      <c r="E449" s="90">
        <f t="shared" si="20"/>
        <v>0</v>
      </c>
    </row>
    <row r="450" spans="1:5" x14ac:dyDescent="0.2">
      <c r="A450" s="90" t="s">
        <v>307</v>
      </c>
      <c r="B450" s="75" t="s">
        <v>406</v>
      </c>
      <c r="C450" s="90">
        <v>932</v>
      </c>
      <c r="D450" s="90">
        <v>900</v>
      </c>
      <c r="E450" s="90">
        <f t="shared" si="20"/>
        <v>0</v>
      </c>
    </row>
    <row r="451" spans="1:5" x14ac:dyDescent="0.2">
      <c r="A451" s="90" t="s">
        <v>307</v>
      </c>
      <c r="B451" s="75" t="s">
        <v>406</v>
      </c>
      <c r="C451" s="90">
        <v>1082</v>
      </c>
      <c r="D451" s="90">
        <v>1100</v>
      </c>
      <c r="E451" s="90">
        <f t="shared" si="20"/>
        <v>0</v>
      </c>
    </row>
    <row r="452" spans="1:5" x14ac:dyDescent="0.2">
      <c r="A452" s="90" t="s">
        <v>307</v>
      </c>
      <c r="B452" s="75" t="s">
        <v>406</v>
      </c>
      <c r="C452" s="90">
        <v>1230</v>
      </c>
      <c r="D452" s="90">
        <v>1300</v>
      </c>
      <c r="E452" s="90">
        <f t="shared" si="20"/>
        <v>0</v>
      </c>
    </row>
    <row r="453" spans="1:5" x14ac:dyDescent="0.2">
      <c r="A453" s="90" t="s">
        <v>307</v>
      </c>
      <c r="B453" s="75" t="s">
        <v>408</v>
      </c>
      <c r="C453" s="90">
        <v>625</v>
      </c>
      <c r="D453" s="90">
        <v>600</v>
      </c>
      <c r="E453" s="90">
        <f t="shared" si="20"/>
        <v>0</v>
      </c>
    </row>
    <row r="454" spans="1:5" x14ac:dyDescent="0.2">
      <c r="A454" s="90" t="s">
        <v>307</v>
      </c>
      <c r="B454" s="75" t="s">
        <v>408</v>
      </c>
      <c r="C454" s="90">
        <v>775</v>
      </c>
      <c r="D454" s="90">
        <v>800</v>
      </c>
      <c r="E454" s="90">
        <f t="shared" si="20"/>
        <v>0</v>
      </c>
    </row>
    <row r="455" spans="1:5" x14ac:dyDescent="0.2">
      <c r="A455" s="90" t="s">
        <v>307</v>
      </c>
      <c r="B455" s="75" t="s">
        <v>408</v>
      </c>
      <c r="C455" s="90">
        <v>948</v>
      </c>
      <c r="D455" s="90">
        <v>1100</v>
      </c>
      <c r="E455" s="90">
        <f t="shared" si="20"/>
        <v>0</v>
      </c>
    </row>
    <row r="456" spans="1:5" x14ac:dyDescent="0.2">
      <c r="A456" s="90" t="s">
        <v>307</v>
      </c>
      <c r="B456" s="75" t="s">
        <v>408</v>
      </c>
      <c r="C456" s="90">
        <v>1098</v>
      </c>
      <c r="D456" s="90">
        <v>1300</v>
      </c>
      <c r="E456" s="90">
        <f t="shared" si="20"/>
        <v>0</v>
      </c>
    </row>
    <row r="457" spans="1:5" x14ac:dyDescent="0.2">
      <c r="A457" s="90" t="s">
        <v>307</v>
      </c>
      <c r="B457" s="75" t="s">
        <v>408</v>
      </c>
      <c r="C457" s="90">
        <v>1248</v>
      </c>
      <c r="D457" s="90">
        <v>1600</v>
      </c>
      <c r="E457" s="90">
        <f t="shared" si="20"/>
        <v>0</v>
      </c>
    </row>
    <row r="458" spans="1:5" x14ac:dyDescent="0.2">
      <c r="A458" s="90" t="s">
        <v>307</v>
      </c>
      <c r="B458" s="75" t="s">
        <v>408</v>
      </c>
      <c r="C458" s="90">
        <v>1395</v>
      </c>
      <c r="D458" s="90">
        <v>1900</v>
      </c>
      <c r="E458" s="90">
        <f t="shared" si="20"/>
        <v>0</v>
      </c>
    </row>
    <row r="459" spans="1:5" x14ac:dyDescent="0.2">
      <c r="A459" s="90" t="s">
        <v>307</v>
      </c>
      <c r="B459" s="75" t="s">
        <v>407</v>
      </c>
      <c r="C459" s="90">
        <v>775</v>
      </c>
      <c r="D459" s="90">
        <v>800</v>
      </c>
      <c r="E459" s="90">
        <f t="shared" si="20"/>
        <v>0</v>
      </c>
    </row>
    <row r="460" spans="1:5" x14ac:dyDescent="0.2">
      <c r="A460" s="90" t="s">
        <v>307</v>
      </c>
      <c r="B460" s="75" t="s">
        <v>407</v>
      </c>
      <c r="C460" s="90">
        <v>925</v>
      </c>
      <c r="D460" s="90">
        <v>1100</v>
      </c>
      <c r="E460" s="90">
        <f t="shared" si="20"/>
        <v>0</v>
      </c>
    </row>
    <row r="461" spans="1:5" x14ac:dyDescent="0.2">
      <c r="A461" s="90" t="s">
        <v>307</v>
      </c>
      <c r="B461" s="75" t="s">
        <v>407</v>
      </c>
      <c r="C461" s="90">
        <v>1098</v>
      </c>
      <c r="D461" s="90">
        <v>1400</v>
      </c>
      <c r="E461" s="90">
        <f t="shared" si="20"/>
        <v>0</v>
      </c>
    </row>
    <row r="462" spans="1:5" x14ac:dyDescent="0.2">
      <c r="A462" s="90" t="s">
        <v>307</v>
      </c>
      <c r="B462" s="75" t="s">
        <v>407</v>
      </c>
      <c r="C462" s="90">
        <v>1246</v>
      </c>
      <c r="D462" s="90">
        <v>1700</v>
      </c>
      <c r="E462" s="90">
        <f t="shared" si="20"/>
        <v>0</v>
      </c>
    </row>
    <row r="463" spans="1:5" x14ac:dyDescent="0.2">
      <c r="A463" s="90" t="s">
        <v>307</v>
      </c>
      <c r="B463" s="75" t="s">
        <v>407</v>
      </c>
      <c r="C463" s="90">
        <v>1400</v>
      </c>
      <c r="D463" s="90">
        <v>2000</v>
      </c>
      <c r="E463" s="90">
        <f t="shared" si="20"/>
        <v>0</v>
      </c>
    </row>
    <row r="464" spans="1:5" x14ac:dyDescent="0.2">
      <c r="A464" s="90" t="s">
        <v>307</v>
      </c>
      <c r="B464" s="75" t="s">
        <v>407</v>
      </c>
      <c r="C464" s="90">
        <v>1540</v>
      </c>
      <c r="D464" s="90">
        <v>2200</v>
      </c>
      <c r="E464" s="90">
        <f t="shared" si="20"/>
        <v>0</v>
      </c>
    </row>
    <row r="465" spans="1:5" x14ac:dyDescent="0.2">
      <c r="A465" s="90" t="s">
        <v>307</v>
      </c>
      <c r="B465" s="75" t="s">
        <v>391</v>
      </c>
      <c r="C465" s="90">
        <v>1260</v>
      </c>
      <c r="D465" s="90">
        <v>900</v>
      </c>
      <c r="E465" s="90">
        <f t="shared" si="20"/>
        <v>0</v>
      </c>
    </row>
    <row r="466" spans="1:5" x14ac:dyDescent="0.2">
      <c r="A466" s="90" t="s">
        <v>307</v>
      </c>
      <c r="B466" s="75" t="s">
        <v>395</v>
      </c>
      <c r="C466" s="90">
        <v>1225</v>
      </c>
      <c r="D466" s="90">
        <v>1000</v>
      </c>
      <c r="E466" s="90">
        <f t="shared" si="20"/>
        <v>0</v>
      </c>
    </row>
    <row r="467" spans="1:5" x14ac:dyDescent="0.2">
      <c r="A467" s="90" t="s">
        <v>307</v>
      </c>
      <c r="B467" s="75" t="s">
        <v>395</v>
      </c>
      <c r="C467" s="90">
        <v>1355</v>
      </c>
      <c r="D467" s="90">
        <v>1100</v>
      </c>
      <c r="E467" s="90">
        <f t="shared" si="20"/>
        <v>0</v>
      </c>
    </row>
    <row r="468" spans="1:5" x14ac:dyDescent="0.2">
      <c r="A468" s="90" t="s">
        <v>307</v>
      </c>
      <c r="B468" s="75" t="s">
        <v>395</v>
      </c>
      <c r="C468" s="90">
        <v>1315</v>
      </c>
      <c r="D468" s="90">
        <v>1200</v>
      </c>
      <c r="E468" s="90">
        <f t="shared" ref="E468:E531" si="21">+IF(AND($E$80=A468,$E$81=B468,$E$82=C468),D468,0)</f>
        <v>0</v>
      </c>
    </row>
    <row r="469" spans="1:5" x14ac:dyDescent="0.2">
      <c r="A469" s="90" t="s">
        <v>307</v>
      </c>
      <c r="B469" s="75" t="s">
        <v>395</v>
      </c>
      <c r="C469" s="90">
        <v>750</v>
      </c>
      <c r="D469" s="90">
        <v>630</v>
      </c>
      <c r="E469" s="90">
        <f t="shared" si="21"/>
        <v>0</v>
      </c>
    </row>
    <row r="470" spans="1:5" x14ac:dyDescent="0.2">
      <c r="A470" s="90" t="s">
        <v>307</v>
      </c>
      <c r="B470" s="75" t="s">
        <v>395</v>
      </c>
      <c r="C470" s="90">
        <v>1000</v>
      </c>
      <c r="D470" s="90">
        <v>950</v>
      </c>
      <c r="E470" s="90">
        <f t="shared" si="21"/>
        <v>0</v>
      </c>
    </row>
    <row r="471" spans="1:5" x14ac:dyDescent="0.2">
      <c r="A471" s="90" t="s">
        <v>307</v>
      </c>
      <c r="B471" s="75" t="s">
        <v>395</v>
      </c>
      <c r="C471" s="90">
        <v>1150</v>
      </c>
      <c r="D471" s="90">
        <v>1150</v>
      </c>
      <c r="E471" s="90">
        <f t="shared" si="21"/>
        <v>0</v>
      </c>
    </row>
    <row r="472" spans="1:5" x14ac:dyDescent="0.2">
      <c r="A472" s="90" t="s">
        <v>307</v>
      </c>
      <c r="B472" s="75" t="s">
        <v>395</v>
      </c>
      <c r="C472" s="90">
        <v>1250</v>
      </c>
      <c r="D472" s="90">
        <v>1250</v>
      </c>
      <c r="E472" s="90">
        <f t="shared" si="21"/>
        <v>0</v>
      </c>
    </row>
    <row r="473" spans="1:5" x14ac:dyDescent="0.2">
      <c r="A473" s="90" t="s">
        <v>307</v>
      </c>
      <c r="B473" s="75" t="s">
        <v>395</v>
      </c>
      <c r="C473" s="90">
        <v>1350</v>
      </c>
      <c r="D473" s="90">
        <v>1400</v>
      </c>
      <c r="E473" s="90">
        <f t="shared" si="21"/>
        <v>0</v>
      </c>
    </row>
    <row r="474" spans="1:5" x14ac:dyDescent="0.2">
      <c r="A474" s="90" t="s">
        <v>307</v>
      </c>
      <c r="B474" s="75" t="s">
        <v>395</v>
      </c>
      <c r="C474" s="90">
        <v>1600</v>
      </c>
      <c r="D474" s="90">
        <v>1700</v>
      </c>
      <c r="E474" s="90">
        <f t="shared" si="21"/>
        <v>0</v>
      </c>
    </row>
    <row r="475" spans="1:5" x14ac:dyDescent="0.2">
      <c r="A475" s="90" t="s">
        <v>307</v>
      </c>
      <c r="B475" s="75" t="s">
        <v>392</v>
      </c>
      <c r="C475" s="90">
        <v>1345</v>
      </c>
      <c r="D475" s="90">
        <v>1300</v>
      </c>
      <c r="E475" s="90">
        <f t="shared" si="21"/>
        <v>0</v>
      </c>
    </row>
    <row r="476" spans="1:5" x14ac:dyDescent="0.2">
      <c r="A476" s="90" t="s">
        <v>307</v>
      </c>
      <c r="B476" s="75" t="s">
        <v>392</v>
      </c>
      <c r="C476" s="90">
        <v>1430</v>
      </c>
      <c r="D476" s="90">
        <v>1400</v>
      </c>
      <c r="E476" s="90">
        <f t="shared" si="21"/>
        <v>0</v>
      </c>
    </row>
    <row r="477" spans="1:5" x14ac:dyDescent="0.2">
      <c r="A477" s="90" t="s">
        <v>307</v>
      </c>
      <c r="B477" s="75" t="s">
        <v>392</v>
      </c>
      <c r="C477" s="90">
        <v>1500</v>
      </c>
      <c r="D477" s="90">
        <v>1500</v>
      </c>
      <c r="E477" s="90">
        <f t="shared" si="21"/>
        <v>0</v>
      </c>
    </row>
    <row r="478" spans="1:5" x14ac:dyDescent="0.2">
      <c r="A478" s="90" t="s">
        <v>307</v>
      </c>
      <c r="B478" s="75" t="s">
        <v>392</v>
      </c>
      <c r="C478" s="90">
        <v>750</v>
      </c>
      <c r="D478" s="90">
        <v>660</v>
      </c>
      <c r="E478" s="90">
        <f t="shared" si="21"/>
        <v>0</v>
      </c>
    </row>
    <row r="479" spans="1:5" x14ac:dyDescent="0.2">
      <c r="A479" s="90" t="s">
        <v>307</v>
      </c>
      <c r="B479" s="75" t="s">
        <v>392</v>
      </c>
      <c r="C479" s="90">
        <v>1000</v>
      </c>
      <c r="D479" s="90">
        <v>1000</v>
      </c>
      <c r="E479" s="90">
        <f t="shared" si="21"/>
        <v>0</v>
      </c>
    </row>
    <row r="480" spans="1:5" x14ac:dyDescent="0.2">
      <c r="A480" s="90" t="s">
        <v>307</v>
      </c>
      <c r="B480" s="75" t="s">
        <v>392</v>
      </c>
      <c r="C480" s="90">
        <v>1150</v>
      </c>
      <c r="D480" s="90">
        <v>1300</v>
      </c>
      <c r="E480" s="90">
        <f t="shared" si="21"/>
        <v>0</v>
      </c>
    </row>
    <row r="481" spans="1:5" x14ac:dyDescent="0.2">
      <c r="A481" s="90" t="s">
        <v>307</v>
      </c>
      <c r="B481" s="75" t="s">
        <v>392</v>
      </c>
      <c r="C481" s="90">
        <v>1300</v>
      </c>
      <c r="D481" s="90">
        <v>1450</v>
      </c>
      <c r="E481" s="90">
        <f t="shared" si="21"/>
        <v>0</v>
      </c>
    </row>
    <row r="482" spans="1:5" x14ac:dyDescent="0.2">
      <c r="A482" s="90" t="s">
        <v>307</v>
      </c>
      <c r="B482" s="75" t="s">
        <v>392</v>
      </c>
      <c r="C482" s="90">
        <v>1350</v>
      </c>
      <c r="D482" s="90">
        <v>1500</v>
      </c>
      <c r="E482" s="90">
        <f t="shared" si="21"/>
        <v>0</v>
      </c>
    </row>
    <row r="483" spans="1:5" x14ac:dyDescent="0.2">
      <c r="A483" s="90" t="s">
        <v>307</v>
      </c>
      <c r="B483" s="75" t="s">
        <v>392</v>
      </c>
      <c r="C483" s="90">
        <v>1500</v>
      </c>
      <c r="D483" s="90">
        <v>1700</v>
      </c>
      <c r="E483" s="90">
        <f t="shared" si="21"/>
        <v>0</v>
      </c>
    </row>
    <row r="484" spans="1:5" x14ac:dyDescent="0.2">
      <c r="A484" s="90" t="s">
        <v>307</v>
      </c>
      <c r="B484" s="75" t="s">
        <v>392</v>
      </c>
      <c r="C484" s="90">
        <v>1650</v>
      </c>
      <c r="D484" s="90">
        <v>1900</v>
      </c>
      <c r="E484" s="90">
        <f t="shared" si="21"/>
        <v>0</v>
      </c>
    </row>
    <row r="485" spans="1:5" ht="20.25" x14ac:dyDescent="0.15">
      <c r="A485" s="90" t="s">
        <v>307</v>
      </c>
      <c r="B485" s="75" t="s">
        <v>394</v>
      </c>
      <c r="C485" s="90">
        <v>750</v>
      </c>
      <c r="D485" s="90">
        <v>630</v>
      </c>
      <c r="E485" s="90">
        <f t="shared" si="21"/>
        <v>0</v>
      </c>
    </row>
    <row r="486" spans="1:5" ht="20.25" x14ac:dyDescent="0.15">
      <c r="A486" s="90" t="s">
        <v>307</v>
      </c>
      <c r="B486" s="75" t="s">
        <v>394</v>
      </c>
      <c r="C486" s="90">
        <v>1000</v>
      </c>
      <c r="D486" s="90">
        <v>950</v>
      </c>
      <c r="E486" s="90">
        <f t="shared" si="21"/>
        <v>0</v>
      </c>
    </row>
    <row r="487" spans="1:5" ht="20.25" x14ac:dyDescent="0.15">
      <c r="A487" s="90" t="s">
        <v>307</v>
      </c>
      <c r="B487" s="75" t="s">
        <v>394</v>
      </c>
      <c r="C487" s="90">
        <v>1150</v>
      </c>
      <c r="D487" s="90">
        <v>1150</v>
      </c>
      <c r="E487" s="90">
        <f t="shared" si="21"/>
        <v>0</v>
      </c>
    </row>
    <row r="488" spans="1:5" ht="20.25" x14ac:dyDescent="0.15">
      <c r="A488" s="90" t="s">
        <v>307</v>
      </c>
      <c r="B488" s="75" t="s">
        <v>394</v>
      </c>
      <c r="C488" s="90">
        <v>1250</v>
      </c>
      <c r="D488" s="90">
        <v>1250</v>
      </c>
      <c r="E488" s="90">
        <f t="shared" si="21"/>
        <v>0</v>
      </c>
    </row>
    <row r="489" spans="1:5" ht="20.25" x14ac:dyDescent="0.15">
      <c r="A489" s="90" t="s">
        <v>307</v>
      </c>
      <c r="B489" s="75" t="s">
        <v>394</v>
      </c>
      <c r="C489" s="90">
        <v>1350</v>
      </c>
      <c r="D489" s="90">
        <v>1400</v>
      </c>
      <c r="E489" s="90">
        <f t="shared" si="21"/>
        <v>0</v>
      </c>
    </row>
    <row r="490" spans="1:5" ht="20.25" x14ac:dyDescent="0.15">
      <c r="A490" s="90" t="s">
        <v>307</v>
      </c>
      <c r="B490" s="75" t="s">
        <v>394</v>
      </c>
      <c r="C490" s="90">
        <v>1450</v>
      </c>
      <c r="D490" s="90">
        <v>1500</v>
      </c>
      <c r="E490" s="90">
        <f t="shared" si="21"/>
        <v>0</v>
      </c>
    </row>
    <row r="491" spans="1:5" ht="20.25" x14ac:dyDescent="0.15">
      <c r="A491" s="90" t="s">
        <v>307</v>
      </c>
      <c r="B491" s="75" t="s">
        <v>394</v>
      </c>
      <c r="C491" s="90">
        <v>1600</v>
      </c>
      <c r="D491" s="90">
        <v>1700</v>
      </c>
      <c r="E491" s="90">
        <f t="shared" si="21"/>
        <v>0</v>
      </c>
    </row>
    <row r="492" spans="1:5" ht="20.25" x14ac:dyDescent="0.15">
      <c r="A492" s="90" t="s">
        <v>307</v>
      </c>
      <c r="B492" s="75" t="s">
        <v>393</v>
      </c>
      <c r="C492" s="90">
        <v>750</v>
      </c>
      <c r="D492" s="90">
        <v>660</v>
      </c>
      <c r="E492" s="90">
        <f t="shared" si="21"/>
        <v>0</v>
      </c>
    </row>
    <row r="493" spans="1:5" ht="20.25" x14ac:dyDescent="0.15">
      <c r="A493" s="90" t="s">
        <v>307</v>
      </c>
      <c r="B493" s="75" t="s">
        <v>393</v>
      </c>
      <c r="C493" s="90">
        <v>1000</v>
      </c>
      <c r="D493" s="90">
        <v>1000</v>
      </c>
      <c r="E493" s="90">
        <f t="shared" si="21"/>
        <v>0</v>
      </c>
    </row>
    <row r="494" spans="1:5" ht="20.25" x14ac:dyDescent="0.15">
      <c r="A494" s="90" t="s">
        <v>307</v>
      </c>
      <c r="B494" s="75" t="s">
        <v>393</v>
      </c>
      <c r="C494" s="90">
        <v>1150</v>
      </c>
      <c r="D494" s="90">
        <v>1300</v>
      </c>
      <c r="E494" s="90">
        <f t="shared" si="21"/>
        <v>0</v>
      </c>
    </row>
    <row r="495" spans="1:5" ht="20.25" x14ac:dyDescent="0.15">
      <c r="A495" s="90" t="s">
        <v>307</v>
      </c>
      <c r="B495" s="75" t="s">
        <v>393</v>
      </c>
      <c r="C495" s="90">
        <v>1250</v>
      </c>
      <c r="D495" s="90">
        <v>1500</v>
      </c>
      <c r="E495" s="90">
        <f t="shared" si="21"/>
        <v>0</v>
      </c>
    </row>
    <row r="496" spans="1:5" ht="20.25" x14ac:dyDescent="0.15">
      <c r="A496" s="90" t="s">
        <v>307</v>
      </c>
      <c r="B496" s="75" t="s">
        <v>393</v>
      </c>
      <c r="C496" s="90">
        <v>1500</v>
      </c>
      <c r="D496" s="90">
        <v>1700</v>
      </c>
      <c r="E496" s="90">
        <f t="shared" si="21"/>
        <v>0</v>
      </c>
    </row>
    <row r="497" spans="1:5" ht="20.25" x14ac:dyDescent="0.15">
      <c r="A497" s="90" t="s">
        <v>307</v>
      </c>
      <c r="B497" s="75" t="s">
        <v>393</v>
      </c>
      <c r="C497" s="90">
        <v>1650</v>
      </c>
      <c r="D497" s="90">
        <v>1900</v>
      </c>
      <c r="E497" s="90">
        <f t="shared" si="21"/>
        <v>0</v>
      </c>
    </row>
    <row r="498" spans="1:5" x14ac:dyDescent="0.2">
      <c r="A498" s="90" t="s">
        <v>307</v>
      </c>
      <c r="B498" s="75" t="s">
        <v>400</v>
      </c>
      <c r="C498" s="90">
        <v>625</v>
      </c>
      <c r="D498" s="90">
        <v>500</v>
      </c>
      <c r="E498" s="90">
        <f t="shared" si="21"/>
        <v>0</v>
      </c>
    </row>
    <row r="499" spans="1:5" x14ac:dyDescent="0.2">
      <c r="A499" s="90" t="s">
        <v>307</v>
      </c>
      <c r="B499" s="75" t="s">
        <v>400</v>
      </c>
      <c r="C499" s="90">
        <v>775</v>
      </c>
      <c r="D499" s="90">
        <v>600</v>
      </c>
      <c r="E499" s="90">
        <f t="shared" si="21"/>
        <v>0</v>
      </c>
    </row>
    <row r="500" spans="1:5" x14ac:dyDescent="0.2">
      <c r="A500" s="90" t="s">
        <v>307</v>
      </c>
      <c r="B500" s="75" t="s">
        <v>400</v>
      </c>
      <c r="C500" s="90">
        <v>932</v>
      </c>
      <c r="D500" s="90">
        <v>800</v>
      </c>
      <c r="E500" s="90">
        <f t="shared" si="21"/>
        <v>0</v>
      </c>
    </row>
    <row r="501" spans="1:5" x14ac:dyDescent="0.2">
      <c r="A501" s="90" t="s">
        <v>307</v>
      </c>
      <c r="B501" s="75" t="s">
        <v>400</v>
      </c>
      <c r="C501" s="90">
        <v>1082</v>
      </c>
      <c r="D501" s="90">
        <v>1000</v>
      </c>
      <c r="E501" s="90">
        <f t="shared" si="21"/>
        <v>0</v>
      </c>
    </row>
    <row r="502" spans="1:5" x14ac:dyDescent="0.2">
      <c r="A502" s="90" t="s">
        <v>307</v>
      </c>
      <c r="B502" s="75" t="s">
        <v>400</v>
      </c>
      <c r="C502" s="90">
        <v>1230</v>
      </c>
      <c r="D502" s="90">
        <v>1200</v>
      </c>
      <c r="E502" s="90">
        <f t="shared" si="21"/>
        <v>0</v>
      </c>
    </row>
    <row r="503" spans="1:5" x14ac:dyDescent="0.2">
      <c r="A503" s="90" t="s">
        <v>307</v>
      </c>
      <c r="B503" s="75" t="s">
        <v>400</v>
      </c>
      <c r="C503" s="90">
        <v>1377</v>
      </c>
      <c r="D503" s="90">
        <v>1400</v>
      </c>
      <c r="E503" s="90">
        <f t="shared" si="21"/>
        <v>0</v>
      </c>
    </row>
    <row r="504" spans="1:5" x14ac:dyDescent="0.2">
      <c r="A504" s="90" t="s">
        <v>307</v>
      </c>
      <c r="B504" s="75" t="s">
        <v>400</v>
      </c>
      <c r="C504" s="90">
        <v>1507</v>
      </c>
      <c r="D504" s="90">
        <v>1500</v>
      </c>
      <c r="E504" s="90">
        <f t="shared" si="21"/>
        <v>0</v>
      </c>
    </row>
    <row r="505" spans="1:5" x14ac:dyDescent="0.2">
      <c r="A505" s="90" t="s">
        <v>307</v>
      </c>
      <c r="B505" s="75" t="s">
        <v>400</v>
      </c>
      <c r="C505" s="90">
        <v>1725</v>
      </c>
      <c r="D505" s="90">
        <v>1200</v>
      </c>
      <c r="E505" s="90">
        <f t="shared" si="21"/>
        <v>0</v>
      </c>
    </row>
    <row r="506" spans="1:5" x14ac:dyDescent="0.2">
      <c r="A506" s="90" t="s">
        <v>307</v>
      </c>
      <c r="B506" s="75" t="s">
        <v>402</v>
      </c>
      <c r="C506" s="90">
        <v>625</v>
      </c>
      <c r="D506" s="90">
        <v>500</v>
      </c>
      <c r="E506" s="90">
        <f t="shared" si="21"/>
        <v>0</v>
      </c>
    </row>
    <row r="507" spans="1:5" x14ac:dyDescent="0.2">
      <c r="A507" s="90" t="s">
        <v>307</v>
      </c>
      <c r="B507" s="75" t="s">
        <v>402</v>
      </c>
      <c r="C507" s="90">
        <v>775</v>
      </c>
      <c r="D507" s="90">
        <v>700</v>
      </c>
      <c r="E507" s="90">
        <f t="shared" si="21"/>
        <v>0</v>
      </c>
    </row>
    <row r="508" spans="1:5" x14ac:dyDescent="0.2">
      <c r="A508" s="90" t="s">
        <v>307</v>
      </c>
      <c r="B508" s="75" t="s">
        <v>402</v>
      </c>
      <c r="C508" s="90">
        <v>948</v>
      </c>
      <c r="D508" s="90">
        <v>900</v>
      </c>
      <c r="E508" s="90">
        <f t="shared" si="21"/>
        <v>0</v>
      </c>
    </row>
    <row r="509" spans="1:5" x14ac:dyDescent="0.2">
      <c r="A509" s="90" t="s">
        <v>307</v>
      </c>
      <c r="B509" s="75" t="s">
        <v>402</v>
      </c>
      <c r="C509" s="90">
        <v>1098</v>
      </c>
      <c r="D509" s="90">
        <v>1100</v>
      </c>
      <c r="E509" s="90">
        <f t="shared" si="21"/>
        <v>0</v>
      </c>
    </row>
    <row r="510" spans="1:5" x14ac:dyDescent="0.2">
      <c r="A510" s="90" t="s">
        <v>307</v>
      </c>
      <c r="B510" s="75" t="s">
        <v>402</v>
      </c>
      <c r="C510" s="90">
        <v>1248</v>
      </c>
      <c r="D510" s="90">
        <v>1300</v>
      </c>
      <c r="E510" s="90">
        <f t="shared" si="21"/>
        <v>0</v>
      </c>
    </row>
    <row r="511" spans="1:5" x14ac:dyDescent="0.2">
      <c r="A511" s="90" t="s">
        <v>307</v>
      </c>
      <c r="B511" s="75" t="s">
        <v>402</v>
      </c>
      <c r="C511" s="90">
        <v>1378</v>
      </c>
      <c r="D511" s="90">
        <v>1200</v>
      </c>
      <c r="E511" s="90">
        <f t="shared" si="21"/>
        <v>0</v>
      </c>
    </row>
    <row r="512" spans="1:5" x14ac:dyDescent="0.2">
      <c r="A512" s="90" t="s">
        <v>307</v>
      </c>
      <c r="B512" s="75" t="s">
        <v>402</v>
      </c>
      <c r="C512" s="90">
        <v>1395</v>
      </c>
      <c r="D512" s="90">
        <v>1500</v>
      </c>
      <c r="E512" s="90">
        <f t="shared" si="21"/>
        <v>0</v>
      </c>
    </row>
    <row r="513" spans="1:5" x14ac:dyDescent="0.2">
      <c r="A513" s="90" t="s">
        <v>307</v>
      </c>
      <c r="B513" s="75" t="s">
        <v>402</v>
      </c>
      <c r="C513" s="90">
        <v>1522</v>
      </c>
      <c r="D513" s="90">
        <v>1700</v>
      </c>
      <c r="E513" s="90">
        <f t="shared" si="21"/>
        <v>0</v>
      </c>
    </row>
    <row r="514" spans="1:5" x14ac:dyDescent="0.2">
      <c r="A514" s="90" t="s">
        <v>307</v>
      </c>
      <c r="B514" s="75" t="s">
        <v>401</v>
      </c>
      <c r="C514" s="90">
        <v>775</v>
      </c>
      <c r="D514" s="90">
        <v>700</v>
      </c>
      <c r="E514" s="90">
        <f t="shared" si="21"/>
        <v>0</v>
      </c>
    </row>
    <row r="515" spans="1:5" x14ac:dyDescent="0.2">
      <c r="A515" s="90" t="s">
        <v>307</v>
      </c>
      <c r="B515" s="75" t="s">
        <v>401</v>
      </c>
      <c r="C515" s="90">
        <v>925</v>
      </c>
      <c r="D515" s="90">
        <v>900</v>
      </c>
      <c r="E515" s="90">
        <f t="shared" si="21"/>
        <v>0</v>
      </c>
    </row>
    <row r="516" spans="1:5" x14ac:dyDescent="0.2">
      <c r="A516" s="90" t="s">
        <v>307</v>
      </c>
      <c r="B516" s="75" t="s">
        <v>401</v>
      </c>
      <c r="C516" s="90">
        <v>1098</v>
      </c>
      <c r="D516" s="90">
        <v>1200</v>
      </c>
      <c r="E516" s="90">
        <f t="shared" si="21"/>
        <v>0</v>
      </c>
    </row>
    <row r="517" spans="1:5" x14ac:dyDescent="0.2">
      <c r="A517" s="90" t="s">
        <v>307</v>
      </c>
      <c r="B517" s="75" t="s">
        <v>401</v>
      </c>
      <c r="C517" s="90">
        <v>1246</v>
      </c>
      <c r="D517" s="90">
        <v>1400</v>
      </c>
      <c r="E517" s="90">
        <f t="shared" si="21"/>
        <v>0</v>
      </c>
    </row>
    <row r="518" spans="1:5" x14ac:dyDescent="0.2">
      <c r="A518" s="90" t="s">
        <v>307</v>
      </c>
      <c r="B518" s="75" t="s">
        <v>401</v>
      </c>
      <c r="C518" s="90">
        <v>1400</v>
      </c>
      <c r="D518" s="90">
        <v>1600</v>
      </c>
      <c r="E518" s="90">
        <f t="shared" si="21"/>
        <v>0</v>
      </c>
    </row>
    <row r="519" spans="1:5" x14ac:dyDescent="0.2">
      <c r="A519" s="90" t="s">
        <v>307</v>
      </c>
      <c r="B519" s="75" t="s">
        <v>401</v>
      </c>
      <c r="C519" s="90">
        <v>1440</v>
      </c>
      <c r="D519" s="90">
        <v>1500</v>
      </c>
      <c r="E519" s="90">
        <f t="shared" si="21"/>
        <v>0</v>
      </c>
    </row>
    <row r="520" spans="1:5" x14ac:dyDescent="0.2">
      <c r="A520" s="90" t="s">
        <v>307</v>
      </c>
      <c r="B520" s="75" t="s">
        <v>401</v>
      </c>
      <c r="C520" s="90">
        <v>1540</v>
      </c>
      <c r="D520" s="90">
        <v>1800</v>
      </c>
      <c r="E520" s="90">
        <f t="shared" si="21"/>
        <v>0</v>
      </c>
    </row>
    <row r="521" spans="1:5" x14ac:dyDescent="0.2">
      <c r="A521" s="90" t="s">
        <v>307</v>
      </c>
      <c r="B521" s="75" t="s">
        <v>401</v>
      </c>
      <c r="C521" s="90">
        <v>1695</v>
      </c>
      <c r="D521" s="90">
        <v>2000</v>
      </c>
      <c r="E521" s="90">
        <f t="shared" si="21"/>
        <v>0</v>
      </c>
    </row>
    <row r="522" spans="1:5" x14ac:dyDescent="0.2">
      <c r="A522" s="90" t="s">
        <v>307</v>
      </c>
      <c r="B522" s="75" t="s">
        <v>401</v>
      </c>
      <c r="C522" s="90">
        <v>1820</v>
      </c>
      <c r="D522" s="90">
        <v>2200</v>
      </c>
      <c r="E522" s="90">
        <f t="shared" si="21"/>
        <v>0</v>
      </c>
    </row>
    <row r="523" spans="1:5" x14ac:dyDescent="0.2">
      <c r="A523" s="90" t="s">
        <v>307</v>
      </c>
      <c r="B523" s="75" t="s">
        <v>399</v>
      </c>
      <c r="C523" s="90">
        <v>750</v>
      </c>
      <c r="D523" s="90">
        <v>630</v>
      </c>
      <c r="E523" s="90">
        <f t="shared" si="21"/>
        <v>0</v>
      </c>
    </row>
    <row r="524" spans="1:5" x14ac:dyDescent="0.2">
      <c r="A524" s="90" t="s">
        <v>307</v>
      </c>
      <c r="B524" s="75" t="s">
        <v>399</v>
      </c>
      <c r="C524" s="90">
        <v>1000</v>
      </c>
      <c r="D524" s="90">
        <v>950</v>
      </c>
      <c r="E524" s="90">
        <f t="shared" si="21"/>
        <v>0</v>
      </c>
    </row>
    <row r="525" spans="1:5" x14ac:dyDescent="0.2">
      <c r="A525" s="90" t="s">
        <v>307</v>
      </c>
      <c r="B525" s="75" t="s">
        <v>399</v>
      </c>
      <c r="C525" s="90">
        <v>1350</v>
      </c>
      <c r="D525" s="90">
        <v>1400</v>
      </c>
      <c r="E525" s="90">
        <f t="shared" si="21"/>
        <v>0</v>
      </c>
    </row>
    <row r="526" spans="1:5" x14ac:dyDescent="0.2">
      <c r="A526" s="90" t="s">
        <v>307</v>
      </c>
      <c r="B526" s="75" t="s">
        <v>413</v>
      </c>
      <c r="C526" s="90">
        <v>750</v>
      </c>
      <c r="D526" s="90">
        <v>660</v>
      </c>
      <c r="E526" s="90">
        <f t="shared" si="21"/>
        <v>0</v>
      </c>
    </row>
    <row r="527" spans="1:5" x14ac:dyDescent="0.2">
      <c r="A527" s="90" t="s">
        <v>307</v>
      </c>
      <c r="B527" s="75" t="s">
        <v>413</v>
      </c>
      <c r="C527" s="90">
        <v>1000</v>
      </c>
      <c r="D527" s="90">
        <v>1000</v>
      </c>
      <c r="E527" s="90">
        <f t="shared" si="21"/>
        <v>0</v>
      </c>
    </row>
    <row r="528" spans="1:5" x14ac:dyDescent="0.2">
      <c r="A528" s="90" t="s">
        <v>307</v>
      </c>
      <c r="B528" s="75" t="s">
        <v>413</v>
      </c>
      <c r="C528" s="90">
        <v>1650</v>
      </c>
      <c r="D528" s="90">
        <v>1900</v>
      </c>
      <c r="E528" s="90">
        <f t="shared" si="21"/>
        <v>0</v>
      </c>
    </row>
    <row r="529" spans="1:5" x14ac:dyDescent="0.2">
      <c r="A529" s="90" t="s">
        <v>307</v>
      </c>
      <c r="B529" s="75" t="s">
        <v>403</v>
      </c>
      <c r="C529" s="90">
        <v>775</v>
      </c>
      <c r="D529" s="90">
        <v>759</v>
      </c>
      <c r="E529" s="90">
        <f t="shared" si="21"/>
        <v>0</v>
      </c>
    </row>
    <row r="530" spans="1:5" x14ac:dyDescent="0.2">
      <c r="A530" s="90" t="s">
        <v>307</v>
      </c>
      <c r="B530" s="75" t="s">
        <v>403</v>
      </c>
      <c r="C530" s="90">
        <v>932</v>
      </c>
      <c r="D530" s="90">
        <v>863</v>
      </c>
      <c r="E530" s="90">
        <f t="shared" si="21"/>
        <v>0</v>
      </c>
    </row>
    <row r="531" spans="1:5" x14ac:dyDescent="0.2">
      <c r="A531" s="90" t="s">
        <v>307</v>
      </c>
      <c r="B531" s="75" t="s">
        <v>403</v>
      </c>
      <c r="C531" s="90">
        <v>1082</v>
      </c>
      <c r="D531" s="90">
        <v>949</v>
      </c>
      <c r="E531" s="90">
        <f t="shared" si="21"/>
        <v>0</v>
      </c>
    </row>
    <row r="532" spans="1:5" x14ac:dyDescent="0.2">
      <c r="A532" s="90" t="s">
        <v>307</v>
      </c>
      <c r="B532" s="75" t="s">
        <v>405</v>
      </c>
      <c r="C532" s="90">
        <v>948</v>
      </c>
      <c r="D532" s="90">
        <v>988</v>
      </c>
      <c r="E532" s="90">
        <f t="shared" ref="E532:E595" si="22">+IF(AND($E$80=A532,$E$81=B532,$E$82=C532),D532,0)</f>
        <v>0</v>
      </c>
    </row>
    <row r="533" spans="1:5" x14ac:dyDescent="0.2">
      <c r="A533" s="90" t="s">
        <v>307</v>
      </c>
      <c r="B533" s="75" t="s">
        <v>405</v>
      </c>
      <c r="C533" s="90">
        <v>1098</v>
      </c>
      <c r="D533" s="90">
        <v>1084</v>
      </c>
      <c r="E533" s="90">
        <f t="shared" si="22"/>
        <v>0</v>
      </c>
    </row>
    <row r="534" spans="1:5" x14ac:dyDescent="0.2">
      <c r="A534" s="90" t="s">
        <v>307</v>
      </c>
      <c r="B534" s="75" t="s">
        <v>405</v>
      </c>
      <c r="C534" s="90">
        <v>1248</v>
      </c>
      <c r="D534" s="90">
        <v>1165</v>
      </c>
      <c r="E534" s="90">
        <f t="shared" si="22"/>
        <v>0</v>
      </c>
    </row>
    <row r="535" spans="1:5" x14ac:dyDescent="0.2">
      <c r="A535" s="90" t="s">
        <v>307</v>
      </c>
      <c r="B535" s="75" t="s">
        <v>404</v>
      </c>
      <c r="C535" s="90">
        <v>1098</v>
      </c>
      <c r="D535" s="90">
        <v>1293</v>
      </c>
      <c r="E535" s="90">
        <f t="shared" si="22"/>
        <v>0</v>
      </c>
    </row>
    <row r="536" spans="1:5" x14ac:dyDescent="0.2">
      <c r="A536" s="90" t="s">
        <v>307</v>
      </c>
      <c r="B536" s="75" t="s">
        <v>404</v>
      </c>
      <c r="C536" s="90">
        <v>1246</v>
      </c>
      <c r="D536" s="90">
        <v>1436</v>
      </c>
      <c r="E536" s="90">
        <f t="shared" si="22"/>
        <v>0</v>
      </c>
    </row>
    <row r="537" spans="1:5" x14ac:dyDescent="0.2">
      <c r="A537" s="90" t="s">
        <v>307</v>
      </c>
      <c r="B537" s="75" t="s">
        <v>404</v>
      </c>
      <c r="C537" s="90">
        <v>1400</v>
      </c>
      <c r="D537" s="90">
        <v>1552</v>
      </c>
      <c r="E537" s="90">
        <f t="shared" si="22"/>
        <v>0</v>
      </c>
    </row>
    <row r="538" spans="1:5" x14ac:dyDescent="0.2">
      <c r="A538" s="90" t="s">
        <v>307</v>
      </c>
      <c r="B538" s="75" t="s">
        <v>398</v>
      </c>
      <c r="C538" s="90">
        <v>2000</v>
      </c>
      <c r="D538" s="90">
        <v>730</v>
      </c>
      <c r="E538" s="90">
        <f t="shared" si="22"/>
        <v>0</v>
      </c>
    </row>
    <row r="539" spans="1:5" x14ac:dyDescent="0.2">
      <c r="A539" s="90" t="s">
        <v>307</v>
      </c>
      <c r="B539" s="75" t="s">
        <v>398</v>
      </c>
      <c r="C539" s="90">
        <v>2200</v>
      </c>
      <c r="D539" s="90">
        <v>805</v>
      </c>
      <c r="E539" s="90">
        <f t="shared" si="22"/>
        <v>0</v>
      </c>
    </row>
    <row r="540" spans="1:5" x14ac:dyDescent="0.2">
      <c r="A540" s="90" t="s">
        <v>307</v>
      </c>
      <c r="B540" s="75" t="s">
        <v>398</v>
      </c>
      <c r="C540" s="90">
        <v>2400</v>
      </c>
      <c r="D540" s="90">
        <v>880</v>
      </c>
      <c r="E540" s="90">
        <f t="shared" si="22"/>
        <v>0</v>
      </c>
    </row>
    <row r="541" spans="1:5" x14ac:dyDescent="0.2">
      <c r="A541" s="90" t="s">
        <v>307</v>
      </c>
      <c r="B541" s="75" t="s">
        <v>397</v>
      </c>
      <c r="C541" s="90">
        <v>2200</v>
      </c>
      <c r="D541" s="90">
        <v>1080</v>
      </c>
      <c r="E541" s="90">
        <f t="shared" si="22"/>
        <v>0</v>
      </c>
    </row>
    <row r="542" spans="1:5" x14ac:dyDescent="0.2">
      <c r="A542" s="90" t="s">
        <v>307</v>
      </c>
      <c r="B542" s="75" t="s">
        <v>397</v>
      </c>
      <c r="C542" s="90">
        <v>2400</v>
      </c>
      <c r="D542" s="90">
        <v>1180</v>
      </c>
      <c r="E542" s="90">
        <f t="shared" si="22"/>
        <v>0</v>
      </c>
    </row>
    <row r="543" spans="1:5" x14ac:dyDescent="0.2">
      <c r="A543" s="90" t="s">
        <v>307</v>
      </c>
      <c r="B543" s="75" t="s">
        <v>397</v>
      </c>
      <c r="C543" s="90">
        <v>2600</v>
      </c>
      <c r="D543" s="90">
        <v>1280</v>
      </c>
      <c r="E543" s="90">
        <f t="shared" si="22"/>
        <v>0</v>
      </c>
    </row>
    <row r="544" spans="1:5" x14ac:dyDescent="0.2">
      <c r="A544" s="90" t="s">
        <v>307</v>
      </c>
      <c r="B544" s="75" t="s">
        <v>396</v>
      </c>
      <c r="C544" s="90">
        <v>1422</v>
      </c>
      <c r="D544" s="90">
        <v>900</v>
      </c>
      <c r="E544" s="90">
        <f t="shared" si="22"/>
        <v>0</v>
      </c>
    </row>
    <row r="545" spans="1:5" x14ac:dyDescent="0.2">
      <c r="A545" s="90" t="s">
        <v>307</v>
      </c>
      <c r="B545" s="75" t="s">
        <v>396</v>
      </c>
      <c r="C545" s="90">
        <v>1727</v>
      </c>
      <c r="D545" s="90">
        <v>1100</v>
      </c>
      <c r="E545" s="90">
        <f t="shared" si="22"/>
        <v>0</v>
      </c>
    </row>
    <row r="546" spans="1:5" x14ac:dyDescent="0.2">
      <c r="A546" s="90" t="s">
        <v>307</v>
      </c>
      <c r="B546" s="75" t="s">
        <v>398</v>
      </c>
      <c r="C546" s="90">
        <v>1575</v>
      </c>
      <c r="D546" s="90">
        <v>1000</v>
      </c>
      <c r="E546" s="90">
        <f t="shared" si="22"/>
        <v>0</v>
      </c>
    </row>
    <row r="547" spans="1:5" x14ac:dyDescent="0.2">
      <c r="A547" s="90" t="s">
        <v>307</v>
      </c>
      <c r="B547" s="75" t="s">
        <v>398</v>
      </c>
      <c r="C547" s="90">
        <v>1829</v>
      </c>
      <c r="D547" s="90">
        <v>1200</v>
      </c>
      <c r="E547" s="90">
        <f t="shared" si="22"/>
        <v>0</v>
      </c>
    </row>
    <row r="548" spans="1:5" x14ac:dyDescent="0.2">
      <c r="A548" s="90" t="s">
        <v>307</v>
      </c>
      <c r="B548" s="75" t="s">
        <v>397</v>
      </c>
      <c r="C548" s="90">
        <v>1676</v>
      </c>
      <c r="D548" s="90">
        <v>1700</v>
      </c>
      <c r="E548" s="90">
        <f t="shared" si="22"/>
        <v>0</v>
      </c>
    </row>
    <row r="549" spans="1:5" x14ac:dyDescent="0.2">
      <c r="A549" s="90" t="s">
        <v>307</v>
      </c>
      <c r="B549" s="75" t="s">
        <v>397</v>
      </c>
      <c r="C549" s="90">
        <v>1829</v>
      </c>
      <c r="D549" s="90">
        <v>1800</v>
      </c>
      <c r="E549" s="90">
        <f t="shared" si="22"/>
        <v>0</v>
      </c>
    </row>
    <row r="550" spans="1:5" x14ac:dyDescent="0.2">
      <c r="A550" s="90" t="s">
        <v>307</v>
      </c>
      <c r="B550" s="75" t="s">
        <v>410</v>
      </c>
      <c r="C550" s="90">
        <v>1600</v>
      </c>
      <c r="D550" s="90">
        <v>940</v>
      </c>
      <c r="E550" s="90">
        <f t="shared" si="22"/>
        <v>0</v>
      </c>
    </row>
    <row r="551" spans="1:5" x14ac:dyDescent="0.2">
      <c r="A551" s="90" t="s">
        <v>307</v>
      </c>
      <c r="B551" s="75" t="s">
        <v>410</v>
      </c>
      <c r="C551" s="90">
        <v>1800</v>
      </c>
      <c r="D551" s="90">
        <v>1065</v>
      </c>
      <c r="E551" s="90">
        <f t="shared" si="22"/>
        <v>0</v>
      </c>
    </row>
    <row r="552" spans="1:5" x14ac:dyDescent="0.2">
      <c r="A552" s="90" t="s">
        <v>307</v>
      </c>
      <c r="B552" s="75" t="s">
        <v>410</v>
      </c>
      <c r="C552" s="90">
        <v>2000</v>
      </c>
      <c r="D552" s="90">
        <v>1190</v>
      </c>
      <c r="E552" s="90">
        <f t="shared" si="22"/>
        <v>0</v>
      </c>
    </row>
    <row r="553" spans="1:5" x14ac:dyDescent="0.2">
      <c r="A553" s="90" t="s">
        <v>307</v>
      </c>
      <c r="B553" s="75" t="s">
        <v>410</v>
      </c>
      <c r="C553" s="90">
        <v>2200</v>
      </c>
      <c r="D553" s="90">
        <v>1315</v>
      </c>
      <c r="E553" s="90">
        <f t="shared" si="22"/>
        <v>0</v>
      </c>
    </row>
    <row r="554" spans="1:5" x14ac:dyDescent="0.2">
      <c r="A554" s="90" t="s">
        <v>307</v>
      </c>
      <c r="B554" s="75" t="s">
        <v>409</v>
      </c>
      <c r="C554" s="90">
        <v>1800</v>
      </c>
      <c r="D554" s="90">
        <v>1385</v>
      </c>
      <c r="E554" s="90">
        <f t="shared" si="22"/>
        <v>0</v>
      </c>
    </row>
    <row r="555" spans="1:5" x14ac:dyDescent="0.2">
      <c r="A555" s="90" t="s">
        <v>307</v>
      </c>
      <c r="B555" s="75" t="s">
        <v>409</v>
      </c>
      <c r="C555" s="90">
        <v>2100</v>
      </c>
      <c r="D555" s="90">
        <v>1630</v>
      </c>
      <c r="E555" s="90">
        <f t="shared" si="22"/>
        <v>0</v>
      </c>
    </row>
    <row r="556" spans="1:5" x14ac:dyDescent="0.2">
      <c r="A556" s="90" t="s">
        <v>307</v>
      </c>
      <c r="B556" s="75" t="s">
        <v>409</v>
      </c>
      <c r="C556" s="90">
        <v>2400</v>
      </c>
      <c r="D556" s="90">
        <v>1875</v>
      </c>
      <c r="E556" s="90">
        <f t="shared" si="22"/>
        <v>0</v>
      </c>
    </row>
    <row r="557" spans="1:5" x14ac:dyDescent="0.2">
      <c r="A557" s="90" t="s">
        <v>307</v>
      </c>
      <c r="B557" s="75" t="s">
        <v>409</v>
      </c>
      <c r="C557" s="90">
        <v>2700</v>
      </c>
      <c r="D557" s="90">
        <v>2120</v>
      </c>
      <c r="E557" s="90">
        <f t="shared" si="22"/>
        <v>0</v>
      </c>
    </row>
    <row r="558" spans="1:5" x14ac:dyDescent="0.2">
      <c r="A558" s="90" t="s">
        <v>307</v>
      </c>
      <c r="B558" s="75" t="s">
        <v>412</v>
      </c>
      <c r="C558" s="90">
        <v>1600</v>
      </c>
      <c r="D558" s="90">
        <v>940</v>
      </c>
      <c r="E558" s="90">
        <f t="shared" si="22"/>
        <v>0</v>
      </c>
    </row>
    <row r="559" spans="1:5" x14ac:dyDescent="0.2">
      <c r="A559" s="90" t="s">
        <v>307</v>
      </c>
      <c r="B559" s="75" t="s">
        <v>412</v>
      </c>
      <c r="C559" s="90">
        <v>1800</v>
      </c>
      <c r="D559" s="90">
        <v>1065</v>
      </c>
      <c r="E559" s="90">
        <f t="shared" si="22"/>
        <v>0</v>
      </c>
    </row>
    <row r="560" spans="1:5" x14ac:dyDescent="0.2">
      <c r="A560" s="90" t="s">
        <v>307</v>
      </c>
      <c r="B560" s="75" t="s">
        <v>412</v>
      </c>
      <c r="C560" s="90">
        <v>2000</v>
      </c>
      <c r="D560" s="90">
        <v>1190</v>
      </c>
      <c r="E560" s="90">
        <f t="shared" si="22"/>
        <v>0</v>
      </c>
    </row>
    <row r="561" spans="1:5" x14ac:dyDescent="0.2">
      <c r="A561" s="90" t="s">
        <v>307</v>
      </c>
      <c r="B561" s="75" t="s">
        <v>412</v>
      </c>
      <c r="C561" s="90">
        <v>2200</v>
      </c>
      <c r="D561" s="90">
        <v>1315</v>
      </c>
      <c r="E561" s="90">
        <f t="shared" si="22"/>
        <v>0</v>
      </c>
    </row>
    <row r="562" spans="1:5" x14ac:dyDescent="0.2">
      <c r="A562" s="90" t="s">
        <v>307</v>
      </c>
      <c r="B562" s="75" t="s">
        <v>411</v>
      </c>
      <c r="C562" s="90">
        <v>1800</v>
      </c>
      <c r="D562" s="90">
        <v>1385</v>
      </c>
      <c r="E562" s="90">
        <f t="shared" si="22"/>
        <v>0</v>
      </c>
    </row>
    <row r="563" spans="1:5" x14ac:dyDescent="0.2">
      <c r="A563" s="90" t="s">
        <v>307</v>
      </c>
      <c r="B563" s="75" t="s">
        <v>411</v>
      </c>
      <c r="C563" s="90">
        <v>2100</v>
      </c>
      <c r="D563" s="90">
        <v>1630</v>
      </c>
      <c r="E563" s="90">
        <f t="shared" si="22"/>
        <v>0</v>
      </c>
    </row>
    <row r="564" spans="1:5" x14ac:dyDescent="0.2">
      <c r="A564" s="90" t="s">
        <v>307</v>
      </c>
      <c r="B564" s="75" t="s">
        <v>411</v>
      </c>
      <c r="C564" s="90">
        <v>2400</v>
      </c>
      <c r="D564" s="90">
        <v>1875</v>
      </c>
      <c r="E564" s="90">
        <f t="shared" si="22"/>
        <v>0</v>
      </c>
    </row>
    <row r="565" spans="1:5" x14ac:dyDescent="0.2">
      <c r="A565" s="90" t="s">
        <v>307</v>
      </c>
      <c r="B565" s="75" t="s">
        <v>411</v>
      </c>
      <c r="C565" s="90">
        <v>2700</v>
      </c>
      <c r="D565" s="90">
        <v>2120</v>
      </c>
      <c r="E565" s="90">
        <f t="shared" si="22"/>
        <v>0</v>
      </c>
    </row>
    <row r="566" spans="1:5" x14ac:dyDescent="0.2">
      <c r="A566" s="90" t="s">
        <v>308</v>
      </c>
      <c r="B566" s="75" t="s">
        <v>420</v>
      </c>
      <c r="C566" s="90">
        <v>775</v>
      </c>
      <c r="D566" s="90">
        <v>800</v>
      </c>
      <c r="E566" s="90">
        <f t="shared" si="22"/>
        <v>0</v>
      </c>
    </row>
    <row r="567" spans="1:5" x14ac:dyDescent="0.2">
      <c r="A567" s="90" t="s">
        <v>308</v>
      </c>
      <c r="B567" s="75" t="s">
        <v>420</v>
      </c>
      <c r="C567" s="90">
        <v>948</v>
      </c>
      <c r="D567" s="90">
        <v>1100</v>
      </c>
      <c r="E567" s="90">
        <f t="shared" si="22"/>
        <v>0</v>
      </c>
    </row>
    <row r="568" spans="1:5" x14ac:dyDescent="0.2">
      <c r="A568" s="90" t="s">
        <v>308</v>
      </c>
      <c r="B568" s="75" t="s">
        <v>420</v>
      </c>
      <c r="C568" s="90">
        <v>1098</v>
      </c>
      <c r="D568" s="90">
        <v>1300</v>
      </c>
      <c r="E568" s="90">
        <f t="shared" si="22"/>
        <v>0</v>
      </c>
    </row>
    <row r="569" spans="1:5" x14ac:dyDescent="0.2">
      <c r="A569" s="90" t="s">
        <v>308</v>
      </c>
      <c r="B569" s="75" t="s">
        <v>420</v>
      </c>
      <c r="C569" s="90">
        <v>1248</v>
      </c>
      <c r="D569" s="90">
        <v>1600</v>
      </c>
      <c r="E569" s="90">
        <f t="shared" si="22"/>
        <v>0</v>
      </c>
    </row>
    <row r="570" spans="1:5" x14ac:dyDescent="0.2">
      <c r="A570" s="90" t="s">
        <v>308</v>
      </c>
      <c r="B570" s="75" t="s">
        <v>420</v>
      </c>
      <c r="C570" s="90">
        <v>1395</v>
      </c>
      <c r="D570" s="90">
        <v>1900</v>
      </c>
      <c r="E570" s="90">
        <f t="shared" si="22"/>
        <v>0</v>
      </c>
    </row>
    <row r="571" spans="1:5" x14ac:dyDescent="0.2">
      <c r="A571" s="90" t="s">
        <v>308</v>
      </c>
      <c r="B571" s="75" t="s">
        <v>419</v>
      </c>
      <c r="C571" s="90">
        <v>775</v>
      </c>
      <c r="D571" s="90">
        <v>800</v>
      </c>
      <c r="E571" s="90">
        <f t="shared" si="22"/>
        <v>0</v>
      </c>
    </row>
    <row r="572" spans="1:5" x14ac:dyDescent="0.2">
      <c r="A572" s="90" t="s">
        <v>308</v>
      </c>
      <c r="B572" s="75" t="s">
        <v>419</v>
      </c>
      <c r="C572" s="90">
        <v>925</v>
      </c>
      <c r="D572" s="90">
        <v>1100</v>
      </c>
      <c r="E572" s="90">
        <f t="shared" si="22"/>
        <v>0</v>
      </c>
    </row>
    <row r="573" spans="1:5" x14ac:dyDescent="0.2">
      <c r="A573" s="90" t="s">
        <v>308</v>
      </c>
      <c r="B573" s="75" t="s">
        <v>419</v>
      </c>
      <c r="C573" s="90">
        <v>1098</v>
      </c>
      <c r="D573" s="90">
        <v>1400</v>
      </c>
      <c r="E573" s="90">
        <f t="shared" si="22"/>
        <v>0</v>
      </c>
    </row>
    <row r="574" spans="1:5" x14ac:dyDescent="0.2">
      <c r="A574" s="90" t="s">
        <v>308</v>
      </c>
      <c r="B574" s="75" t="s">
        <v>419</v>
      </c>
      <c r="C574" s="90">
        <v>1246</v>
      </c>
      <c r="D574" s="90">
        <v>1700</v>
      </c>
      <c r="E574" s="90">
        <f t="shared" si="22"/>
        <v>0</v>
      </c>
    </row>
    <row r="575" spans="1:5" x14ac:dyDescent="0.2">
      <c r="A575" s="90" t="s">
        <v>308</v>
      </c>
      <c r="B575" s="75" t="s">
        <v>419</v>
      </c>
      <c r="C575" s="90">
        <v>1400</v>
      </c>
      <c r="D575" s="90">
        <v>1900</v>
      </c>
      <c r="E575" s="90">
        <f t="shared" si="22"/>
        <v>0</v>
      </c>
    </row>
    <row r="576" spans="1:5" x14ac:dyDescent="0.2">
      <c r="A576" s="90" t="s">
        <v>308</v>
      </c>
      <c r="B576" s="75" t="s">
        <v>419</v>
      </c>
      <c r="C576" s="90">
        <v>1540</v>
      </c>
      <c r="D576" s="90">
        <v>2200</v>
      </c>
      <c r="E576" s="90">
        <f t="shared" si="22"/>
        <v>0</v>
      </c>
    </row>
    <row r="577" spans="1:5" x14ac:dyDescent="0.2">
      <c r="A577" s="90" t="s">
        <v>308</v>
      </c>
      <c r="B577" s="75" t="s">
        <v>416</v>
      </c>
      <c r="C577" s="90">
        <v>750</v>
      </c>
      <c r="D577" s="90">
        <v>630</v>
      </c>
      <c r="E577" s="90">
        <f t="shared" si="22"/>
        <v>0</v>
      </c>
    </row>
    <row r="578" spans="1:5" x14ac:dyDescent="0.2">
      <c r="A578" s="90" t="s">
        <v>308</v>
      </c>
      <c r="B578" s="75" t="s">
        <v>416</v>
      </c>
      <c r="C578" s="90">
        <v>1000</v>
      </c>
      <c r="D578" s="90">
        <v>950</v>
      </c>
      <c r="E578" s="90">
        <f t="shared" si="22"/>
        <v>0</v>
      </c>
    </row>
    <row r="579" spans="1:5" x14ac:dyDescent="0.2">
      <c r="A579" s="90" t="s">
        <v>308</v>
      </c>
      <c r="B579" s="75" t="s">
        <v>416</v>
      </c>
      <c r="C579" s="90">
        <v>1150</v>
      </c>
      <c r="D579" s="90">
        <v>1150</v>
      </c>
      <c r="E579" s="90">
        <f t="shared" si="22"/>
        <v>0</v>
      </c>
    </row>
    <row r="580" spans="1:5" x14ac:dyDescent="0.2">
      <c r="A580" s="90" t="s">
        <v>308</v>
      </c>
      <c r="B580" s="75" t="s">
        <v>416</v>
      </c>
      <c r="C580" s="90">
        <v>1250</v>
      </c>
      <c r="D580" s="90">
        <v>1250</v>
      </c>
      <c r="E580" s="90">
        <f t="shared" si="22"/>
        <v>0</v>
      </c>
    </row>
    <row r="581" spans="1:5" x14ac:dyDescent="0.2">
      <c r="A581" s="90" t="s">
        <v>308</v>
      </c>
      <c r="B581" s="75" t="s">
        <v>416</v>
      </c>
      <c r="C581" s="90">
        <v>1350</v>
      </c>
      <c r="D581" s="90">
        <v>1400</v>
      </c>
      <c r="E581" s="90">
        <f t="shared" si="22"/>
        <v>0</v>
      </c>
    </row>
    <row r="582" spans="1:5" x14ac:dyDescent="0.2">
      <c r="A582" s="90" t="s">
        <v>308</v>
      </c>
      <c r="B582" s="75" t="s">
        <v>416</v>
      </c>
      <c r="C582" s="90">
        <v>1370</v>
      </c>
      <c r="D582" s="90">
        <v>1100</v>
      </c>
      <c r="E582" s="90">
        <f t="shared" si="22"/>
        <v>0</v>
      </c>
    </row>
    <row r="583" spans="1:5" x14ac:dyDescent="0.2">
      <c r="A583" s="90" t="s">
        <v>308</v>
      </c>
      <c r="B583" s="75" t="s">
        <v>416</v>
      </c>
      <c r="C583" s="90">
        <v>1450</v>
      </c>
      <c r="D583" s="90">
        <v>1500</v>
      </c>
      <c r="E583" s="90">
        <f t="shared" si="22"/>
        <v>0</v>
      </c>
    </row>
    <row r="584" spans="1:5" x14ac:dyDescent="0.2">
      <c r="A584" s="90" t="s">
        <v>308</v>
      </c>
      <c r="B584" s="75" t="s">
        <v>416</v>
      </c>
      <c r="C584" s="90">
        <v>1470</v>
      </c>
      <c r="D584" s="90">
        <v>1200</v>
      </c>
      <c r="E584" s="90">
        <f t="shared" si="22"/>
        <v>0</v>
      </c>
    </row>
    <row r="585" spans="1:5" x14ac:dyDescent="0.2">
      <c r="A585" s="90" t="s">
        <v>308</v>
      </c>
      <c r="B585" s="75" t="s">
        <v>416</v>
      </c>
      <c r="C585" s="90">
        <v>1600</v>
      </c>
      <c r="D585" s="90">
        <v>1700</v>
      </c>
      <c r="E585" s="90">
        <f t="shared" si="22"/>
        <v>0</v>
      </c>
    </row>
    <row r="586" spans="1:5" x14ac:dyDescent="0.2">
      <c r="A586" s="90" t="s">
        <v>308</v>
      </c>
      <c r="B586" s="75" t="s">
        <v>417</v>
      </c>
      <c r="C586" s="90">
        <v>750</v>
      </c>
      <c r="D586" s="90">
        <v>660</v>
      </c>
      <c r="E586" s="90">
        <f t="shared" si="22"/>
        <v>0</v>
      </c>
    </row>
    <row r="587" spans="1:5" x14ac:dyDescent="0.2">
      <c r="A587" s="90" t="s">
        <v>308</v>
      </c>
      <c r="B587" s="75" t="s">
        <v>417</v>
      </c>
      <c r="C587" s="90">
        <v>1000</v>
      </c>
      <c r="D587" s="90">
        <v>1000</v>
      </c>
      <c r="E587" s="90">
        <f t="shared" si="22"/>
        <v>0</v>
      </c>
    </row>
    <row r="588" spans="1:5" x14ac:dyDescent="0.2">
      <c r="A588" s="90" t="s">
        <v>308</v>
      </c>
      <c r="B588" s="75" t="s">
        <v>417</v>
      </c>
      <c r="C588" s="90">
        <v>1150</v>
      </c>
      <c r="D588" s="90">
        <v>1300</v>
      </c>
      <c r="E588" s="90">
        <f t="shared" si="22"/>
        <v>0</v>
      </c>
    </row>
    <row r="589" spans="1:5" x14ac:dyDescent="0.2">
      <c r="A589" s="90" t="s">
        <v>308</v>
      </c>
      <c r="B589" s="75" t="s">
        <v>417</v>
      </c>
      <c r="C589" s="90">
        <v>1300</v>
      </c>
      <c r="D589" s="90">
        <v>1450</v>
      </c>
      <c r="E589" s="90">
        <f t="shared" si="22"/>
        <v>0</v>
      </c>
    </row>
    <row r="590" spans="1:5" x14ac:dyDescent="0.2">
      <c r="A590" s="90" t="s">
        <v>308</v>
      </c>
      <c r="B590" s="75" t="s">
        <v>417</v>
      </c>
      <c r="C590" s="90">
        <v>1350</v>
      </c>
      <c r="D590" s="90">
        <v>1500</v>
      </c>
      <c r="E590" s="90">
        <f t="shared" si="22"/>
        <v>0</v>
      </c>
    </row>
    <row r="591" spans="1:5" x14ac:dyDescent="0.2">
      <c r="A591" s="90" t="s">
        <v>308</v>
      </c>
      <c r="B591" s="75" t="s">
        <v>417</v>
      </c>
      <c r="C591" s="90">
        <v>1430</v>
      </c>
      <c r="D591" s="90">
        <v>1400</v>
      </c>
      <c r="E591" s="90">
        <f t="shared" si="22"/>
        <v>0</v>
      </c>
    </row>
    <row r="592" spans="1:5" x14ac:dyDescent="0.2">
      <c r="A592" s="90" t="s">
        <v>308</v>
      </c>
      <c r="B592" s="75" t="s">
        <v>417</v>
      </c>
      <c r="C592" s="90">
        <v>1500</v>
      </c>
      <c r="D592" s="90">
        <v>1500</v>
      </c>
      <c r="E592" s="90">
        <f t="shared" si="22"/>
        <v>0</v>
      </c>
    </row>
    <row r="593" spans="1:5" x14ac:dyDescent="0.2">
      <c r="A593" s="90" t="s">
        <v>308</v>
      </c>
      <c r="B593" s="75" t="s">
        <v>417</v>
      </c>
      <c r="C593" s="90">
        <v>1500</v>
      </c>
      <c r="D593" s="90">
        <v>1700</v>
      </c>
      <c r="E593" s="90">
        <f t="shared" si="22"/>
        <v>0</v>
      </c>
    </row>
    <row r="594" spans="1:5" x14ac:dyDescent="0.2">
      <c r="A594" s="90" t="s">
        <v>308</v>
      </c>
      <c r="B594" s="75" t="s">
        <v>417</v>
      </c>
      <c r="C594" s="90">
        <v>1650</v>
      </c>
      <c r="D594" s="90">
        <v>1900</v>
      </c>
      <c r="E594" s="90">
        <f t="shared" si="22"/>
        <v>0</v>
      </c>
    </row>
    <row r="595" spans="1:5" ht="20.25" x14ac:dyDescent="0.15">
      <c r="A595" s="90" t="s">
        <v>308</v>
      </c>
      <c r="B595" s="75" t="s">
        <v>428</v>
      </c>
      <c r="C595" s="90">
        <v>775</v>
      </c>
      <c r="D595" s="90">
        <v>700</v>
      </c>
      <c r="E595" s="90">
        <f t="shared" si="22"/>
        <v>0</v>
      </c>
    </row>
    <row r="596" spans="1:5" ht="20.25" x14ac:dyDescent="0.15">
      <c r="A596" s="90" t="s">
        <v>308</v>
      </c>
      <c r="B596" s="75" t="s">
        <v>428</v>
      </c>
      <c r="C596" s="90">
        <v>948</v>
      </c>
      <c r="D596" s="90">
        <v>900</v>
      </c>
      <c r="E596" s="90">
        <f t="shared" ref="E596:E659" si="23">+IF(AND($E$80=A596,$E$81=B596,$E$82=C596),D596,0)</f>
        <v>0</v>
      </c>
    </row>
    <row r="597" spans="1:5" ht="20.25" x14ac:dyDescent="0.15">
      <c r="A597" s="90" t="s">
        <v>308</v>
      </c>
      <c r="B597" s="75" t="s">
        <v>428</v>
      </c>
      <c r="C597" s="90">
        <v>1098</v>
      </c>
      <c r="D597" s="90">
        <v>1100</v>
      </c>
      <c r="E597" s="90">
        <f t="shared" si="23"/>
        <v>0</v>
      </c>
    </row>
    <row r="598" spans="1:5" ht="20.25" x14ac:dyDescent="0.15">
      <c r="A598" s="90" t="s">
        <v>308</v>
      </c>
      <c r="B598" s="75" t="s">
        <v>428</v>
      </c>
      <c r="C598" s="90">
        <v>1248</v>
      </c>
      <c r="D598" s="90">
        <v>1300</v>
      </c>
      <c r="E598" s="90">
        <f t="shared" si="23"/>
        <v>0</v>
      </c>
    </row>
    <row r="599" spans="1:5" ht="20.25" x14ac:dyDescent="0.15">
      <c r="A599" s="90" t="s">
        <v>308</v>
      </c>
      <c r="B599" s="75" t="s">
        <v>428</v>
      </c>
      <c r="C599" s="90">
        <v>1395</v>
      </c>
      <c r="D599" s="90">
        <v>1500</v>
      </c>
      <c r="E599" s="90">
        <f t="shared" si="23"/>
        <v>0</v>
      </c>
    </row>
    <row r="600" spans="1:5" ht="20.25" x14ac:dyDescent="0.15">
      <c r="A600" s="90" t="s">
        <v>308</v>
      </c>
      <c r="B600" s="75" t="s">
        <v>428</v>
      </c>
      <c r="C600" s="90">
        <v>1522</v>
      </c>
      <c r="D600" s="90">
        <v>1700</v>
      </c>
      <c r="E600" s="90">
        <f t="shared" si="23"/>
        <v>0</v>
      </c>
    </row>
    <row r="601" spans="1:5" ht="20.25" x14ac:dyDescent="0.15">
      <c r="A601" s="90" t="s">
        <v>308</v>
      </c>
      <c r="B601" s="75" t="s">
        <v>428</v>
      </c>
      <c r="C601" s="90">
        <v>1680</v>
      </c>
      <c r="D601" s="90">
        <v>1900</v>
      </c>
      <c r="E601" s="90">
        <f t="shared" si="23"/>
        <v>0</v>
      </c>
    </row>
    <row r="602" spans="1:5" ht="20.25" x14ac:dyDescent="0.15">
      <c r="A602" s="90" t="s">
        <v>308</v>
      </c>
      <c r="B602" s="75" t="s">
        <v>428</v>
      </c>
      <c r="C602" s="90">
        <v>750</v>
      </c>
      <c r="D602" s="90">
        <v>630</v>
      </c>
      <c r="E602" s="90">
        <f t="shared" si="23"/>
        <v>0</v>
      </c>
    </row>
    <row r="603" spans="1:5" ht="20.25" x14ac:dyDescent="0.15">
      <c r="A603" s="90" t="s">
        <v>308</v>
      </c>
      <c r="B603" s="75" t="s">
        <v>428</v>
      </c>
      <c r="C603" s="90">
        <v>1000</v>
      </c>
      <c r="D603" s="90">
        <v>950</v>
      </c>
      <c r="E603" s="90">
        <f t="shared" si="23"/>
        <v>0</v>
      </c>
    </row>
    <row r="604" spans="1:5" ht="20.25" x14ac:dyDescent="0.15">
      <c r="A604" s="90" t="s">
        <v>308</v>
      </c>
      <c r="B604" s="75" t="s">
        <v>428</v>
      </c>
      <c r="C604" s="90">
        <v>1150</v>
      </c>
      <c r="D604" s="90">
        <v>1150</v>
      </c>
      <c r="E604" s="90">
        <f t="shared" si="23"/>
        <v>0</v>
      </c>
    </row>
    <row r="605" spans="1:5" ht="20.25" x14ac:dyDescent="0.15">
      <c r="A605" s="90" t="s">
        <v>308</v>
      </c>
      <c r="B605" s="75" t="s">
        <v>428</v>
      </c>
      <c r="C605" s="90">
        <v>1250</v>
      </c>
      <c r="D605" s="90">
        <v>1250</v>
      </c>
      <c r="E605" s="90">
        <f t="shared" si="23"/>
        <v>0</v>
      </c>
    </row>
    <row r="606" spans="1:5" ht="20.25" x14ac:dyDescent="0.15">
      <c r="A606" s="90" t="s">
        <v>308</v>
      </c>
      <c r="B606" s="75" t="s">
        <v>428</v>
      </c>
      <c r="C606" s="90">
        <v>1350</v>
      </c>
      <c r="D606" s="90">
        <v>1400</v>
      </c>
      <c r="E606" s="90">
        <f t="shared" si="23"/>
        <v>0</v>
      </c>
    </row>
    <row r="607" spans="1:5" ht="20.25" x14ac:dyDescent="0.15">
      <c r="A607" s="90" t="s">
        <v>308</v>
      </c>
      <c r="B607" s="75" t="s">
        <v>428</v>
      </c>
      <c r="C607" s="90">
        <v>1450</v>
      </c>
      <c r="D607" s="90">
        <v>1500</v>
      </c>
      <c r="E607" s="90">
        <f t="shared" si="23"/>
        <v>0</v>
      </c>
    </row>
    <row r="608" spans="1:5" ht="20.25" x14ac:dyDescent="0.15">
      <c r="A608" s="90" t="s">
        <v>308</v>
      </c>
      <c r="B608" s="75" t="s">
        <v>428</v>
      </c>
      <c r="C608" s="90">
        <v>1600</v>
      </c>
      <c r="D608" s="90">
        <v>1700</v>
      </c>
      <c r="E608" s="90">
        <f t="shared" si="23"/>
        <v>0</v>
      </c>
    </row>
    <row r="609" spans="1:5" ht="20.25" x14ac:dyDescent="0.15">
      <c r="A609" s="90" t="s">
        <v>308</v>
      </c>
      <c r="B609" s="75" t="s">
        <v>421</v>
      </c>
      <c r="C609" s="90">
        <v>1098</v>
      </c>
      <c r="D609" s="90">
        <v>1200</v>
      </c>
      <c r="E609" s="90">
        <f t="shared" si="23"/>
        <v>0</v>
      </c>
    </row>
    <row r="610" spans="1:5" ht="20.25" x14ac:dyDescent="0.15">
      <c r="A610" s="90" t="s">
        <v>308</v>
      </c>
      <c r="B610" s="75" t="s">
        <v>421</v>
      </c>
      <c r="C610" s="90">
        <v>1245</v>
      </c>
      <c r="D610" s="90">
        <v>1400</v>
      </c>
      <c r="E610" s="90">
        <f t="shared" si="23"/>
        <v>0</v>
      </c>
    </row>
    <row r="611" spans="1:5" ht="20.25" x14ac:dyDescent="0.15">
      <c r="A611" s="90" t="s">
        <v>308</v>
      </c>
      <c r="B611" s="75" t="s">
        <v>421</v>
      </c>
      <c r="C611" s="90">
        <v>1400</v>
      </c>
      <c r="D611" s="90">
        <v>1600</v>
      </c>
      <c r="E611" s="90">
        <f t="shared" si="23"/>
        <v>0</v>
      </c>
    </row>
    <row r="612" spans="1:5" ht="20.25" x14ac:dyDescent="0.15">
      <c r="A612" s="90" t="s">
        <v>308</v>
      </c>
      <c r="B612" s="75" t="s">
        <v>421</v>
      </c>
      <c r="C612" s="90">
        <v>1540</v>
      </c>
      <c r="D612" s="90">
        <v>1800</v>
      </c>
      <c r="E612" s="90">
        <f t="shared" si="23"/>
        <v>0</v>
      </c>
    </row>
    <row r="613" spans="1:5" ht="20.25" x14ac:dyDescent="0.15">
      <c r="A613" s="90" t="s">
        <v>308</v>
      </c>
      <c r="B613" s="75" t="s">
        <v>421</v>
      </c>
      <c r="C613" s="90">
        <v>1695</v>
      </c>
      <c r="D613" s="90">
        <v>2000</v>
      </c>
      <c r="E613" s="90">
        <f t="shared" si="23"/>
        <v>0</v>
      </c>
    </row>
    <row r="614" spans="1:5" ht="20.25" x14ac:dyDescent="0.15">
      <c r="A614" s="90" t="s">
        <v>308</v>
      </c>
      <c r="B614" s="75" t="s">
        <v>421</v>
      </c>
      <c r="C614" s="90">
        <v>1820</v>
      </c>
      <c r="D614" s="90">
        <v>2200</v>
      </c>
      <c r="E614" s="90">
        <f t="shared" si="23"/>
        <v>0</v>
      </c>
    </row>
    <row r="615" spans="1:5" ht="20.25" x14ac:dyDescent="0.15">
      <c r="A615" s="90" t="s">
        <v>308</v>
      </c>
      <c r="B615" s="75" t="s">
        <v>421</v>
      </c>
      <c r="C615" s="90">
        <v>750</v>
      </c>
      <c r="D615" s="90">
        <v>660</v>
      </c>
      <c r="E615" s="90">
        <f t="shared" si="23"/>
        <v>0</v>
      </c>
    </row>
    <row r="616" spans="1:5" ht="20.25" x14ac:dyDescent="0.15">
      <c r="A616" s="90" t="s">
        <v>308</v>
      </c>
      <c r="B616" s="75" t="s">
        <v>421</v>
      </c>
      <c r="C616" s="90">
        <v>1000</v>
      </c>
      <c r="D616" s="90">
        <v>1000</v>
      </c>
      <c r="E616" s="90">
        <f t="shared" si="23"/>
        <v>0</v>
      </c>
    </row>
    <row r="617" spans="1:5" ht="20.25" x14ac:dyDescent="0.15">
      <c r="A617" s="90" t="s">
        <v>308</v>
      </c>
      <c r="B617" s="75" t="s">
        <v>421</v>
      </c>
      <c r="C617" s="90">
        <v>1150</v>
      </c>
      <c r="D617" s="90">
        <v>1300</v>
      </c>
      <c r="E617" s="90">
        <f t="shared" si="23"/>
        <v>0</v>
      </c>
    </row>
    <row r="618" spans="1:5" ht="20.25" x14ac:dyDescent="0.15">
      <c r="A618" s="90" t="s">
        <v>308</v>
      </c>
      <c r="B618" s="75" t="s">
        <v>421</v>
      </c>
      <c r="C618" s="90">
        <v>1250</v>
      </c>
      <c r="D618" s="90">
        <v>1500</v>
      </c>
      <c r="E618" s="90">
        <f t="shared" si="23"/>
        <v>0</v>
      </c>
    </row>
    <row r="619" spans="1:5" ht="20.25" x14ac:dyDescent="0.15">
      <c r="A619" s="90" t="s">
        <v>308</v>
      </c>
      <c r="B619" s="75" t="s">
        <v>421</v>
      </c>
      <c r="C619" s="90">
        <v>1500</v>
      </c>
      <c r="D619" s="90">
        <v>1700</v>
      </c>
      <c r="E619" s="90">
        <f t="shared" si="23"/>
        <v>0</v>
      </c>
    </row>
    <row r="620" spans="1:5" ht="20.25" x14ac:dyDescent="0.15">
      <c r="A620" s="90" t="s">
        <v>308</v>
      </c>
      <c r="B620" s="75" t="s">
        <v>421</v>
      </c>
      <c r="C620" s="90">
        <v>1650</v>
      </c>
      <c r="D620" s="90">
        <v>1900</v>
      </c>
      <c r="E620" s="90">
        <f t="shared" si="23"/>
        <v>0</v>
      </c>
    </row>
    <row r="621" spans="1:5" ht="20.25" x14ac:dyDescent="0.15">
      <c r="A621" s="90" t="s">
        <v>308</v>
      </c>
      <c r="B621" s="75" t="s">
        <v>429</v>
      </c>
      <c r="C621" s="90">
        <v>1440</v>
      </c>
      <c r="D621" s="90">
        <v>1300</v>
      </c>
      <c r="E621" s="90">
        <f t="shared" si="23"/>
        <v>0</v>
      </c>
    </row>
    <row r="622" spans="1:5" ht="20.25" x14ac:dyDescent="0.15">
      <c r="A622" s="90" t="s">
        <v>308</v>
      </c>
      <c r="B622" s="75" t="s">
        <v>429</v>
      </c>
      <c r="C622" s="90">
        <v>1530</v>
      </c>
      <c r="D622" s="90">
        <v>1500</v>
      </c>
      <c r="E622" s="90">
        <f t="shared" si="23"/>
        <v>0</v>
      </c>
    </row>
    <row r="623" spans="1:5" ht="20.25" x14ac:dyDescent="0.15">
      <c r="A623" s="90" t="s">
        <v>308</v>
      </c>
      <c r="B623" s="75" t="s">
        <v>430</v>
      </c>
      <c r="C623" s="90">
        <v>1520</v>
      </c>
      <c r="D623" s="90">
        <v>1600</v>
      </c>
      <c r="E623" s="90">
        <f t="shared" si="23"/>
        <v>0</v>
      </c>
    </row>
    <row r="624" spans="1:5" ht="20.25" x14ac:dyDescent="0.15">
      <c r="A624" s="90" t="s">
        <v>308</v>
      </c>
      <c r="B624" s="75" t="s">
        <v>430</v>
      </c>
      <c r="C624" s="90">
        <v>1700</v>
      </c>
      <c r="D624" s="90">
        <v>1900</v>
      </c>
      <c r="E624" s="90">
        <f t="shared" si="23"/>
        <v>0</v>
      </c>
    </row>
    <row r="625" spans="1:5" x14ac:dyDescent="0.2">
      <c r="A625" s="90" t="s">
        <v>308</v>
      </c>
      <c r="B625" s="75" t="s">
        <v>422</v>
      </c>
      <c r="C625" s="90">
        <v>775</v>
      </c>
      <c r="D625" s="90">
        <v>700</v>
      </c>
      <c r="E625" s="90">
        <f t="shared" si="23"/>
        <v>0</v>
      </c>
    </row>
    <row r="626" spans="1:5" x14ac:dyDescent="0.2">
      <c r="A626" s="90" t="s">
        <v>308</v>
      </c>
      <c r="B626" s="75" t="s">
        <v>422</v>
      </c>
      <c r="C626" s="90">
        <v>948</v>
      </c>
      <c r="D626" s="90">
        <v>900</v>
      </c>
      <c r="E626" s="90">
        <f t="shared" si="23"/>
        <v>0</v>
      </c>
    </row>
    <row r="627" spans="1:5" x14ac:dyDescent="0.2">
      <c r="A627" s="90" t="s">
        <v>308</v>
      </c>
      <c r="B627" s="75" t="s">
        <v>422</v>
      </c>
      <c r="C627" s="90">
        <v>1098</v>
      </c>
      <c r="D627" s="90">
        <v>1100</v>
      </c>
      <c r="E627" s="90">
        <f t="shared" si="23"/>
        <v>0</v>
      </c>
    </row>
    <row r="628" spans="1:5" x14ac:dyDescent="0.2">
      <c r="A628" s="90" t="s">
        <v>308</v>
      </c>
      <c r="B628" s="75" t="s">
        <v>422</v>
      </c>
      <c r="C628" s="90">
        <v>1378</v>
      </c>
      <c r="D628" s="90">
        <v>1200</v>
      </c>
      <c r="E628" s="90">
        <f t="shared" si="23"/>
        <v>0</v>
      </c>
    </row>
    <row r="629" spans="1:5" x14ac:dyDescent="0.2">
      <c r="A629" s="90" t="s">
        <v>308</v>
      </c>
      <c r="B629" s="75" t="s">
        <v>422</v>
      </c>
      <c r="C629" s="90">
        <v>1248</v>
      </c>
      <c r="D629" s="90">
        <v>1300</v>
      </c>
      <c r="E629" s="90">
        <f t="shared" si="23"/>
        <v>0</v>
      </c>
    </row>
    <row r="630" spans="1:5" x14ac:dyDescent="0.2">
      <c r="A630" s="90" t="s">
        <v>308</v>
      </c>
      <c r="B630" s="75" t="s">
        <v>422</v>
      </c>
      <c r="C630" s="90">
        <v>1395</v>
      </c>
      <c r="D630" s="90">
        <v>1500</v>
      </c>
      <c r="E630" s="90">
        <f t="shared" si="23"/>
        <v>0</v>
      </c>
    </row>
    <row r="631" spans="1:5" x14ac:dyDescent="0.2">
      <c r="A631" s="90" t="s">
        <v>308</v>
      </c>
      <c r="B631" s="75" t="s">
        <v>422</v>
      </c>
      <c r="C631" s="90">
        <v>1522</v>
      </c>
      <c r="D631" s="90">
        <v>1700</v>
      </c>
      <c r="E631" s="90">
        <f t="shared" si="23"/>
        <v>0</v>
      </c>
    </row>
    <row r="632" spans="1:5" x14ac:dyDescent="0.2">
      <c r="A632" s="90" t="s">
        <v>308</v>
      </c>
      <c r="B632" s="75" t="s">
        <v>422</v>
      </c>
      <c r="C632" s="90">
        <v>1680</v>
      </c>
      <c r="D632" s="90">
        <v>1900</v>
      </c>
      <c r="E632" s="90">
        <f t="shared" si="23"/>
        <v>0</v>
      </c>
    </row>
    <row r="633" spans="1:5" x14ac:dyDescent="0.2">
      <c r="A633" s="90" t="s">
        <v>308</v>
      </c>
      <c r="B633" s="75" t="s">
        <v>423</v>
      </c>
      <c r="C633" s="90">
        <v>775</v>
      </c>
      <c r="D633" s="90">
        <v>700</v>
      </c>
      <c r="E633" s="90">
        <f t="shared" si="23"/>
        <v>0</v>
      </c>
    </row>
    <row r="634" spans="1:5" x14ac:dyDescent="0.2">
      <c r="A634" s="90" t="s">
        <v>308</v>
      </c>
      <c r="B634" s="75" t="s">
        <v>423</v>
      </c>
      <c r="C634" s="90">
        <v>925</v>
      </c>
      <c r="D634" s="90">
        <v>900</v>
      </c>
      <c r="E634" s="90">
        <f t="shared" si="23"/>
        <v>0</v>
      </c>
    </row>
    <row r="635" spans="1:5" x14ac:dyDescent="0.2">
      <c r="A635" s="90" t="s">
        <v>308</v>
      </c>
      <c r="B635" s="75" t="s">
        <v>423</v>
      </c>
      <c r="C635" s="90">
        <v>1098</v>
      </c>
      <c r="D635" s="90">
        <v>1200</v>
      </c>
      <c r="E635" s="90">
        <f t="shared" si="23"/>
        <v>0</v>
      </c>
    </row>
    <row r="636" spans="1:5" x14ac:dyDescent="0.2">
      <c r="A636" s="90" t="s">
        <v>308</v>
      </c>
      <c r="B636" s="75" t="s">
        <v>423</v>
      </c>
      <c r="C636" s="90">
        <v>1246</v>
      </c>
      <c r="D636" s="90">
        <v>1400</v>
      </c>
      <c r="E636" s="90">
        <f t="shared" si="23"/>
        <v>0</v>
      </c>
    </row>
    <row r="637" spans="1:5" x14ac:dyDescent="0.2">
      <c r="A637" s="90" t="s">
        <v>308</v>
      </c>
      <c r="B637" s="75" t="s">
        <v>423</v>
      </c>
      <c r="C637" s="90">
        <v>1440</v>
      </c>
      <c r="D637" s="90">
        <v>1500</v>
      </c>
      <c r="E637" s="90">
        <f t="shared" si="23"/>
        <v>0</v>
      </c>
    </row>
    <row r="638" spans="1:5" x14ac:dyDescent="0.2">
      <c r="A638" s="90" t="s">
        <v>308</v>
      </c>
      <c r="B638" s="75" t="s">
        <v>423</v>
      </c>
      <c r="C638" s="90">
        <v>1400</v>
      </c>
      <c r="D638" s="90">
        <v>1600</v>
      </c>
      <c r="E638" s="90">
        <f t="shared" si="23"/>
        <v>0</v>
      </c>
    </row>
    <row r="639" spans="1:5" x14ac:dyDescent="0.2">
      <c r="A639" s="90" t="s">
        <v>308</v>
      </c>
      <c r="B639" s="75" t="s">
        <v>423</v>
      </c>
      <c r="C639" s="90">
        <v>1540</v>
      </c>
      <c r="D639" s="90">
        <v>1800</v>
      </c>
      <c r="E639" s="90">
        <f t="shared" si="23"/>
        <v>0</v>
      </c>
    </row>
    <row r="640" spans="1:5" x14ac:dyDescent="0.2">
      <c r="A640" s="90" t="s">
        <v>308</v>
      </c>
      <c r="B640" s="75" t="s">
        <v>423</v>
      </c>
      <c r="C640" s="90">
        <v>1695</v>
      </c>
      <c r="D640" s="90">
        <v>2000</v>
      </c>
      <c r="E640" s="90">
        <f t="shared" si="23"/>
        <v>0</v>
      </c>
    </row>
    <row r="641" spans="1:5" x14ac:dyDescent="0.2">
      <c r="A641" s="90" t="s">
        <v>308</v>
      </c>
      <c r="B641" s="75" t="s">
        <v>423</v>
      </c>
      <c r="C641" s="90">
        <v>1820</v>
      </c>
      <c r="D641" s="90">
        <v>2200</v>
      </c>
      <c r="E641" s="90">
        <f t="shared" si="23"/>
        <v>0</v>
      </c>
    </row>
    <row r="642" spans="1:5" x14ac:dyDescent="0.2">
      <c r="A642" s="90" t="s">
        <v>308</v>
      </c>
      <c r="B642" s="75" t="s">
        <v>424</v>
      </c>
      <c r="C642" s="90">
        <v>1075</v>
      </c>
      <c r="D642" s="90">
        <v>1000</v>
      </c>
      <c r="E642" s="90">
        <f t="shared" si="23"/>
        <v>0</v>
      </c>
    </row>
    <row r="643" spans="1:5" x14ac:dyDescent="0.2">
      <c r="A643" s="90" t="s">
        <v>308</v>
      </c>
      <c r="B643" s="75" t="s">
        <v>425</v>
      </c>
      <c r="C643" s="90">
        <v>1225</v>
      </c>
      <c r="D643" s="90">
        <v>1400</v>
      </c>
      <c r="E643" s="90">
        <f t="shared" si="23"/>
        <v>0</v>
      </c>
    </row>
    <row r="644" spans="1:5" x14ac:dyDescent="0.2">
      <c r="A644" s="90" t="s">
        <v>308</v>
      </c>
      <c r="B644" s="75" t="s">
        <v>425</v>
      </c>
      <c r="C644" s="90">
        <v>1400</v>
      </c>
      <c r="D644" s="90">
        <v>1600</v>
      </c>
      <c r="E644" s="90">
        <f t="shared" si="23"/>
        <v>0</v>
      </c>
    </row>
    <row r="645" spans="1:5" x14ac:dyDescent="0.2">
      <c r="A645" s="90" t="s">
        <v>308</v>
      </c>
      <c r="B645" s="75" t="s">
        <v>426</v>
      </c>
      <c r="C645" s="90">
        <v>750</v>
      </c>
      <c r="D645" s="90">
        <v>630</v>
      </c>
      <c r="E645" s="90">
        <f t="shared" si="23"/>
        <v>0</v>
      </c>
    </row>
    <row r="646" spans="1:5" x14ac:dyDescent="0.2">
      <c r="A646" s="90" t="s">
        <v>308</v>
      </c>
      <c r="B646" s="75" t="s">
        <v>426</v>
      </c>
      <c r="C646" s="90">
        <v>1000</v>
      </c>
      <c r="D646" s="90">
        <v>950</v>
      </c>
      <c r="E646" s="90">
        <f t="shared" si="23"/>
        <v>0</v>
      </c>
    </row>
    <row r="647" spans="1:5" x14ac:dyDescent="0.2">
      <c r="A647" s="90" t="s">
        <v>308</v>
      </c>
      <c r="B647" s="75" t="s">
        <v>426</v>
      </c>
      <c r="C647" s="90">
        <v>1350</v>
      </c>
      <c r="D647" s="90">
        <v>1400</v>
      </c>
      <c r="E647" s="90">
        <f t="shared" si="23"/>
        <v>0</v>
      </c>
    </row>
    <row r="648" spans="1:5" x14ac:dyDescent="0.2">
      <c r="A648" s="90" t="s">
        <v>308</v>
      </c>
      <c r="B648" s="75" t="s">
        <v>427</v>
      </c>
      <c r="C648" s="90">
        <v>750</v>
      </c>
      <c r="D648" s="90">
        <v>660</v>
      </c>
      <c r="E648" s="90">
        <f t="shared" si="23"/>
        <v>0</v>
      </c>
    </row>
    <row r="649" spans="1:5" x14ac:dyDescent="0.2">
      <c r="A649" s="90" t="s">
        <v>308</v>
      </c>
      <c r="B649" s="75" t="s">
        <v>427</v>
      </c>
      <c r="C649" s="90">
        <v>1000</v>
      </c>
      <c r="D649" s="90">
        <v>1000</v>
      </c>
      <c r="E649" s="90">
        <f t="shared" si="23"/>
        <v>0</v>
      </c>
    </row>
    <row r="650" spans="1:5" x14ac:dyDescent="0.2">
      <c r="A650" s="90" t="s">
        <v>308</v>
      </c>
      <c r="B650" s="75" t="s">
        <v>427</v>
      </c>
      <c r="C650" s="90">
        <v>1650</v>
      </c>
      <c r="D650" s="90">
        <v>1900</v>
      </c>
      <c r="E650" s="90">
        <f t="shared" si="23"/>
        <v>0</v>
      </c>
    </row>
    <row r="651" spans="1:5" x14ac:dyDescent="0.2">
      <c r="A651" s="90" t="s">
        <v>308</v>
      </c>
      <c r="B651" s="75" t="s">
        <v>418</v>
      </c>
      <c r="C651" s="90">
        <v>948</v>
      </c>
      <c r="D651" s="90">
        <v>900</v>
      </c>
      <c r="E651" s="90">
        <f t="shared" si="23"/>
        <v>0</v>
      </c>
    </row>
    <row r="652" spans="1:5" x14ac:dyDescent="0.2">
      <c r="A652" s="90" t="s">
        <v>308</v>
      </c>
      <c r="B652" s="75" t="s">
        <v>418</v>
      </c>
      <c r="C652" s="90">
        <v>1098</v>
      </c>
      <c r="D652" s="90">
        <v>1100</v>
      </c>
      <c r="E652" s="90">
        <f t="shared" si="23"/>
        <v>0</v>
      </c>
    </row>
    <row r="653" spans="1:5" x14ac:dyDescent="0.2">
      <c r="A653" s="90" t="s">
        <v>308</v>
      </c>
      <c r="B653" s="75" t="s">
        <v>418</v>
      </c>
      <c r="C653" s="90">
        <v>1248</v>
      </c>
      <c r="D653" s="90">
        <v>1300</v>
      </c>
      <c r="E653" s="90">
        <f t="shared" si="23"/>
        <v>0</v>
      </c>
    </row>
    <row r="654" spans="1:5" x14ac:dyDescent="0.2">
      <c r="A654" s="90" t="s">
        <v>308</v>
      </c>
      <c r="B654" s="75" t="s">
        <v>431</v>
      </c>
      <c r="C654" s="90">
        <v>1098</v>
      </c>
      <c r="D654" s="90">
        <v>1200</v>
      </c>
      <c r="E654" s="90">
        <f t="shared" si="23"/>
        <v>0</v>
      </c>
    </row>
    <row r="655" spans="1:5" x14ac:dyDescent="0.2">
      <c r="A655" s="90" t="s">
        <v>308</v>
      </c>
      <c r="B655" s="75" t="s">
        <v>431</v>
      </c>
      <c r="C655" s="90">
        <v>1246</v>
      </c>
      <c r="D655" s="90">
        <v>1400</v>
      </c>
      <c r="E655" s="90">
        <f t="shared" si="23"/>
        <v>0</v>
      </c>
    </row>
    <row r="656" spans="1:5" x14ac:dyDescent="0.2">
      <c r="A656" s="90" t="s">
        <v>308</v>
      </c>
      <c r="B656" s="75" t="s">
        <v>431</v>
      </c>
      <c r="C656" s="90">
        <v>1400</v>
      </c>
      <c r="D656" s="90">
        <v>1600</v>
      </c>
      <c r="E656" s="90">
        <f t="shared" si="23"/>
        <v>0</v>
      </c>
    </row>
    <row r="657" spans="1:5" x14ac:dyDescent="0.2">
      <c r="A657" s="90" t="s">
        <v>308</v>
      </c>
      <c r="B657" s="75" t="s">
        <v>432</v>
      </c>
      <c r="C657" s="90">
        <v>850</v>
      </c>
      <c r="D657" s="90">
        <v>600</v>
      </c>
      <c r="E657" s="90">
        <f t="shared" si="23"/>
        <v>0</v>
      </c>
    </row>
    <row r="658" spans="1:5" x14ac:dyDescent="0.2">
      <c r="A658" s="90" t="s">
        <v>308</v>
      </c>
      <c r="B658" s="75" t="s">
        <v>433</v>
      </c>
      <c r="C658" s="90">
        <v>900</v>
      </c>
      <c r="D658" s="90">
        <v>700</v>
      </c>
      <c r="E658" s="90">
        <f t="shared" si="23"/>
        <v>0</v>
      </c>
    </row>
    <row r="659" spans="1:5" x14ac:dyDescent="0.2">
      <c r="A659" s="90" t="s">
        <v>308</v>
      </c>
      <c r="B659" s="75" t="s">
        <v>434</v>
      </c>
      <c r="C659" s="90">
        <v>2000</v>
      </c>
      <c r="D659" s="90">
        <v>730</v>
      </c>
      <c r="E659" s="90">
        <f t="shared" si="23"/>
        <v>0</v>
      </c>
    </row>
    <row r="660" spans="1:5" x14ac:dyDescent="0.2">
      <c r="A660" s="90" t="s">
        <v>308</v>
      </c>
      <c r="B660" s="75" t="s">
        <v>434</v>
      </c>
      <c r="C660" s="90">
        <v>2200</v>
      </c>
      <c r="D660" s="90">
        <v>805</v>
      </c>
      <c r="E660" s="90">
        <f t="shared" ref="E660:E723" si="24">+IF(AND($E$80=A660,$E$81=B660,$E$82=C660),D660,0)</f>
        <v>0</v>
      </c>
    </row>
    <row r="661" spans="1:5" x14ac:dyDescent="0.2">
      <c r="A661" s="90" t="s">
        <v>308</v>
      </c>
      <c r="B661" s="75" t="s">
        <v>434</v>
      </c>
      <c r="C661" s="90">
        <v>2400</v>
      </c>
      <c r="D661" s="90">
        <v>880</v>
      </c>
      <c r="E661" s="90">
        <f t="shared" si="24"/>
        <v>0</v>
      </c>
    </row>
    <row r="662" spans="1:5" x14ac:dyDescent="0.2">
      <c r="A662" s="90" t="s">
        <v>308</v>
      </c>
      <c r="B662" s="75" t="s">
        <v>434</v>
      </c>
      <c r="C662" s="90">
        <v>1676</v>
      </c>
      <c r="D662" s="90">
        <v>1100</v>
      </c>
      <c r="E662" s="90">
        <f t="shared" si="24"/>
        <v>0</v>
      </c>
    </row>
    <row r="663" spans="1:5" x14ac:dyDescent="0.2">
      <c r="A663" s="90" t="s">
        <v>308</v>
      </c>
      <c r="B663" s="75" t="s">
        <v>434</v>
      </c>
      <c r="C663" s="90">
        <v>1829</v>
      </c>
      <c r="D663" s="90">
        <v>1200</v>
      </c>
      <c r="E663" s="90">
        <f t="shared" si="24"/>
        <v>0</v>
      </c>
    </row>
    <row r="664" spans="1:5" x14ac:dyDescent="0.2">
      <c r="A664" s="90" t="s">
        <v>308</v>
      </c>
      <c r="B664" s="75" t="s">
        <v>435</v>
      </c>
      <c r="C664" s="90">
        <v>2200</v>
      </c>
      <c r="D664" s="90">
        <v>1080</v>
      </c>
      <c r="E664" s="90">
        <f t="shared" si="24"/>
        <v>0</v>
      </c>
    </row>
    <row r="665" spans="1:5" x14ac:dyDescent="0.2">
      <c r="A665" s="90" t="s">
        <v>308</v>
      </c>
      <c r="B665" s="75" t="s">
        <v>435</v>
      </c>
      <c r="C665" s="90">
        <v>2400</v>
      </c>
      <c r="D665" s="90">
        <v>1180</v>
      </c>
      <c r="E665" s="90">
        <f t="shared" si="24"/>
        <v>0</v>
      </c>
    </row>
    <row r="666" spans="1:5" x14ac:dyDescent="0.2">
      <c r="A666" s="90" t="s">
        <v>308</v>
      </c>
      <c r="B666" s="75" t="s">
        <v>435</v>
      </c>
      <c r="C666" s="90">
        <v>2600</v>
      </c>
      <c r="D666" s="90">
        <v>1280</v>
      </c>
      <c r="E666" s="90">
        <f t="shared" si="24"/>
        <v>0</v>
      </c>
    </row>
    <row r="667" spans="1:5" x14ac:dyDescent="0.2">
      <c r="A667" s="90" t="s">
        <v>308</v>
      </c>
      <c r="B667" s="75" t="s">
        <v>435</v>
      </c>
      <c r="C667" s="90">
        <v>1676</v>
      </c>
      <c r="D667" s="90">
        <v>1700</v>
      </c>
      <c r="E667" s="90">
        <f t="shared" si="24"/>
        <v>0</v>
      </c>
    </row>
    <row r="668" spans="1:5" x14ac:dyDescent="0.2">
      <c r="A668" s="90" t="s">
        <v>308</v>
      </c>
      <c r="B668" s="75" t="s">
        <v>435</v>
      </c>
      <c r="C668" s="90">
        <v>1829</v>
      </c>
      <c r="D668" s="90">
        <v>1800</v>
      </c>
      <c r="E668" s="90">
        <f t="shared" si="24"/>
        <v>0</v>
      </c>
    </row>
    <row r="669" spans="1:5" x14ac:dyDescent="0.2">
      <c r="A669" s="90" t="s">
        <v>308</v>
      </c>
      <c r="B669" s="75" t="s">
        <v>438</v>
      </c>
      <c r="C669" s="90">
        <v>1600</v>
      </c>
      <c r="D669" s="90">
        <v>940</v>
      </c>
      <c r="E669" s="90">
        <f t="shared" si="24"/>
        <v>0</v>
      </c>
    </row>
    <row r="670" spans="1:5" x14ac:dyDescent="0.2">
      <c r="A670" s="90" t="s">
        <v>308</v>
      </c>
      <c r="B670" s="75" t="s">
        <v>438</v>
      </c>
      <c r="C670" s="90">
        <v>1800</v>
      </c>
      <c r="D670" s="90">
        <v>1065</v>
      </c>
      <c r="E670" s="90">
        <f t="shared" si="24"/>
        <v>0</v>
      </c>
    </row>
    <row r="671" spans="1:5" x14ac:dyDescent="0.2">
      <c r="A671" s="90" t="s">
        <v>308</v>
      </c>
      <c r="B671" s="75" t="s">
        <v>438</v>
      </c>
      <c r="C671" s="90">
        <v>2000</v>
      </c>
      <c r="D671" s="90">
        <v>1190</v>
      </c>
      <c r="E671" s="90">
        <f t="shared" si="24"/>
        <v>0</v>
      </c>
    </row>
    <row r="672" spans="1:5" x14ac:dyDescent="0.2">
      <c r="A672" s="90" t="s">
        <v>308</v>
      </c>
      <c r="B672" s="75" t="s">
        <v>438</v>
      </c>
      <c r="C672" s="90">
        <v>2200</v>
      </c>
      <c r="D672" s="90">
        <v>1315</v>
      </c>
      <c r="E672" s="90">
        <f t="shared" si="24"/>
        <v>0</v>
      </c>
    </row>
    <row r="673" spans="1:5" x14ac:dyDescent="0.2">
      <c r="A673" s="90" t="s">
        <v>308</v>
      </c>
      <c r="B673" s="75" t="s">
        <v>437</v>
      </c>
      <c r="C673" s="90">
        <v>1800</v>
      </c>
      <c r="D673" s="90">
        <v>1385</v>
      </c>
      <c r="E673" s="90">
        <f t="shared" si="24"/>
        <v>0</v>
      </c>
    </row>
    <row r="674" spans="1:5" x14ac:dyDescent="0.2">
      <c r="A674" s="90" t="s">
        <v>308</v>
      </c>
      <c r="B674" s="75" t="s">
        <v>437</v>
      </c>
      <c r="C674" s="90">
        <v>2100</v>
      </c>
      <c r="D674" s="90">
        <v>1630</v>
      </c>
      <c r="E674" s="90">
        <f t="shared" si="24"/>
        <v>0</v>
      </c>
    </row>
    <row r="675" spans="1:5" x14ac:dyDescent="0.2">
      <c r="A675" s="90" t="s">
        <v>308</v>
      </c>
      <c r="B675" s="75" t="s">
        <v>437</v>
      </c>
      <c r="C675" s="90">
        <v>2400</v>
      </c>
      <c r="D675" s="90">
        <v>1875</v>
      </c>
      <c r="E675" s="90">
        <f t="shared" si="24"/>
        <v>0</v>
      </c>
    </row>
    <row r="676" spans="1:5" x14ac:dyDescent="0.2">
      <c r="A676" s="90" t="s">
        <v>308</v>
      </c>
      <c r="B676" s="75" t="s">
        <v>437</v>
      </c>
      <c r="C676" s="90">
        <v>2700</v>
      </c>
      <c r="D676" s="90">
        <v>2120</v>
      </c>
      <c r="E676" s="90">
        <f t="shared" si="24"/>
        <v>0</v>
      </c>
    </row>
    <row r="677" spans="1:5" x14ac:dyDescent="0.2">
      <c r="A677" s="90" t="s">
        <v>308</v>
      </c>
      <c r="B677" s="75" t="s">
        <v>438</v>
      </c>
      <c r="C677" s="90">
        <v>1600</v>
      </c>
      <c r="D677" s="90">
        <v>940</v>
      </c>
      <c r="E677" s="90">
        <f t="shared" si="24"/>
        <v>0</v>
      </c>
    </row>
    <row r="678" spans="1:5" x14ac:dyDescent="0.2">
      <c r="A678" s="90" t="s">
        <v>308</v>
      </c>
      <c r="B678" s="75" t="s">
        <v>438</v>
      </c>
      <c r="C678" s="90">
        <v>1800</v>
      </c>
      <c r="D678" s="90">
        <v>1065</v>
      </c>
      <c r="E678" s="90">
        <f t="shared" si="24"/>
        <v>0</v>
      </c>
    </row>
    <row r="679" spans="1:5" x14ac:dyDescent="0.2">
      <c r="A679" s="90" t="s">
        <v>308</v>
      </c>
      <c r="B679" s="75" t="s">
        <v>438</v>
      </c>
      <c r="C679" s="90">
        <v>2000</v>
      </c>
      <c r="D679" s="90">
        <v>1190</v>
      </c>
      <c r="E679" s="90">
        <f t="shared" si="24"/>
        <v>0</v>
      </c>
    </row>
    <row r="680" spans="1:5" x14ac:dyDescent="0.2">
      <c r="A680" s="90" t="s">
        <v>308</v>
      </c>
      <c r="B680" s="75" t="s">
        <v>438</v>
      </c>
      <c r="C680" s="90">
        <v>2200</v>
      </c>
      <c r="D680" s="90">
        <v>1315</v>
      </c>
      <c r="E680" s="90">
        <f t="shared" si="24"/>
        <v>0</v>
      </c>
    </row>
    <row r="681" spans="1:5" x14ac:dyDescent="0.2">
      <c r="A681" s="90" t="s">
        <v>308</v>
      </c>
      <c r="B681" s="75" t="s">
        <v>439</v>
      </c>
      <c r="C681" s="90">
        <v>1800</v>
      </c>
      <c r="D681" s="90">
        <v>1385</v>
      </c>
      <c r="E681" s="90">
        <f t="shared" si="24"/>
        <v>0</v>
      </c>
    </row>
    <row r="682" spans="1:5" x14ac:dyDescent="0.2">
      <c r="A682" s="90" t="s">
        <v>308</v>
      </c>
      <c r="B682" s="75" t="s">
        <v>439</v>
      </c>
      <c r="C682" s="90">
        <v>2100</v>
      </c>
      <c r="D682" s="90">
        <v>1630</v>
      </c>
      <c r="E682" s="90">
        <f t="shared" si="24"/>
        <v>0</v>
      </c>
    </row>
    <row r="683" spans="1:5" x14ac:dyDescent="0.2">
      <c r="A683" s="90" t="s">
        <v>308</v>
      </c>
      <c r="B683" s="75" t="s">
        <v>439</v>
      </c>
      <c r="C683" s="90">
        <v>2400</v>
      </c>
      <c r="D683" s="90">
        <v>1875</v>
      </c>
      <c r="E683" s="90">
        <f t="shared" si="24"/>
        <v>0</v>
      </c>
    </row>
    <row r="684" spans="1:5" x14ac:dyDescent="0.2">
      <c r="A684" s="90" t="s">
        <v>308</v>
      </c>
      <c r="B684" s="75" t="s">
        <v>439</v>
      </c>
      <c r="C684" s="90">
        <v>2700</v>
      </c>
      <c r="D684" s="90">
        <v>2120</v>
      </c>
      <c r="E684" s="90">
        <f t="shared" si="24"/>
        <v>0</v>
      </c>
    </row>
    <row r="685" spans="1:5" x14ac:dyDescent="0.2">
      <c r="A685" s="90" t="s">
        <v>309</v>
      </c>
      <c r="B685" s="75" t="s">
        <v>440</v>
      </c>
      <c r="C685" s="90">
        <v>775</v>
      </c>
      <c r="D685" s="90">
        <v>800</v>
      </c>
      <c r="E685" s="90">
        <f t="shared" si="24"/>
        <v>0</v>
      </c>
    </row>
    <row r="686" spans="1:5" x14ac:dyDescent="0.2">
      <c r="A686" s="90" t="s">
        <v>309</v>
      </c>
      <c r="B686" s="75" t="s">
        <v>440</v>
      </c>
      <c r="C686" s="90">
        <v>925</v>
      </c>
      <c r="D686" s="90">
        <v>1100</v>
      </c>
      <c r="E686" s="90">
        <f t="shared" si="24"/>
        <v>0</v>
      </c>
    </row>
    <row r="687" spans="1:5" x14ac:dyDescent="0.2">
      <c r="A687" s="90" t="s">
        <v>309</v>
      </c>
      <c r="B687" s="75" t="s">
        <v>440</v>
      </c>
      <c r="C687" s="90">
        <v>1098</v>
      </c>
      <c r="D687" s="90">
        <v>1400</v>
      </c>
      <c r="E687" s="90">
        <f t="shared" si="24"/>
        <v>0</v>
      </c>
    </row>
    <row r="688" spans="1:5" x14ac:dyDescent="0.2">
      <c r="A688" s="90" t="s">
        <v>309</v>
      </c>
      <c r="B688" s="75" t="s">
        <v>440</v>
      </c>
      <c r="C688" s="90">
        <v>1245</v>
      </c>
      <c r="D688" s="90">
        <v>1700</v>
      </c>
      <c r="E688" s="90">
        <f t="shared" si="24"/>
        <v>0</v>
      </c>
    </row>
    <row r="689" spans="1:5" x14ac:dyDescent="0.2">
      <c r="A689" s="90" t="s">
        <v>309</v>
      </c>
      <c r="B689" s="75" t="s">
        <v>440</v>
      </c>
      <c r="C689" s="90">
        <v>1400</v>
      </c>
      <c r="D689" s="90">
        <v>2000</v>
      </c>
      <c r="E689" s="90">
        <f t="shared" si="24"/>
        <v>0</v>
      </c>
    </row>
    <row r="690" spans="1:5" x14ac:dyDescent="0.2">
      <c r="A690" s="90" t="s">
        <v>309</v>
      </c>
      <c r="B690" s="75" t="s">
        <v>440</v>
      </c>
      <c r="C690" s="90">
        <v>1540</v>
      </c>
      <c r="D690" s="90">
        <v>2200</v>
      </c>
      <c r="E690" s="90">
        <f t="shared" si="24"/>
        <v>0</v>
      </c>
    </row>
    <row r="691" spans="1:5" x14ac:dyDescent="0.2">
      <c r="A691" s="90" t="s">
        <v>309</v>
      </c>
      <c r="B691" s="75" t="s">
        <v>441</v>
      </c>
      <c r="C691" s="90">
        <v>1345</v>
      </c>
      <c r="D691" s="90">
        <v>1300</v>
      </c>
      <c r="E691" s="90">
        <f t="shared" si="24"/>
        <v>0</v>
      </c>
    </row>
    <row r="692" spans="1:5" x14ac:dyDescent="0.2">
      <c r="A692" s="90" t="s">
        <v>309</v>
      </c>
      <c r="B692" s="75" t="s">
        <v>441</v>
      </c>
      <c r="C692" s="90">
        <v>1430</v>
      </c>
      <c r="D692" s="90">
        <v>1400</v>
      </c>
      <c r="E692" s="90">
        <f t="shared" si="24"/>
        <v>0</v>
      </c>
    </row>
    <row r="693" spans="1:5" x14ac:dyDescent="0.2">
      <c r="A693" s="90" t="s">
        <v>309</v>
      </c>
      <c r="B693" s="75" t="s">
        <v>441</v>
      </c>
      <c r="C693" s="90">
        <v>1500</v>
      </c>
      <c r="D693" s="90">
        <v>1500</v>
      </c>
      <c r="E693" s="90">
        <f t="shared" si="24"/>
        <v>0</v>
      </c>
    </row>
    <row r="694" spans="1:5" x14ac:dyDescent="0.2">
      <c r="A694" s="90" t="s">
        <v>309</v>
      </c>
      <c r="B694" s="75" t="s">
        <v>441</v>
      </c>
      <c r="C694" s="90">
        <v>750</v>
      </c>
      <c r="D694" s="90">
        <v>660</v>
      </c>
      <c r="E694" s="90">
        <f t="shared" si="24"/>
        <v>0</v>
      </c>
    </row>
    <row r="695" spans="1:5" x14ac:dyDescent="0.2">
      <c r="A695" s="90" t="s">
        <v>309</v>
      </c>
      <c r="B695" s="75" t="s">
        <v>441</v>
      </c>
      <c r="C695" s="90">
        <v>1000</v>
      </c>
      <c r="D695" s="90">
        <v>1000</v>
      </c>
      <c r="E695" s="90">
        <f t="shared" si="24"/>
        <v>0</v>
      </c>
    </row>
    <row r="696" spans="1:5" x14ac:dyDescent="0.2">
      <c r="A696" s="90" t="s">
        <v>309</v>
      </c>
      <c r="B696" s="75" t="s">
        <v>441</v>
      </c>
      <c r="C696" s="90">
        <v>1150</v>
      </c>
      <c r="D696" s="90">
        <v>1300</v>
      </c>
      <c r="E696" s="90">
        <f t="shared" si="24"/>
        <v>0</v>
      </c>
    </row>
    <row r="697" spans="1:5" x14ac:dyDescent="0.2">
      <c r="A697" s="90" t="s">
        <v>309</v>
      </c>
      <c r="B697" s="75" t="s">
        <v>441</v>
      </c>
      <c r="C697" s="90">
        <v>1300</v>
      </c>
      <c r="D697" s="90">
        <v>1450</v>
      </c>
      <c r="E697" s="90">
        <f t="shared" si="24"/>
        <v>0</v>
      </c>
    </row>
    <row r="698" spans="1:5" x14ac:dyDescent="0.2">
      <c r="A698" s="90" t="s">
        <v>309</v>
      </c>
      <c r="B698" s="75" t="s">
        <v>441</v>
      </c>
      <c r="C698" s="90">
        <v>1350</v>
      </c>
      <c r="D698" s="90">
        <v>1500</v>
      </c>
      <c r="E698" s="90">
        <f t="shared" si="24"/>
        <v>0</v>
      </c>
    </row>
    <row r="699" spans="1:5" x14ac:dyDescent="0.2">
      <c r="A699" s="90" t="s">
        <v>309</v>
      </c>
      <c r="B699" s="75" t="s">
        <v>441</v>
      </c>
      <c r="C699" s="90">
        <v>1500</v>
      </c>
      <c r="D699" s="90">
        <v>1700</v>
      </c>
      <c r="E699" s="90">
        <f t="shared" si="24"/>
        <v>0</v>
      </c>
    </row>
    <row r="700" spans="1:5" x14ac:dyDescent="0.2">
      <c r="A700" s="90" t="s">
        <v>309</v>
      </c>
      <c r="B700" s="75" t="s">
        <v>441</v>
      </c>
      <c r="C700" s="90">
        <v>1650</v>
      </c>
      <c r="D700" s="90">
        <v>1900</v>
      </c>
      <c r="E700" s="90">
        <f t="shared" si="24"/>
        <v>0</v>
      </c>
    </row>
    <row r="701" spans="1:5" x14ac:dyDescent="0.2">
      <c r="A701" s="90" t="s">
        <v>309</v>
      </c>
      <c r="B701" s="75" t="s">
        <v>442</v>
      </c>
      <c r="C701" s="90">
        <v>1470</v>
      </c>
      <c r="D701" s="90">
        <v>1700</v>
      </c>
      <c r="E701" s="90">
        <f t="shared" si="24"/>
        <v>0</v>
      </c>
    </row>
    <row r="702" spans="1:5" x14ac:dyDescent="0.2">
      <c r="A702" s="90" t="s">
        <v>309</v>
      </c>
      <c r="B702" s="75" t="s">
        <v>442</v>
      </c>
      <c r="C702" s="90">
        <v>1600</v>
      </c>
      <c r="D702" s="90">
        <v>1900</v>
      </c>
      <c r="E702" s="90">
        <f t="shared" si="24"/>
        <v>0</v>
      </c>
    </row>
    <row r="703" spans="1:5" x14ac:dyDescent="0.2">
      <c r="A703" s="90" t="s">
        <v>309</v>
      </c>
      <c r="B703" s="75" t="s">
        <v>442</v>
      </c>
      <c r="C703" s="90">
        <v>1400</v>
      </c>
      <c r="D703" s="90">
        <v>1700</v>
      </c>
      <c r="E703" s="90">
        <f t="shared" si="24"/>
        <v>0</v>
      </c>
    </row>
    <row r="704" spans="1:5" x14ac:dyDescent="0.2">
      <c r="A704" s="90" t="s">
        <v>309</v>
      </c>
      <c r="B704" s="75" t="s">
        <v>442</v>
      </c>
      <c r="C704" s="90">
        <v>1500</v>
      </c>
      <c r="D704" s="90">
        <v>1900</v>
      </c>
      <c r="E704" s="90">
        <f t="shared" si="24"/>
        <v>0</v>
      </c>
    </row>
    <row r="705" spans="1:5" x14ac:dyDescent="0.2">
      <c r="A705" s="90" t="s">
        <v>309</v>
      </c>
      <c r="B705" s="75" t="s">
        <v>442</v>
      </c>
      <c r="C705" s="90">
        <v>1650</v>
      </c>
      <c r="D705" s="90">
        <v>2100</v>
      </c>
      <c r="E705" s="90">
        <f t="shared" si="24"/>
        <v>0</v>
      </c>
    </row>
    <row r="706" spans="1:5" ht="20.25" x14ac:dyDescent="0.15">
      <c r="A706" s="90" t="s">
        <v>309</v>
      </c>
      <c r="B706" s="75" t="s">
        <v>443</v>
      </c>
      <c r="C706" s="90">
        <v>775</v>
      </c>
      <c r="D706" s="90">
        <v>700</v>
      </c>
      <c r="E706" s="90">
        <f t="shared" si="24"/>
        <v>0</v>
      </c>
    </row>
    <row r="707" spans="1:5" ht="20.25" x14ac:dyDescent="0.15">
      <c r="A707" s="90" t="s">
        <v>309</v>
      </c>
      <c r="B707" s="75" t="s">
        <v>443</v>
      </c>
      <c r="C707" s="90">
        <v>925</v>
      </c>
      <c r="D707" s="90">
        <v>900</v>
      </c>
      <c r="E707" s="90">
        <f t="shared" si="24"/>
        <v>0</v>
      </c>
    </row>
    <row r="708" spans="1:5" ht="20.25" x14ac:dyDescent="0.15">
      <c r="A708" s="90" t="s">
        <v>309</v>
      </c>
      <c r="B708" s="75" t="s">
        <v>443</v>
      </c>
      <c r="C708" s="90">
        <v>1098</v>
      </c>
      <c r="D708" s="90">
        <v>1200</v>
      </c>
      <c r="E708" s="90">
        <f t="shared" si="24"/>
        <v>0</v>
      </c>
    </row>
    <row r="709" spans="1:5" ht="20.25" x14ac:dyDescent="0.15">
      <c r="A709" s="90" t="s">
        <v>309</v>
      </c>
      <c r="B709" s="75" t="s">
        <v>443</v>
      </c>
      <c r="C709" s="90">
        <v>1246</v>
      </c>
      <c r="D709" s="90">
        <v>1400</v>
      </c>
      <c r="E709" s="90">
        <f t="shared" si="24"/>
        <v>0</v>
      </c>
    </row>
    <row r="710" spans="1:5" ht="20.25" x14ac:dyDescent="0.15">
      <c r="A710" s="90" t="s">
        <v>309</v>
      </c>
      <c r="B710" s="75" t="s">
        <v>443</v>
      </c>
      <c r="C710" s="90">
        <v>1400</v>
      </c>
      <c r="D710" s="90">
        <v>1600</v>
      </c>
      <c r="E710" s="90">
        <f t="shared" si="24"/>
        <v>0</v>
      </c>
    </row>
    <row r="711" spans="1:5" ht="20.25" x14ac:dyDescent="0.15">
      <c r="A711" s="90" t="s">
        <v>309</v>
      </c>
      <c r="B711" s="75" t="s">
        <v>443</v>
      </c>
      <c r="C711" s="90">
        <v>1540</v>
      </c>
      <c r="D711" s="90">
        <v>1800</v>
      </c>
      <c r="E711" s="90">
        <f t="shared" si="24"/>
        <v>0</v>
      </c>
    </row>
    <row r="712" spans="1:5" ht="20.25" x14ac:dyDescent="0.15">
      <c r="A712" s="90" t="s">
        <v>309</v>
      </c>
      <c r="B712" s="75" t="s">
        <v>443</v>
      </c>
      <c r="C712" s="90">
        <v>1695</v>
      </c>
      <c r="D712" s="90">
        <v>2000</v>
      </c>
      <c r="E712" s="90">
        <f t="shared" si="24"/>
        <v>0</v>
      </c>
    </row>
    <row r="713" spans="1:5" ht="20.25" x14ac:dyDescent="0.15">
      <c r="A713" s="90" t="s">
        <v>309</v>
      </c>
      <c r="B713" s="75" t="s">
        <v>443</v>
      </c>
      <c r="C713" s="90">
        <v>1820</v>
      </c>
      <c r="D713" s="90">
        <v>2200</v>
      </c>
      <c r="E713" s="90">
        <f t="shared" si="24"/>
        <v>0</v>
      </c>
    </row>
    <row r="714" spans="1:5" ht="20.25" x14ac:dyDescent="0.15">
      <c r="A714" s="90" t="s">
        <v>309</v>
      </c>
      <c r="B714" s="75" t="s">
        <v>443</v>
      </c>
      <c r="C714" s="90">
        <v>750</v>
      </c>
      <c r="D714" s="90">
        <v>660</v>
      </c>
      <c r="E714" s="90">
        <f t="shared" si="24"/>
        <v>0</v>
      </c>
    </row>
    <row r="715" spans="1:5" ht="20.25" x14ac:dyDescent="0.15">
      <c r="A715" s="90" t="s">
        <v>309</v>
      </c>
      <c r="B715" s="75" t="s">
        <v>443</v>
      </c>
      <c r="C715" s="90">
        <v>1000</v>
      </c>
      <c r="D715" s="90">
        <v>1000</v>
      </c>
      <c r="E715" s="90">
        <f t="shared" si="24"/>
        <v>0</v>
      </c>
    </row>
    <row r="716" spans="1:5" ht="20.25" x14ac:dyDescent="0.15">
      <c r="A716" s="90" t="s">
        <v>309</v>
      </c>
      <c r="B716" s="75" t="s">
        <v>443</v>
      </c>
      <c r="C716" s="90">
        <v>1150</v>
      </c>
      <c r="D716" s="90">
        <v>1300</v>
      </c>
      <c r="E716" s="90">
        <f t="shared" si="24"/>
        <v>0</v>
      </c>
    </row>
    <row r="717" spans="1:5" ht="20.25" x14ac:dyDescent="0.15">
      <c r="A717" s="90" t="s">
        <v>309</v>
      </c>
      <c r="B717" s="75" t="s">
        <v>443</v>
      </c>
      <c r="C717" s="90">
        <v>1250</v>
      </c>
      <c r="D717" s="90">
        <v>1500</v>
      </c>
      <c r="E717" s="90">
        <f t="shared" si="24"/>
        <v>0</v>
      </c>
    </row>
    <row r="718" spans="1:5" ht="20.25" x14ac:dyDescent="0.15">
      <c r="A718" s="90" t="s">
        <v>309</v>
      </c>
      <c r="B718" s="75" t="s">
        <v>443</v>
      </c>
      <c r="C718" s="90">
        <v>1500</v>
      </c>
      <c r="D718" s="90">
        <v>1700</v>
      </c>
      <c r="E718" s="90">
        <f t="shared" si="24"/>
        <v>0</v>
      </c>
    </row>
    <row r="719" spans="1:5" ht="20.25" x14ac:dyDescent="0.15">
      <c r="A719" s="90" t="s">
        <v>309</v>
      </c>
      <c r="B719" s="75" t="s">
        <v>443</v>
      </c>
      <c r="C719" s="90">
        <v>1650</v>
      </c>
      <c r="D719" s="90">
        <v>1900</v>
      </c>
      <c r="E719" s="90">
        <f t="shared" si="24"/>
        <v>0</v>
      </c>
    </row>
    <row r="720" spans="1:5" ht="20.25" x14ac:dyDescent="0.15">
      <c r="A720" s="90" t="s">
        <v>309</v>
      </c>
      <c r="B720" s="75" t="s">
        <v>444</v>
      </c>
      <c r="C720" s="90">
        <v>1400</v>
      </c>
      <c r="D720" s="90">
        <v>1700</v>
      </c>
      <c r="E720" s="90">
        <f t="shared" si="24"/>
        <v>0</v>
      </c>
    </row>
    <row r="721" spans="1:5" ht="20.25" x14ac:dyDescent="0.15">
      <c r="A721" s="90" t="s">
        <v>309</v>
      </c>
      <c r="B721" s="75" t="s">
        <v>444</v>
      </c>
      <c r="C721" s="90">
        <v>1500</v>
      </c>
      <c r="D721" s="90">
        <v>1900</v>
      </c>
      <c r="E721" s="90">
        <f t="shared" si="24"/>
        <v>0</v>
      </c>
    </row>
    <row r="722" spans="1:5" ht="20.25" x14ac:dyDescent="0.15">
      <c r="A722" s="90" t="s">
        <v>309</v>
      </c>
      <c r="B722" s="75" t="s">
        <v>444</v>
      </c>
      <c r="C722" s="90">
        <v>1650</v>
      </c>
      <c r="D722" s="90">
        <v>2100</v>
      </c>
      <c r="E722" s="90">
        <f t="shared" si="24"/>
        <v>0</v>
      </c>
    </row>
    <row r="723" spans="1:5" ht="20.25" x14ac:dyDescent="0.15">
      <c r="A723" s="90" t="s">
        <v>309</v>
      </c>
      <c r="B723" s="75" t="s">
        <v>444</v>
      </c>
      <c r="C723" s="90">
        <v>1520</v>
      </c>
      <c r="D723" s="90">
        <v>1600</v>
      </c>
      <c r="E723" s="90">
        <f t="shared" si="24"/>
        <v>0</v>
      </c>
    </row>
    <row r="724" spans="1:5" ht="20.25" x14ac:dyDescent="0.15">
      <c r="A724" s="90" t="s">
        <v>309</v>
      </c>
      <c r="B724" s="75" t="s">
        <v>444</v>
      </c>
      <c r="C724" s="90">
        <v>1700</v>
      </c>
      <c r="D724" s="90">
        <v>1900</v>
      </c>
      <c r="E724" s="90">
        <f t="shared" ref="E724:E787" si="25">+IF(AND($E$80=A724,$E$81=B724,$E$82=C724),D724,0)</f>
        <v>0</v>
      </c>
    </row>
    <row r="725" spans="1:5" ht="20.25" x14ac:dyDescent="0.15">
      <c r="A725" s="90" t="s">
        <v>309</v>
      </c>
      <c r="B725" s="75" t="s">
        <v>444</v>
      </c>
      <c r="C725" s="90">
        <v>1735</v>
      </c>
      <c r="D725" s="90">
        <v>2100</v>
      </c>
      <c r="E725" s="90">
        <f t="shared" si="25"/>
        <v>0</v>
      </c>
    </row>
    <row r="726" spans="1:5" x14ac:dyDescent="0.2">
      <c r="A726" s="90" t="s">
        <v>309</v>
      </c>
      <c r="B726" s="75" t="s">
        <v>451</v>
      </c>
      <c r="C726" s="90">
        <v>775</v>
      </c>
      <c r="D726" s="90">
        <v>700</v>
      </c>
      <c r="E726" s="90">
        <f t="shared" si="25"/>
        <v>0</v>
      </c>
    </row>
    <row r="727" spans="1:5" x14ac:dyDescent="0.2">
      <c r="A727" s="90" t="s">
        <v>309</v>
      </c>
      <c r="B727" s="75" t="s">
        <v>451</v>
      </c>
      <c r="C727" s="90">
        <v>925</v>
      </c>
      <c r="D727" s="90">
        <v>900</v>
      </c>
      <c r="E727" s="90">
        <f t="shared" si="25"/>
        <v>0</v>
      </c>
    </row>
    <row r="728" spans="1:5" x14ac:dyDescent="0.2">
      <c r="A728" s="90" t="s">
        <v>309</v>
      </c>
      <c r="B728" s="75" t="s">
        <v>451</v>
      </c>
      <c r="C728" s="90">
        <v>1098</v>
      </c>
      <c r="D728" s="90">
        <v>1200</v>
      </c>
      <c r="E728" s="90">
        <f t="shared" si="25"/>
        <v>0</v>
      </c>
    </row>
    <row r="729" spans="1:5" x14ac:dyDescent="0.2">
      <c r="A729" s="90" t="s">
        <v>309</v>
      </c>
      <c r="B729" s="75" t="s">
        <v>451</v>
      </c>
      <c r="C729" s="90">
        <v>1246</v>
      </c>
      <c r="D729" s="90">
        <v>1400</v>
      </c>
      <c r="E729" s="90">
        <f t="shared" si="25"/>
        <v>0</v>
      </c>
    </row>
    <row r="730" spans="1:5" x14ac:dyDescent="0.2">
      <c r="A730" s="90" t="s">
        <v>309</v>
      </c>
      <c r="B730" s="75" t="s">
        <v>451</v>
      </c>
      <c r="C730" s="90">
        <v>1440</v>
      </c>
      <c r="D730" s="90">
        <v>1500</v>
      </c>
      <c r="E730" s="90">
        <f t="shared" si="25"/>
        <v>0</v>
      </c>
    </row>
    <row r="731" spans="1:5" x14ac:dyDescent="0.2">
      <c r="A731" s="90" t="s">
        <v>309</v>
      </c>
      <c r="B731" s="75" t="s">
        <v>451</v>
      </c>
      <c r="C731" s="90">
        <v>1440</v>
      </c>
      <c r="D731" s="90">
        <v>1600</v>
      </c>
      <c r="E731" s="90">
        <f t="shared" si="25"/>
        <v>0</v>
      </c>
    </row>
    <row r="732" spans="1:5" x14ac:dyDescent="0.2">
      <c r="A732" s="90" t="s">
        <v>309</v>
      </c>
      <c r="B732" s="75" t="s">
        <v>451</v>
      </c>
      <c r="C732" s="90">
        <v>1540</v>
      </c>
      <c r="D732" s="90">
        <v>1800</v>
      </c>
      <c r="E732" s="90">
        <f t="shared" si="25"/>
        <v>0</v>
      </c>
    </row>
    <row r="733" spans="1:5" x14ac:dyDescent="0.2">
      <c r="A733" s="90" t="s">
        <v>309</v>
      </c>
      <c r="B733" s="75" t="s">
        <v>451</v>
      </c>
      <c r="C733" s="90">
        <v>1695</v>
      </c>
      <c r="D733" s="90">
        <v>2000</v>
      </c>
      <c r="E733" s="90">
        <f t="shared" si="25"/>
        <v>0</v>
      </c>
    </row>
    <row r="734" spans="1:5" x14ac:dyDescent="0.2">
      <c r="A734" s="90" t="s">
        <v>309</v>
      </c>
      <c r="B734" s="75" t="s">
        <v>451</v>
      </c>
      <c r="C734" s="90">
        <v>1820</v>
      </c>
      <c r="D734" s="90">
        <v>2200</v>
      </c>
      <c r="E734" s="90">
        <f t="shared" si="25"/>
        <v>0</v>
      </c>
    </row>
    <row r="735" spans="1:5" x14ac:dyDescent="0.2">
      <c r="A735" s="90" t="s">
        <v>309</v>
      </c>
      <c r="B735" s="75" t="s">
        <v>452</v>
      </c>
      <c r="C735" s="90">
        <v>1695</v>
      </c>
      <c r="D735" s="90">
        <v>2400</v>
      </c>
      <c r="E735" s="90">
        <f t="shared" si="25"/>
        <v>0</v>
      </c>
    </row>
    <row r="736" spans="1:5" x14ac:dyDescent="0.2">
      <c r="A736" s="90" t="s">
        <v>309</v>
      </c>
      <c r="B736" s="75" t="s">
        <v>452</v>
      </c>
      <c r="C736" s="90">
        <v>1820</v>
      </c>
      <c r="D736" s="90">
        <v>2600</v>
      </c>
      <c r="E736" s="90">
        <f t="shared" si="25"/>
        <v>0</v>
      </c>
    </row>
    <row r="737" spans="1:5" x14ac:dyDescent="0.2">
      <c r="A737" s="90" t="s">
        <v>309</v>
      </c>
      <c r="B737" s="75" t="s">
        <v>317</v>
      </c>
      <c r="C737" s="90">
        <v>1400</v>
      </c>
      <c r="D737" s="90">
        <v>1600</v>
      </c>
      <c r="E737" s="90">
        <f t="shared" si="25"/>
        <v>0</v>
      </c>
    </row>
    <row r="738" spans="1:5" x14ac:dyDescent="0.2">
      <c r="A738" s="90" t="s">
        <v>309</v>
      </c>
      <c r="B738" s="75" t="s">
        <v>450</v>
      </c>
      <c r="C738" s="90">
        <v>750</v>
      </c>
      <c r="D738" s="90">
        <v>660</v>
      </c>
      <c r="E738" s="90">
        <f t="shared" si="25"/>
        <v>0</v>
      </c>
    </row>
    <row r="739" spans="1:5" x14ac:dyDescent="0.2">
      <c r="A739" s="90" t="s">
        <v>309</v>
      </c>
      <c r="B739" s="75" t="s">
        <v>450</v>
      </c>
      <c r="C739" s="90">
        <v>1000</v>
      </c>
      <c r="D739" s="90">
        <v>1000</v>
      </c>
      <c r="E739" s="90">
        <f t="shared" si="25"/>
        <v>0</v>
      </c>
    </row>
    <row r="740" spans="1:5" x14ac:dyDescent="0.2">
      <c r="A740" s="90" t="s">
        <v>309</v>
      </c>
      <c r="B740" s="75" t="s">
        <v>450</v>
      </c>
      <c r="C740" s="90">
        <v>1650</v>
      </c>
      <c r="D740" s="90">
        <v>1900</v>
      </c>
      <c r="E740" s="90">
        <f t="shared" si="25"/>
        <v>0</v>
      </c>
    </row>
    <row r="741" spans="1:5" x14ac:dyDescent="0.2">
      <c r="A741" s="90" t="s">
        <v>309</v>
      </c>
      <c r="B741" s="75" t="s">
        <v>449</v>
      </c>
      <c r="C741" s="90">
        <v>1500</v>
      </c>
      <c r="D741" s="90">
        <v>1900</v>
      </c>
      <c r="E741" s="90">
        <f t="shared" si="25"/>
        <v>0</v>
      </c>
    </row>
    <row r="742" spans="1:5" x14ac:dyDescent="0.2">
      <c r="A742" s="90" t="s">
        <v>309</v>
      </c>
      <c r="B742" s="75" t="s">
        <v>455</v>
      </c>
      <c r="C742" s="90">
        <v>1098</v>
      </c>
      <c r="D742" s="90">
        <v>1200</v>
      </c>
      <c r="E742" s="90">
        <f t="shared" si="25"/>
        <v>0</v>
      </c>
    </row>
    <row r="743" spans="1:5" x14ac:dyDescent="0.2">
      <c r="A743" s="90" t="s">
        <v>309</v>
      </c>
      <c r="B743" s="75" t="s">
        <v>455</v>
      </c>
      <c r="C743" s="90">
        <v>1246</v>
      </c>
      <c r="D743" s="90">
        <v>1400</v>
      </c>
      <c r="E743" s="90">
        <f t="shared" si="25"/>
        <v>0</v>
      </c>
    </row>
    <row r="744" spans="1:5" x14ac:dyDescent="0.2">
      <c r="A744" s="90" t="s">
        <v>309</v>
      </c>
      <c r="B744" s="75" t="s">
        <v>455</v>
      </c>
      <c r="C744" s="90">
        <v>1400</v>
      </c>
      <c r="D744" s="90">
        <v>1600</v>
      </c>
      <c r="E744" s="90">
        <f t="shared" si="25"/>
        <v>0</v>
      </c>
    </row>
    <row r="745" spans="1:5" x14ac:dyDescent="0.2">
      <c r="A745" s="90" t="s">
        <v>309</v>
      </c>
      <c r="B745" s="75" t="s">
        <v>447</v>
      </c>
      <c r="C745" s="90">
        <v>900</v>
      </c>
      <c r="D745" s="90">
        <v>700</v>
      </c>
      <c r="E745" s="90">
        <f t="shared" si="25"/>
        <v>0</v>
      </c>
    </row>
    <row r="746" spans="1:5" x14ac:dyDescent="0.2">
      <c r="A746" s="90" t="s">
        <v>309</v>
      </c>
      <c r="B746" s="75" t="s">
        <v>448</v>
      </c>
      <c r="C746" s="90">
        <v>2200</v>
      </c>
      <c r="D746" s="90">
        <v>1080</v>
      </c>
      <c r="E746" s="90">
        <f t="shared" si="25"/>
        <v>0</v>
      </c>
    </row>
    <row r="747" spans="1:5" x14ac:dyDescent="0.2">
      <c r="A747" s="90" t="s">
        <v>309</v>
      </c>
      <c r="B747" s="75" t="s">
        <v>448</v>
      </c>
      <c r="C747" s="90">
        <v>2400</v>
      </c>
      <c r="D747" s="90">
        <v>1180</v>
      </c>
      <c r="E747" s="90">
        <f t="shared" si="25"/>
        <v>0</v>
      </c>
    </row>
    <row r="748" spans="1:5" x14ac:dyDescent="0.2">
      <c r="A748" s="90" t="s">
        <v>309</v>
      </c>
      <c r="B748" s="75" t="s">
        <v>448</v>
      </c>
      <c r="C748" s="90">
        <v>2600</v>
      </c>
      <c r="D748" s="90">
        <v>1280</v>
      </c>
      <c r="E748" s="90">
        <f t="shared" si="25"/>
        <v>0</v>
      </c>
    </row>
    <row r="749" spans="1:5" x14ac:dyDescent="0.2">
      <c r="A749" s="90" t="s">
        <v>309</v>
      </c>
      <c r="B749" s="75" t="s">
        <v>453</v>
      </c>
      <c r="C749" s="90">
        <v>1800</v>
      </c>
      <c r="D749" s="90">
        <v>1385</v>
      </c>
      <c r="E749" s="90">
        <f t="shared" si="25"/>
        <v>0</v>
      </c>
    </row>
    <row r="750" spans="1:5" x14ac:dyDescent="0.2">
      <c r="A750" s="90" t="s">
        <v>309</v>
      </c>
      <c r="B750" s="75" t="s">
        <v>453</v>
      </c>
      <c r="C750" s="90">
        <v>2100</v>
      </c>
      <c r="D750" s="90">
        <v>1630</v>
      </c>
      <c r="E750" s="90">
        <f t="shared" si="25"/>
        <v>0</v>
      </c>
    </row>
    <row r="751" spans="1:5" x14ac:dyDescent="0.2">
      <c r="A751" s="90" t="s">
        <v>309</v>
      </c>
      <c r="B751" s="75" t="s">
        <v>453</v>
      </c>
      <c r="C751" s="90">
        <v>2400</v>
      </c>
      <c r="D751" s="90">
        <v>1875</v>
      </c>
      <c r="E751" s="90">
        <f t="shared" si="25"/>
        <v>0</v>
      </c>
    </row>
    <row r="752" spans="1:5" x14ac:dyDescent="0.2">
      <c r="A752" s="90" t="s">
        <v>309</v>
      </c>
      <c r="B752" s="75" t="s">
        <v>453</v>
      </c>
      <c r="C752" s="90">
        <v>2700</v>
      </c>
      <c r="D752" s="90">
        <v>2120</v>
      </c>
      <c r="E752" s="90">
        <f t="shared" si="25"/>
        <v>0</v>
      </c>
    </row>
    <row r="753" spans="1:5" x14ac:dyDescent="0.2">
      <c r="A753" s="90" t="s">
        <v>309</v>
      </c>
      <c r="B753" s="75" t="s">
        <v>454</v>
      </c>
      <c r="C753" s="90">
        <v>1800</v>
      </c>
      <c r="D753" s="90">
        <v>1385</v>
      </c>
      <c r="E753" s="90">
        <f t="shared" si="25"/>
        <v>0</v>
      </c>
    </row>
    <row r="754" spans="1:5" x14ac:dyDescent="0.2">
      <c r="A754" s="90" t="s">
        <v>309</v>
      </c>
      <c r="B754" s="75" t="s">
        <v>454</v>
      </c>
      <c r="C754" s="90">
        <v>2100</v>
      </c>
      <c r="D754" s="90">
        <v>1630</v>
      </c>
      <c r="E754" s="90">
        <f t="shared" si="25"/>
        <v>0</v>
      </c>
    </row>
    <row r="755" spans="1:5" x14ac:dyDescent="0.2">
      <c r="A755" s="90" t="s">
        <v>309</v>
      </c>
      <c r="B755" s="75" t="s">
        <v>454</v>
      </c>
      <c r="C755" s="90">
        <v>2400</v>
      </c>
      <c r="D755" s="90">
        <v>1875</v>
      </c>
      <c r="E755" s="90">
        <f t="shared" si="25"/>
        <v>0</v>
      </c>
    </row>
    <row r="756" spans="1:5" x14ac:dyDescent="0.2">
      <c r="A756" s="90" t="s">
        <v>309</v>
      </c>
      <c r="B756" s="75" t="s">
        <v>454</v>
      </c>
      <c r="C756" s="90">
        <v>2700</v>
      </c>
      <c r="D756" s="90">
        <v>2120</v>
      </c>
      <c r="E756" s="90">
        <f t="shared" si="25"/>
        <v>0</v>
      </c>
    </row>
    <row r="757" spans="1:5" x14ac:dyDescent="0.2">
      <c r="A757" s="90" t="s">
        <v>310</v>
      </c>
      <c r="B757" s="75" t="s">
        <v>319</v>
      </c>
      <c r="C757" s="90">
        <v>1218</v>
      </c>
      <c r="D757" s="90">
        <v>1600</v>
      </c>
      <c r="E757" s="90">
        <f t="shared" si="25"/>
        <v>0</v>
      </c>
    </row>
    <row r="758" spans="1:5" x14ac:dyDescent="0.2">
      <c r="A758" s="90" t="s">
        <v>310</v>
      </c>
      <c r="B758" s="75" t="s">
        <v>456</v>
      </c>
      <c r="C758" s="90">
        <v>1580</v>
      </c>
      <c r="D758" s="90">
        <v>1900</v>
      </c>
      <c r="E758" s="90">
        <f t="shared" si="25"/>
        <v>0</v>
      </c>
    </row>
    <row r="759" spans="1:5" x14ac:dyDescent="0.2">
      <c r="A759" s="90" t="s">
        <v>310</v>
      </c>
      <c r="B759" s="75" t="s">
        <v>456</v>
      </c>
      <c r="C759" s="90">
        <v>1545</v>
      </c>
      <c r="D759" s="90">
        <v>1900</v>
      </c>
      <c r="E759" s="90">
        <f t="shared" si="25"/>
        <v>0</v>
      </c>
    </row>
    <row r="760" spans="1:5" x14ac:dyDescent="0.2">
      <c r="A760" s="90" t="s">
        <v>310</v>
      </c>
      <c r="B760" s="75" t="s">
        <v>457</v>
      </c>
      <c r="C760" s="90">
        <v>1650</v>
      </c>
      <c r="D760" s="90">
        <v>2100</v>
      </c>
      <c r="E760" s="90">
        <f t="shared" si="25"/>
        <v>0</v>
      </c>
    </row>
    <row r="761" spans="1:5" x14ac:dyDescent="0.2">
      <c r="A761" s="90" t="s">
        <v>310</v>
      </c>
      <c r="B761" s="75" t="s">
        <v>457</v>
      </c>
      <c r="C761" s="90">
        <v>1605</v>
      </c>
      <c r="D761" s="90">
        <v>2100</v>
      </c>
      <c r="E761" s="90">
        <f t="shared" si="25"/>
        <v>0</v>
      </c>
    </row>
    <row r="762" spans="1:5" x14ac:dyDescent="0.2">
      <c r="A762" s="90" t="s">
        <v>310</v>
      </c>
      <c r="B762" s="75" t="s">
        <v>458</v>
      </c>
      <c r="C762" s="90">
        <v>1590</v>
      </c>
      <c r="D762" s="90">
        <v>2000</v>
      </c>
      <c r="E762" s="90">
        <f t="shared" si="25"/>
        <v>0</v>
      </c>
    </row>
    <row r="763" spans="1:5" x14ac:dyDescent="0.2">
      <c r="A763" s="90" t="s">
        <v>310</v>
      </c>
      <c r="B763" s="75" t="s">
        <v>458</v>
      </c>
      <c r="C763" s="90">
        <v>1555</v>
      </c>
      <c r="D763" s="90">
        <v>2000</v>
      </c>
      <c r="E763" s="90">
        <f t="shared" si="25"/>
        <v>0</v>
      </c>
    </row>
    <row r="764" spans="1:5" x14ac:dyDescent="0.2">
      <c r="A764" s="90" t="s">
        <v>310</v>
      </c>
      <c r="B764" s="75" t="s">
        <v>458</v>
      </c>
      <c r="C764" s="90">
        <v>1735</v>
      </c>
      <c r="D764" s="90">
        <v>2200</v>
      </c>
      <c r="E764" s="90">
        <f t="shared" si="25"/>
        <v>0</v>
      </c>
    </row>
    <row r="765" spans="1:5" x14ac:dyDescent="0.2">
      <c r="A765" s="90" t="s">
        <v>310</v>
      </c>
      <c r="B765" s="75" t="s">
        <v>458</v>
      </c>
      <c r="C765" s="90">
        <v>1690</v>
      </c>
      <c r="D765" s="90">
        <v>2200</v>
      </c>
      <c r="E765" s="90">
        <f t="shared" si="25"/>
        <v>0</v>
      </c>
    </row>
    <row r="766" spans="1:5" x14ac:dyDescent="0.2">
      <c r="A766" s="90" t="s">
        <v>310</v>
      </c>
      <c r="B766" s="75" t="s">
        <v>459</v>
      </c>
      <c r="C766" s="90">
        <v>1655</v>
      </c>
      <c r="D766" s="90">
        <v>2200</v>
      </c>
      <c r="E766" s="90">
        <f t="shared" si="25"/>
        <v>0</v>
      </c>
    </row>
    <row r="767" spans="1:5" x14ac:dyDescent="0.2">
      <c r="A767" s="90" t="s">
        <v>310</v>
      </c>
      <c r="B767" s="75" t="s">
        <v>459</v>
      </c>
      <c r="C767" s="90">
        <v>1615</v>
      </c>
      <c r="D767" s="90">
        <v>2200</v>
      </c>
      <c r="E767" s="90">
        <f t="shared" si="25"/>
        <v>0</v>
      </c>
    </row>
    <row r="768" spans="1:5" x14ac:dyDescent="0.2">
      <c r="A768" s="90" t="s">
        <v>310</v>
      </c>
      <c r="B768" s="75" t="s">
        <v>460</v>
      </c>
      <c r="C768" s="90">
        <v>1560</v>
      </c>
      <c r="D768" s="90">
        <v>1900</v>
      </c>
      <c r="E768" s="90">
        <f t="shared" si="25"/>
        <v>0</v>
      </c>
    </row>
    <row r="769" spans="1:41" x14ac:dyDescent="0.2">
      <c r="A769" s="90" t="s">
        <v>310</v>
      </c>
      <c r="B769" s="75" t="s">
        <v>460</v>
      </c>
      <c r="C769" s="90">
        <v>1525</v>
      </c>
      <c r="D769" s="90">
        <v>1900</v>
      </c>
      <c r="E769" s="90">
        <f t="shared" si="25"/>
        <v>0</v>
      </c>
      <c r="AO769" s="75"/>
    </row>
    <row r="770" spans="1:41" x14ac:dyDescent="0.2">
      <c r="A770" s="90" t="s">
        <v>310</v>
      </c>
      <c r="B770" s="75" t="s">
        <v>460</v>
      </c>
      <c r="C770" s="90">
        <v>1605</v>
      </c>
      <c r="D770" s="90">
        <v>2000</v>
      </c>
      <c r="E770" s="90">
        <f t="shared" si="25"/>
        <v>0</v>
      </c>
      <c r="AO770" s="75"/>
    </row>
    <row r="771" spans="1:41" x14ac:dyDescent="0.2">
      <c r="A771" s="90" t="s">
        <v>310</v>
      </c>
      <c r="B771" s="75" t="s">
        <v>460</v>
      </c>
      <c r="C771" s="90">
        <v>1590</v>
      </c>
      <c r="D771" s="90">
        <v>2000</v>
      </c>
      <c r="E771" s="90">
        <f t="shared" si="25"/>
        <v>0</v>
      </c>
      <c r="AO771" s="75"/>
    </row>
    <row r="772" spans="1:41" x14ac:dyDescent="0.2">
      <c r="A772" s="90" t="s">
        <v>310</v>
      </c>
      <c r="B772" s="75" t="s">
        <v>460</v>
      </c>
      <c r="C772" s="90">
        <v>1665</v>
      </c>
      <c r="D772" s="90">
        <v>2100</v>
      </c>
      <c r="E772" s="90">
        <f t="shared" si="25"/>
        <v>0</v>
      </c>
      <c r="AO772" s="75"/>
    </row>
    <row r="773" spans="1:41" x14ac:dyDescent="0.2">
      <c r="A773" s="90" t="s">
        <v>310</v>
      </c>
      <c r="B773" s="75" t="s">
        <v>460</v>
      </c>
      <c r="C773" s="90">
        <v>1655</v>
      </c>
      <c r="D773" s="90">
        <v>2100</v>
      </c>
      <c r="E773" s="90">
        <f t="shared" si="25"/>
        <v>0</v>
      </c>
      <c r="AO773" s="75"/>
    </row>
    <row r="774" spans="1:41" x14ac:dyDescent="0.2">
      <c r="A774" s="90" t="s">
        <v>310</v>
      </c>
      <c r="B774" s="75" t="s">
        <v>513</v>
      </c>
      <c r="C774" s="90">
        <v>1830</v>
      </c>
      <c r="D774" s="90">
        <v>2100</v>
      </c>
      <c r="E774" s="90">
        <f t="shared" si="25"/>
        <v>0</v>
      </c>
    </row>
    <row r="775" spans="1:41" x14ac:dyDescent="0.2">
      <c r="A775" s="90" t="s">
        <v>310</v>
      </c>
      <c r="B775" s="75" t="s">
        <v>513</v>
      </c>
      <c r="C775" s="90">
        <v>1720</v>
      </c>
      <c r="D775" s="90">
        <v>2100</v>
      </c>
      <c r="E775" s="90">
        <f t="shared" si="25"/>
        <v>0</v>
      </c>
    </row>
    <row r="776" spans="1:41" x14ac:dyDescent="0.2">
      <c r="A776" s="90" t="s">
        <v>310</v>
      </c>
      <c r="B776" s="75" t="s">
        <v>461</v>
      </c>
      <c r="C776" s="90">
        <v>1750</v>
      </c>
      <c r="D776" s="90">
        <v>2200</v>
      </c>
      <c r="E776" s="90">
        <f t="shared" si="25"/>
        <v>0</v>
      </c>
    </row>
    <row r="777" spans="1:41" x14ac:dyDescent="0.2">
      <c r="A777" s="90" t="s">
        <v>310</v>
      </c>
      <c r="B777" s="75" t="s">
        <v>461</v>
      </c>
      <c r="C777" s="90">
        <v>1740</v>
      </c>
      <c r="D777" s="90">
        <v>2200</v>
      </c>
      <c r="E777" s="90">
        <f t="shared" si="25"/>
        <v>0</v>
      </c>
    </row>
    <row r="778" spans="1:41" x14ac:dyDescent="0.2">
      <c r="A778" s="90" t="s">
        <v>310</v>
      </c>
      <c r="B778" s="75" t="s">
        <v>461</v>
      </c>
      <c r="C778" s="90">
        <v>1880</v>
      </c>
      <c r="D778" s="90">
        <v>2400</v>
      </c>
      <c r="E778" s="90">
        <f t="shared" si="25"/>
        <v>0</v>
      </c>
    </row>
    <row r="779" spans="1:41" x14ac:dyDescent="0.2">
      <c r="A779" s="90" t="s">
        <v>310</v>
      </c>
      <c r="B779" s="75" t="s">
        <v>461</v>
      </c>
      <c r="C779" s="90">
        <v>1880</v>
      </c>
      <c r="D779" s="90">
        <v>2400</v>
      </c>
      <c r="E779" s="90">
        <f t="shared" si="25"/>
        <v>0</v>
      </c>
    </row>
    <row r="780" spans="1:41" x14ac:dyDescent="0.2">
      <c r="A780" s="90" t="s">
        <v>311</v>
      </c>
      <c r="B780" s="75" t="s">
        <v>462</v>
      </c>
      <c r="C780" s="90">
        <v>780</v>
      </c>
      <c r="D780" s="90">
        <v>1000</v>
      </c>
      <c r="E780" s="90">
        <f t="shared" si="25"/>
        <v>0</v>
      </c>
    </row>
    <row r="781" spans="1:41" x14ac:dyDescent="0.2">
      <c r="A781" s="90" t="s">
        <v>311</v>
      </c>
      <c r="B781" s="75" t="s">
        <v>462</v>
      </c>
      <c r="C781" s="90">
        <v>925</v>
      </c>
      <c r="D781" s="90">
        <v>1300</v>
      </c>
      <c r="E781" s="90">
        <f t="shared" si="25"/>
        <v>0</v>
      </c>
    </row>
    <row r="782" spans="1:41" x14ac:dyDescent="0.2">
      <c r="A782" s="90" t="s">
        <v>311</v>
      </c>
      <c r="B782" s="75" t="s">
        <v>462</v>
      </c>
      <c r="C782" s="90">
        <v>1098</v>
      </c>
      <c r="D782" s="90">
        <v>1600</v>
      </c>
      <c r="E782" s="90">
        <f t="shared" si="25"/>
        <v>0</v>
      </c>
    </row>
    <row r="783" spans="1:41" x14ac:dyDescent="0.2">
      <c r="A783" s="90" t="s">
        <v>311</v>
      </c>
      <c r="B783" s="75" t="s">
        <v>462</v>
      </c>
      <c r="C783" s="90">
        <v>1246</v>
      </c>
      <c r="D783" s="90">
        <v>2000</v>
      </c>
      <c r="E783" s="90">
        <f t="shared" si="25"/>
        <v>0</v>
      </c>
    </row>
    <row r="784" spans="1:41" x14ac:dyDescent="0.2">
      <c r="A784" s="90" t="s">
        <v>311</v>
      </c>
      <c r="B784" s="75" t="s">
        <v>462</v>
      </c>
      <c r="C784" s="90">
        <v>1400</v>
      </c>
      <c r="D784" s="90">
        <v>2300</v>
      </c>
      <c r="E784" s="90">
        <f t="shared" si="25"/>
        <v>0</v>
      </c>
    </row>
    <row r="785" spans="1:5" x14ac:dyDescent="0.2">
      <c r="A785" s="90" t="s">
        <v>311</v>
      </c>
      <c r="B785" s="75" t="s">
        <v>462</v>
      </c>
      <c r="C785" s="90">
        <v>1562</v>
      </c>
      <c r="D785" s="90">
        <v>2600</v>
      </c>
      <c r="E785" s="90">
        <f t="shared" si="25"/>
        <v>0</v>
      </c>
    </row>
    <row r="786" spans="1:5" x14ac:dyDescent="0.2">
      <c r="A786" s="90" t="s">
        <v>311</v>
      </c>
      <c r="B786" s="75" t="s">
        <v>462</v>
      </c>
      <c r="C786" s="90">
        <v>1737</v>
      </c>
      <c r="D786" s="90">
        <v>3000</v>
      </c>
      <c r="E786" s="90">
        <f t="shared" si="25"/>
        <v>0</v>
      </c>
    </row>
    <row r="787" spans="1:5" x14ac:dyDescent="0.2">
      <c r="A787" s="90" t="s">
        <v>311</v>
      </c>
      <c r="B787" s="75" t="s">
        <v>463</v>
      </c>
      <c r="C787" s="90">
        <v>1900</v>
      </c>
      <c r="D787" s="90">
        <v>3400</v>
      </c>
      <c r="E787" s="90">
        <f t="shared" si="25"/>
        <v>0</v>
      </c>
    </row>
    <row r="788" spans="1:5" x14ac:dyDescent="0.2">
      <c r="A788" s="90" t="s">
        <v>311</v>
      </c>
      <c r="B788" s="75" t="s">
        <v>464</v>
      </c>
      <c r="C788" s="90">
        <v>1580</v>
      </c>
      <c r="D788" s="90">
        <v>1900</v>
      </c>
      <c r="E788" s="90">
        <f t="shared" ref="E788:E851" si="26">+IF(AND($E$80=A788,$E$81=B788,$E$82=C788),D788,0)</f>
        <v>0</v>
      </c>
    </row>
    <row r="789" spans="1:5" x14ac:dyDescent="0.2">
      <c r="A789" s="90" t="s">
        <v>311</v>
      </c>
      <c r="B789" s="75" t="s">
        <v>465</v>
      </c>
      <c r="C789" s="90">
        <v>1650</v>
      </c>
      <c r="D789" s="90">
        <v>2100</v>
      </c>
      <c r="E789" s="90">
        <f t="shared" si="26"/>
        <v>0</v>
      </c>
    </row>
    <row r="790" spans="1:5" x14ac:dyDescent="0.2">
      <c r="A790" s="90" t="s">
        <v>311</v>
      </c>
      <c r="B790" s="75" t="s">
        <v>466</v>
      </c>
      <c r="C790" s="90">
        <v>1590</v>
      </c>
      <c r="D790" s="90">
        <v>2000</v>
      </c>
      <c r="E790" s="90">
        <f t="shared" si="26"/>
        <v>0</v>
      </c>
    </row>
    <row r="791" spans="1:5" x14ac:dyDescent="0.2">
      <c r="A791" s="90" t="s">
        <v>311</v>
      </c>
      <c r="B791" s="75" t="s">
        <v>466</v>
      </c>
      <c r="C791" s="90">
        <v>1735</v>
      </c>
      <c r="D791" s="90">
        <v>2200</v>
      </c>
      <c r="E791" s="90">
        <f t="shared" si="26"/>
        <v>0</v>
      </c>
    </row>
    <row r="792" spans="1:5" x14ac:dyDescent="0.2">
      <c r="A792" s="90" t="s">
        <v>311</v>
      </c>
      <c r="B792" s="75" t="s">
        <v>467</v>
      </c>
      <c r="C792" s="90">
        <v>1655</v>
      </c>
      <c r="D792" s="90">
        <v>2200</v>
      </c>
      <c r="E792" s="90">
        <f t="shared" si="26"/>
        <v>0</v>
      </c>
    </row>
    <row r="793" spans="1:5" x14ac:dyDescent="0.2">
      <c r="A793" s="90" t="s">
        <v>311</v>
      </c>
      <c r="B793" s="75" t="s">
        <v>467</v>
      </c>
      <c r="C793" s="90">
        <v>1770</v>
      </c>
      <c r="D793" s="90">
        <v>2400</v>
      </c>
      <c r="E793" s="90">
        <f t="shared" si="26"/>
        <v>0</v>
      </c>
    </row>
    <row r="794" spans="1:5" ht="20.25" x14ac:dyDescent="0.15">
      <c r="A794" s="90" t="s">
        <v>311</v>
      </c>
      <c r="B794" s="75" t="s">
        <v>468</v>
      </c>
      <c r="C794" s="90">
        <v>1560</v>
      </c>
      <c r="D794" s="90">
        <v>1900</v>
      </c>
      <c r="E794" s="90">
        <f t="shared" si="26"/>
        <v>0</v>
      </c>
    </row>
    <row r="795" spans="1:5" ht="20.25" x14ac:dyDescent="0.15">
      <c r="A795" s="90" t="s">
        <v>311</v>
      </c>
      <c r="B795" s="75" t="s">
        <v>468</v>
      </c>
      <c r="C795" s="90">
        <v>1645</v>
      </c>
      <c r="D795" s="90">
        <v>2000</v>
      </c>
      <c r="E795" s="90">
        <f t="shared" si="26"/>
        <v>0</v>
      </c>
    </row>
    <row r="796" spans="1:5" ht="20.25" x14ac:dyDescent="0.15">
      <c r="A796" s="90" t="s">
        <v>311</v>
      </c>
      <c r="B796" s="75" t="s">
        <v>468</v>
      </c>
      <c r="C796" s="90">
        <v>1710</v>
      </c>
      <c r="D796" s="90">
        <v>2100</v>
      </c>
      <c r="E796" s="90">
        <f t="shared" si="26"/>
        <v>0</v>
      </c>
    </row>
    <row r="797" spans="1:5" x14ac:dyDescent="0.2">
      <c r="A797" s="90" t="s">
        <v>311</v>
      </c>
      <c r="B797" s="75" t="s">
        <v>469</v>
      </c>
      <c r="C797" s="90">
        <v>1830</v>
      </c>
      <c r="D797" s="90">
        <v>2100</v>
      </c>
      <c r="E797" s="90">
        <f t="shared" si="26"/>
        <v>0</v>
      </c>
    </row>
    <row r="798" spans="1:5" x14ac:dyDescent="0.2">
      <c r="A798" s="90" t="s">
        <v>311</v>
      </c>
      <c r="B798" s="75" t="s">
        <v>470</v>
      </c>
      <c r="C798" s="90">
        <v>1750</v>
      </c>
      <c r="D798" s="90">
        <v>2200</v>
      </c>
      <c r="E798" s="90">
        <f t="shared" si="26"/>
        <v>0</v>
      </c>
    </row>
    <row r="799" spans="1:5" x14ac:dyDescent="0.2">
      <c r="A799" s="90" t="s">
        <v>311</v>
      </c>
      <c r="B799" s="75" t="s">
        <v>470</v>
      </c>
      <c r="C799" s="90">
        <v>1880</v>
      </c>
      <c r="D799" s="90">
        <v>2400</v>
      </c>
      <c r="E799" s="90">
        <f t="shared" si="26"/>
        <v>0</v>
      </c>
    </row>
    <row r="800" spans="1:5" x14ac:dyDescent="0.2">
      <c r="A800" s="90" t="s">
        <v>311</v>
      </c>
      <c r="B800" s="75" t="s">
        <v>471</v>
      </c>
      <c r="C800" s="90">
        <v>925</v>
      </c>
      <c r="D800" s="90">
        <v>1100</v>
      </c>
      <c r="E800" s="90">
        <f t="shared" si="26"/>
        <v>0</v>
      </c>
    </row>
    <row r="801" spans="1:5" x14ac:dyDescent="0.2">
      <c r="A801" s="90" t="s">
        <v>311</v>
      </c>
      <c r="B801" s="75" t="s">
        <v>471</v>
      </c>
      <c r="C801" s="90">
        <v>1098</v>
      </c>
      <c r="D801" s="90">
        <v>1300</v>
      </c>
      <c r="E801" s="90">
        <f t="shared" si="26"/>
        <v>0</v>
      </c>
    </row>
    <row r="802" spans="1:5" x14ac:dyDescent="0.2">
      <c r="A802" s="90" t="s">
        <v>311</v>
      </c>
      <c r="B802" s="75" t="s">
        <v>471</v>
      </c>
      <c r="C802" s="90">
        <v>1245</v>
      </c>
      <c r="D802" s="90">
        <v>1600</v>
      </c>
      <c r="E802" s="90">
        <f t="shared" si="26"/>
        <v>0</v>
      </c>
    </row>
    <row r="803" spans="1:5" x14ac:dyDescent="0.2">
      <c r="A803" s="90" t="s">
        <v>311</v>
      </c>
      <c r="B803" s="75" t="s">
        <v>471</v>
      </c>
      <c r="C803" s="90">
        <v>1400</v>
      </c>
      <c r="D803" s="90">
        <v>1900</v>
      </c>
      <c r="E803" s="90">
        <f t="shared" si="26"/>
        <v>0</v>
      </c>
    </row>
    <row r="804" spans="1:5" x14ac:dyDescent="0.2">
      <c r="A804" s="90" t="s">
        <v>311</v>
      </c>
      <c r="B804" s="75" t="s">
        <v>471</v>
      </c>
      <c r="C804" s="90">
        <v>1540</v>
      </c>
      <c r="D804" s="90">
        <v>2100</v>
      </c>
      <c r="E804" s="90">
        <f t="shared" si="26"/>
        <v>0</v>
      </c>
    </row>
    <row r="805" spans="1:5" x14ac:dyDescent="0.2">
      <c r="A805" s="90" t="s">
        <v>311</v>
      </c>
      <c r="B805" s="75" t="s">
        <v>471</v>
      </c>
      <c r="C805" s="90">
        <v>1695</v>
      </c>
      <c r="D805" s="90">
        <v>2400</v>
      </c>
      <c r="E805" s="90">
        <f t="shared" si="26"/>
        <v>0</v>
      </c>
    </row>
    <row r="806" spans="1:5" x14ac:dyDescent="0.2">
      <c r="A806" s="90" t="s">
        <v>311</v>
      </c>
      <c r="B806" s="75" t="s">
        <v>471</v>
      </c>
      <c r="C806" s="90">
        <v>1820</v>
      </c>
      <c r="D806" s="90">
        <v>2600</v>
      </c>
      <c r="E806" s="90">
        <f t="shared" si="26"/>
        <v>0</v>
      </c>
    </row>
    <row r="807" spans="1:5" x14ac:dyDescent="0.2">
      <c r="A807" s="90" t="s">
        <v>311</v>
      </c>
      <c r="B807" s="75" t="s">
        <v>320</v>
      </c>
      <c r="C807" s="90">
        <v>1218</v>
      </c>
      <c r="D807" s="90">
        <v>1600</v>
      </c>
      <c r="E807" s="90">
        <f t="shared" si="26"/>
        <v>0</v>
      </c>
    </row>
    <row r="808" spans="1:5" x14ac:dyDescent="0.2">
      <c r="A808" s="90" t="s">
        <v>311</v>
      </c>
      <c r="B808" s="75" t="s">
        <v>472</v>
      </c>
      <c r="C808" s="90">
        <v>925</v>
      </c>
      <c r="D808" s="90">
        <v>1060</v>
      </c>
      <c r="E808" s="90">
        <f t="shared" si="26"/>
        <v>0</v>
      </c>
    </row>
    <row r="809" spans="1:5" x14ac:dyDescent="0.2">
      <c r="A809" s="90" t="s">
        <v>311</v>
      </c>
      <c r="B809" s="75" t="s">
        <v>472</v>
      </c>
      <c r="C809" s="90">
        <v>1098</v>
      </c>
      <c r="D809" s="90">
        <v>1300</v>
      </c>
      <c r="E809" s="90">
        <f t="shared" si="26"/>
        <v>0</v>
      </c>
    </row>
    <row r="810" spans="1:5" x14ac:dyDescent="0.2">
      <c r="A810" s="90" t="s">
        <v>311</v>
      </c>
      <c r="B810" s="75" t="s">
        <v>472</v>
      </c>
      <c r="C810" s="90">
        <v>1246</v>
      </c>
      <c r="D810" s="90">
        <v>1600</v>
      </c>
      <c r="E810" s="90">
        <f t="shared" si="26"/>
        <v>0</v>
      </c>
    </row>
    <row r="811" spans="1:5" x14ac:dyDescent="0.2">
      <c r="A811" s="90" t="s">
        <v>311</v>
      </c>
      <c r="B811" s="75" t="s">
        <v>472</v>
      </c>
      <c r="C811" s="90">
        <v>1400</v>
      </c>
      <c r="D811" s="90">
        <v>1900</v>
      </c>
      <c r="E811" s="90">
        <f t="shared" si="26"/>
        <v>0</v>
      </c>
    </row>
    <row r="812" spans="1:5" x14ac:dyDescent="0.2">
      <c r="A812" s="90" t="s">
        <v>311</v>
      </c>
      <c r="B812" s="75" t="s">
        <v>472</v>
      </c>
      <c r="C812" s="90">
        <v>1540</v>
      </c>
      <c r="D812" s="90">
        <v>2120</v>
      </c>
      <c r="E812" s="90">
        <f t="shared" si="26"/>
        <v>0</v>
      </c>
    </row>
    <row r="813" spans="1:5" x14ac:dyDescent="0.2">
      <c r="A813" s="90" t="s">
        <v>311</v>
      </c>
      <c r="B813" s="75" t="s">
        <v>472</v>
      </c>
      <c r="C813" s="90">
        <v>1820</v>
      </c>
      <c r="D813" s="90">
        <v>2690</v>
      </c>
      <c r="E813" s="90">
        <f t="shared" si="26"/>
        <v>0</v>
      </c>
    </row>
    <row r="814" spans="1:5" x14ac:dyDescent="0.2">
      <c r="A814" s="90" t="s">
        <v>311</v>
      </c>
      <c r="B814" s="75" t="s">
        <v>473</v>
      </c>
      <c r="C814" s="90">
        <v>1900</v>
      </c>
      <c r="D814" s="90">
        <v>3000</v>
      </c>
      <c r="E814" s="90">
        <f t="shared" si="26"/>
        <v>0</v>
      </c>
    </row>
    <row r="815" spans="1:5" x14ac:dyDescent="0.2">
      <c r="A815" s="90" t="s">
        <v>311</v>
      </c>
      <c r="B815" s="75" t="s">
        <v>474</v>
      </c>
      <c r="C815" s="90">
        <v>953</v>
      </c>
      <c r="D815" s="90">
        <v>900</v>
      </c>
      <c r="E815" s="90">
        <f t="shared" si="26"/>
        <v>0</v>
      </c>
    </row>
    <row r="816" spans="1:5" x14ac:dyDescent="0.2">
      <c r="A816" s="90" t="s">
        <v>312</v>
      </c>
      <c r="B816" s="75" t="s">
        <v>475</v>
      </c>
      <c r="C816" s="90">
        <v>925</v>
      </c>
      <c r="D816" s="90">
        <v>1540</v>
      </c>
      <c r="E816" s="90">
        <f t="shared" si="26"/>
        <v>0</v>
      </c>
    </row>
    <row r="817" spans="1:5" x14ac:dyDescent="0.2">
      <c r="A817" s="90" t="s">
        <v>312</v>
      </c>
      <c r="B817" s="75" t="s">
        <v>475</v>
      </c>
      <c r="C817" s="90">
        <v>1230</v>
      </c>
      <c r="D817" s="90">
        <v>2080</v>
      </c>
      <c r="E817" s="90">
        <f t="shared" si="26"/>
        <v>0</v>
      </c>
    </row>
    <row r="818" spans="1:5" x14ac:dyDescent="0.2">
      <c r="A818" s="90" t="s">
        <v>312</v>
      </c>
      <c r="B818" s="75" t="s">
        <v>475</v>
      </c>
      <c r="C818" s="90">
        <v>1400</v>
      </c>
      <c r="D818" s="90">
        <v>2310</v>
      </c>
      <c r="E818" s="90">
        <f t="shared" si="26"/>
        <v>0</v>
      </c>
    </row>
    <row r="819" spans="1:5" x14ac:dyDescent="0.2">
      <c r="A819" s="90" t="s">
        <v>312</v>
      </c>
      <c r="B819" s="75" t="s">
        <v>475</v>
      </c>
      <c r="C819" s="90">
        <v>1545</v>
      </c>
      <c r="D819" s="90">
        <v>2780</v>
      </c>
      <c r="E819" s="90">
        <f t="shared" si="26"/>
        <v>0</v>
      </c>
    </row>
    <row r="820" spans="1:5" x14ac:dyDescent="0.2">
      <c r="A820" s="90" t="s">
        <v>312</v>
      </c>
      <c r="B820" s="75" t="s">
        <v>475</v>
      </c>
      <c r="C820" s="90">
        <v>1690</v>
      </c>
      <c r="D820" s="90">
        <v>2880</v>
      </c>
      <c r="E820" s="90">
        <f t="shared" si="26"/>
        <v>0</v>
      </c>
    </row>
    <row r="821" spans="1:5" x14ac:dyDescent="0.2">
      <c r="A821" s="90" t="s">
        <v>312</v>
      </c>
      <c r="B821" s="75" t="s">
        <v>475</v>
      </c>
      <c r="C821" s="90">
        <v>1905</v>
      </c>
      <c r="D821" s="90">
        <v>3850</v>
      </c>
      <c r="E821" s="90">
        <f t="shared" si="26"/>
        <v>0</v>
      </c>
    </row>
    <row r="822" spans="1:5" x14ac:dyDescent="0.2">
      <c r="A822" s="90" t="s">
        <v>312</v>
      </c>
      <c r="B822" s="75" t="s">
        <v>476</v>
      </c>
      <c r="C822" s="90">
        <v>1500</v>
      </c>
      <c r="D822" s="90">
        <v>2500</v>
      </c>
      <c r="E822" s="90">
        <f t="shared" si="26"/>
        <v>0</v>
      </c>
    </row>
    <row r="823" spans="1:5" x14ac:dyDescent="0.2">
      <c r="A823" s="90" t="s">
        <v>312</v>
      </c>
      <c r="B823" s="75" t="s">
        <v>476</v>
      </c>
      <c r="C823" s="90">
        <v>1800</v>
      </c>
      <c r="D823" s="90">
        <v>3200</v>
      </c>
      <c r="E823" s="90">
        <f t="shared" si="26"/>
        <v>0</v>
      </c>
    </row>
    <row r="824" spans="1:5" x14ac:dyDescent="0.2">
      <c r="A824" s="90" t="s">
        <v>312</v>
      </c>
      <c r="B824" s="75" t="s">
        <v>476</v>
      </c>
      <c r="C824" s="90">
        <v>1900</v>
      </c>
      <c r="D824" s="90">
        <v>3500</v>
      </c>
      <c r="E824" s="90">
        <f t="shared" si="26"/>
        <v>0</v>
      </c>
    </row>
    <row r="825" spans="1:5" x14ac:dyDescent="0.2">
      <c r="A825" s="90" t="s">
        <v>312</v>
      </c>
      <c r="B825" s="75" t="s">
        <v>477</v>
      </c>
      <c r="C825" s="90">
        <v>1500</v>
      </c>
      <c r="D825" s="90">
        <v>2700</v>
      </c>
      <c r="E825" s="90">
        <f t="shared" si="26"/>
        <v>0</v>
      </c>
    </row>
    <row r="826" spans="1:5" x14ac:dyDescent="0.2">
      <c r="A826" s="90" t="s">
        <v>312</v>
      </c>
      <c r="B826" s="75" t="s">
        <v>477</v>
      </c>
      <c r="C826" s="90">
        <v>1850</v>
      </c>
      <c r="D826" s="90">
        <v>3600</v>
      </c>
      <c r="E826" s="90">
        <f t="shared" si="26"/>
        <v>0</v>
      </c>
    </row>
    <row r="827" spans="1:5" x14ac:dyDescent="0.2">
      <c r="A827" s="90" t="s">
        <v>312</v>
      </c>
      <c r="B827" s="75" t="s">
        <v>477</v>
      </c>
      <c r="C827" s="90">
        <v>2140</v>
      </c>
      <c r="D827" s="90">
        <v>4200</v>
      </c>
      <c r="E827" s="90">
        <f t="shared" si="26"/>
        <v>0</v>
      </c>
    </row>
    <row r="828" spans="1:5" x14ac:dyDescent="0.2">
      <c r="A828" s="90" t="s">
        <v>312</v>
      </c>
      <c r="B828" s="75" t="s">
        <v>477</v>
      </c>
      <c r="C828" s="90">
        <v>2250</v>
      </c>
      <c r="D828" s="90">
        <v>4600</v>
      </c>
      <c r="E828" s="90">
        <f t="shared" si="26"/>
        <v>0</v>
      </c>
    </row>
    <row r="829" spans="1:5" x14ac:dyDescent="0.2">
      <c r="A829" s="90" t="s">
        <v>312</v>
      </c>
      <c r="B829" s="75" t="s">
        <v>477</v>
      </c>
      <c r="C829" s="90">
        <v>2300</v>
      </c>
      <c r="D829" s="90">
        <v>5000</v>
      </c>
      <c r="E829" s="90">
        <f t="shared" si="26"/>
        <v>0</v>
      </c>
    </row>
    <row r="830" spans="1:5" x14ac:dyDescent="0.2">
      <c r="A830" s="90" t="s">
        <v>312</v>
      </c>
      <c r="B830" s="75" t="s">
        <v>477</v>
      </c>
      <c r="C830" s="90">
        <v>2450</v>
      </c>
      <c r="D830" s="90">
        <v>5300</v>
      </c>
      <c r="E830" s="90">
        <f t="shared" si="26"/>
        <v>0</v>
      </c>
    </row>
    <row r="831" spans="1:5" ht="20.25" x14ac:dyDescent="0.15">
      <c r="A831" s="90" t="s">
        <v>312</v>
      </c>
      <c r="B831" s="75" t="s">
        <v>478</v>
      </c>
      <c r="C831" s="90">
        <v>1500</v>
      </c>
      <c r="D831" s="90">
        <v>2500</v>
      </c>
      <c r="E831" s="90">
        <f t="shared" si="26"/>
        <v>0</v>
      </c>
    </row>
    <row r="832" spans="1:5" ht="20.25" x14ac:dyDescent="0.15">
      <c r="A832" s="90" t="s">
        <v>312</v>
      </c>
      <c r="B832" s="75" t="s">
        <v>478</v>
      </c>
      <c r="C832" s="90">
        <v>1680</v>
      </c>
      <c r="D832" s="90">
        <v>2500</v>
      </c>
      <c r="E832" s="90">
        <f t="shared" si="26"/>
        <v>0</v>
      </c>
    </row>
    <row r="833" spans="1:5" ht="20.25" x14ac:dyDescent="0.15">
      <c r="A833" s="90" t="s">
        <v>312</v>
      </c>
      <c r="B833" s="75" t="s">
        <v>478</v>
      </c>
      <c r="C833" s="90">
        <v>1785</v>
      </c>
      <c r="D833" s="90">
        <v>2700</v>
      </c>
      <c r="E833" s="90">
        <f t="shared" si="26"/>
        <v>0</v>
      </c>
    </row>
    <row r="834" spans="1:5" ht="20.25" x14ac:dyDescent="0.15">
      <c r="A834" s="90" t="s">
        <v>312</v>
      </c>
      <c r="B834" s="75" t="s">
        <v>478</v>
      </c>
      <c r="C834" s="90">
        <v>1800</v>
      </c>
      <c r="D834" s="90">
        <v>3200</v>
      </c>
      <c r="E834" s="90">
        <f t="shared" si="26"/>
        <v>0</v>
      </c>
    </row>
    <row r="835" spans="1:5" ht="20.25" x14ac:dyDescent="0.15">
      <c r="A835" s="90" t="s">
        <v>312</v>
      </c>
      <c r="B835" s="75" t="s">
        <v>478</v>
      </c>
      <c r="C835" s="90">
        <v>1885</v>
      </c>
      <c r="D835" s="90">
        <v>2900</v>
      </c>
      <c r="E835" s="90">
        <f t="shared" si="26"/>
        <v>0</v>
      </c>
    </row>
    <row r="836" spans="1:5" ht="20.25" x14ac:dyDescent="0.15">
      <c r="A836" s="90" t="s">
        <v>312</v>
      </c>
      <c r="B836" s="75" t="s">
        <v>478</v>
      </c>
      <c r="C836" s="90">
        <v>1900</v>
      </c>
      <c r="D836" s="90">
        <v>3500</v>
      </c>
      <c r="E836" s="90">
        <f t="shared" si="26"/>
        <v>0</v>
      </c>
    </row>
    <row r="837" spans="1:5" ht="20.25" x14ac:dyDescent="0.15">
      <c r="A837" s="90" t="s">
        <v>312</v>
      </c>
      <c r="B837" s="75" t="s">
        <v>479</v>
      </c>
      <c r="C837" s="90">
        <v>1500</v>
      </c>
      <c r="D837" s="90">
        <v>2700</v>
      </c>
      <c r="E837" s="90">
        <f t="shared" si="26"/>
        <v>0</v>
      </c>
    </row>
    <row r="838" spans="1:5" ht="20.25" x14ac:dyDescent="0.15">
      <c r="A838" s="90" t="s">
        <v>312</v>
      </c>
      <c r="B838" s="75" t="s">
        <v>479</v>
      </c>
      <c r="C838" s="90">
        <v>1850</v>
      </c>
      <c r="D838" s="90">
        <v>3600</v>
      </c>
      <c r="E838" s="90">
        <f t="shared" si="26"/>
        <v>0</v>
      </c>
    </row>
    <row r="839" spans="1:5" ht="20.25" x14ac:dyDescent="0.15">
      <c r="A839" s="90" t="s">
        <v>312</v>
      </c>
      <c r="B839" s="75" t="s">
        <v>479</v>
      </c>
      <c r="C839" s="90">
        <v>1990</v>
      </c>
      <c r="D839" s="90">
        <v>3200</v>
      </c>
      <c r="E839" s="90">
        <f t="shared" si="26"/>
        <v>0</v>
      </c>
    </row>
    <row r="840" spans="1:5" ht="20.25" x14ac:dyDescent="0.15">
      <c r="A840" s="90" t="s">
        <v>312</v>
      </c>
      <c r="B840" s="75" t="s">
        <v>479</v>
      </c>
      <c r="C840" s="90">
        <v>2000</v>
      </c>
      <c r="D840" s="90">
        <v>4000</v>
      </c>
      <c r="E840" s="90">
        <f t="shared" si="26"/>
        <v>0</v>
      </c>
    </row>
    <row r="841" spans="1:5" ht="20.25" x14ac:dyDescent="0.15">
      <c r="A841" s="90" t="s">
        <v>312</v>
      </c>
      <c r="B841" s="75" t="s">
        <v>479</v>
      </c>
      <c r="C841" s="90">
        <v>2200</v>
      </c>
      <c r="D841" s="90">
        <v>4400</v>
      </c>
      <c r="E841" s="90">
        <f t="shared" si="26"/>
        <v>0</v>
      </c>
    </row>
    <row r="842" spans="1:5" ht="20.25" x14ac:dyDescent="0.15">
      <c r="A842" s="90" t="s">
        <v>312</v>
      </c>
      <c r="B842" s="75" t="s">
        <v>479</v>
      </c>
      <c r="C842" s="90">
        <v>2320</v>
      </c>
      <c r="D842" s="90">
        <v>4800</v>
      </c>
      <c r="E842" s="90">
        <f t="shared" si="26"/>
        <v>0</v>
      </c>
    </row>
    <row r="843" spans="1:5" x14ac:dyDescent="0.2">
      <c r="A843" s="90" t="s">
        <v>312</v>
      </c>
      <c r="B843" s="75" t="s">
        <v>480</v>
      </c>
      <c r="C843" s="90">
        <v>2035</v>
      </c>
      <c r="D843" s="90">
        <v>3200</v>
      </c>
      <c r="E843" s="90">
        <f t="shared" si="26"/>
        <v>0</v>
      </c>
    </row>
    <row r="844" spans="1:5" x14ac:dyDescent="0.2">
      <c r="A844" s="90" t="s">
        <v>312</v>
      </c>
      <c r="B844" s="75" t="s">
        <v>480</v>
      </c>
      <c r="C844" s="90">
        <v>2270</v>
      </c>
      <c r="D844" s="90">
        <v>3500</v>
      </c>
      <c r="E844" s="90">
        <f t="shared" si="26"/>
        <v>0</v>
      </c>
    </row>
    <row r="845" spans="1:5" x14ac:dyDescent="0.2">
      <c r="A845" s="90" t="s">
        <v>312</v>
      </c>
      <c r="B845" s="75" t="s">
        <v>481</v>
      </c>
      <c r="C845" s="90">
        <v>925</v>
      </c>
      <c r="D845" s="90">
        <v>1250</v>
      </c>
      <c r="E845" s="90">
        <f t="shared" si="26"/>
        <v>0</v>
      </c>
    </row>
    <row r="846" spans="1:5" x14ac:dyDescent="0.2">
      <c r="A846" s="90" t="s">
        <v>312</v>
      </c>
      <c r="B846" s="75" t="s">
        <v>481</v>
      </c>
      <c r="C846" s="90">
        <v>1230</v>
      </c>
      <c r="D846" s="90">
        <v>1860</v>
      </c>
      <c r="E846" s="90">
        <f t="shared" si="26"/>
        <v>0</v>
      </c>
    </row>
    <row r="847" spans="1:5" x14ac:dyDescent="0.2">
      <c r="A847" s="90" t="s">
        <v>312</v>
      </c>
      <c r="B847" s="75" t="s">
        <v>481</v>
      </c>
      <c r="C847" s="90">
        <v>1400</v>
      </c>
      <c r="D847" s="90">
        <v>2200</v>
      </c>
      <c r="E847" s="90">
        <f t="shared" si="26"/>
        <v>0</v>
      </c>
    </row>
    <row r="848" spans="1:5" x14ac:dyDescent="0.2">
      <c r="A848" s="90" t="s">
        <v>312</v>
      </c>
      <c r="B848" s="75" t="s">
        <v>481</v>
      </c>
      <c r="C848" s="90">
        <v>1545</v>
      </c>
      <c r="D848" s="90">
        <v>2460</v>
      </c>
      <c r="E848" s="90">
        <f t="shared" si="26"/>
        <v>0</v>
      </c>
    </row>
    <row r="849" spans="1:5" x14ac:dyDescent="0.2">
      <c r="A849" s="90" t="s">
        <v>312</v>
      </c>
      <c r="B849" s="75" t="s">
        <v>481</v>
      </c>
      <c r="C849" s="90">
        <v>1690</v>
      </c>
      <c r="D849" s="90">
        <v>2830</v>
      </c>
      <c r="E849" s="90">
        <f t="shared" si="26"/>
        <v>0</v>
      </c>
    </row>
    <row r="850" spans="1:5" x14ac:dyDescent="0.2">
      <c r="A850" s="90" t="s">
        <v>312</v>
      </c>
      <c r="B850" s="75" t="s">
        <v>481</v>
      </c>
      <c r="C850" s="90">
        <v>1905</v>
      </c>
      <c r="D850" s="90">
        <v>3310</v>
      </c>
      <c r="E850" s="90">
        <f t="shared" si="26"/>
        <v>0</v>
      </c>
    </row>
    <row r="851" spans="1:5" x14ac:dyDescent="0.2">
      <c r="A851" s="90" t="s">
        <v>312</v>
      </c>
      <c r="B851" s="75" t="s">
        <v>482</v>
      </c>
      <c r="C851" s="90">
        <v>1500</v>
      </c>
      <c r="D851" s="90">
        <v>2500</v>
      </c>
      <c r="E851" s="90">
        <f t="shared" si="26"/>
        <v>0</v>
      </c>
    </row>
    <row r="852" spans="1:5" x14ac:dyDescent="0.2">
      <c r="A852" s="90" t="s">
        <v>312</v>
      </c>
      <c r="B852" s="75" t="s">
        <v>482</v>
      </c>
      <c r="C852" s="90">
        <v>1750</v>
      </c>
      <c r="D852" s="90">
        <v>3200</v>
      </c>
      <c r="E852" s="90">
        <f t="shared" ref="E852:E905" si="27">+IF(AND($E$80=A852,$E$81=B852,$E$82=C852),D852,0)</f>
        <v>0</v>
      </c>
    </row>
    <row r="853" spans="1:5" x14ac:dyDescent="0.2">
      <c r="A853" s="90" t="s">
        <v>312</v>
      </c>
      <c r="B853" s="75" t="s">
        <v>483</v>
      </c>
      <c r="C853" s="90">
        <v>1850</v>
      </c>
      <c r="D853" s="90">
        <v>2500</v>
      </c>
      <c r="E853" s="90">
        <f t="shared" si="27"/>
        <v>0</v>
      </c>
    </row>
    <row r="854" spans="1:5" x14ac:dyDescent="0.2">
      <c r="A854" s="90" t="s">
        <v>312</v>
      </c>
      <c r="B854" s="75" t="s">
        <v>483</v>
      </c>
      <c r="C854" s="90">
        <v>1750</v>
      </c>
      <c r="D854" s="90">
        <v>3200</v>
      </c>
      <c r="E854" s="90">
        <f t="shared" si="27"/>
        <v>0</v>
      </c>
    </row>
    <row r="855" spans="1:5" x14ac:dyDescent="0.2">
      <c r="A855" s="90" t="s">
        <v>312</v>
      </c>
      <c r="B855" s="75" t="s">
        <v>483</v>
      </c>
      <c r="C855" s="90">
        <v>1850</v>
      </c>
      <c r="D855" s="90">
        <v>3600</v>
      </c>
      <c r="E855" s="90">
        <f t="shared" si="27"/>
        <v>0</v>
      </c>
    </row>
    <row r="856" spans="1:5" x14ac:dyDescent="0.2">
      <c r="A856" s="90" t="s">
        <v>312</v>
      </c>
      <c r="B856" s="75" t="s">
        <v>483</v>
      </c>
      <c r="C856" s="90">
        <v>2000</v>
      </c>
      <c r="D856" s="90">
        <v>4000</v>
      </c>
      <c r="E856" s="90">
        <f t="shared" si="27"/>
        <v>0</v>
      </c>
    </row>
    <row r="857" spans="1:5" x14ac:dyDescent="0.2">
      <c r="A857" s="90" t="s">
        <v>312</v>
      </c>
      <c r="B857" s="75" t="s">
        <v>483</v>
      </c>
      <c r="C857" s="90">
        <v>2200</v>
      </c>
      <c r="D857" s="90">
        <v>4400</v>
      </c>
      <c r="E857" s="90">
        <f t="shared" si="27"/>
        <v>0</v>
      </c>
    </row>
    <row r="858" spans="1:5" x14ac:dyDescent="0.2">
      <c r="A858" s="90" t="s">
        <v>312</v>
      </c>
      <c r="B858" s="75" t="s">
        <v>483</v>
      </c>
      <c r="C858" s="90">
        <v>2380</v>
      </c>
      <c r="D858" s="90">
        <v>4800</v>
      </c>
      <c r="E858" s="90">
        <f t="shared" si="27"/>
        <v>0</v>
      </c>
    </row>
    <row r="859" spans="1:5" x14ac:dyDescent="0.2">
      <c r="A859" s="90" t="s">
        <v>312</v>
      </c>
      <c r="B859" s="75" t="s">
        <v>484</v>
      </c>
      <c r="C859" s="90">
        <v>925</v>
      </c>
      <c r="D859" s="90">
        <v>1250</v>
      </c>
      <c r="E859" s="90">
        <f t="shared" si="27"/>
        <v>0</v>
      </c>
    </row>
    <row r="860" spans="1:5" x14ac:dyDescent="0.2">
      <c r="A860" s="90" t="s">
        <v>312</v>
      </c>
      <c r="B860" s="75" t="s">
        <v>484</v>
      </c>
      <c r="C860" s="90">
        <v>1230</v>
      </c>
      <c r="D860" s="90">
        <v>1860</v>
      </c>
      <c r="E860" s="90">
        <f t="shared" si="27"/>
        <v>0</v>
      </c>
    </row>
    <row r="861" spans="1:5" x14ac:dyDescent="0.2">
      <c r="A861" s="90" t="s">
        <v>312</v>
      </c>
      <c r="B861" s="75" t="s">
        <v>484</v>
      </c>
      <c r="C861" s="90">
        <v>1400</v>
      </c>
      <c r="D861" s="90">
        <v>2200</v>
      </c>
      <c r="E861" s="90">
        <f t="shared" si="27"/>
        <v>0</v>
      </c>
    </row>
    <row r="862" spans="1:5" x14ac:dyDescent="0.2">
      <c r="A862" s="90" t="s">
        <v>312</v>
      </c>
      <c r="B862" s="75" t="s">
        <v>484</v>
      </c>
      <c r="C862" s="90">
        <v>1545</v>
      </c>
      <c r="D862" s="90">
        <v>2460</v>
      </c>
      <c r="E862" s="90">
        <f t="shared" si="27"/>
        <v>0</v>
      </c>
    </row>
    <row r="863" spans="1:5" x14ac:dyDescent="0.2">
      <c r="A863" s="90" t="s">
        <v>312</v>
      </c>
      <c r="B863" s="75" t="s">
        <v>484</v>
      </c>
      <c r="C863" s="90">
        <v>1690</v>
      </c>
      <c r="D863" s="90">
        <v>2830</v>
      </c>
      <c r="E863" s="90">
        <f t="shared" si="27"/>
        <v>0</v>
      </c>
    </row>
    <row r="864" spans="1:5" x14ac:dyDescent="0.2">
      <c r="A864" s="90" t="s">
        <v>312</v>
      </c>
      <c r="B864" s="75" t="s">
        <v>484</v>
      </c>
      <c r="C864" s="90">
        <v>1905</v>
      </c>
      <c r="D864" s="90">
        <v>3310</v>
      </c>
      <c r="E864" s="90">
        <f t="shared" si="27"/>
        <v>0</v>
      </c>
    </row>
    <row r="865" spans="1:5" x14ac:dyDescent="0.2">
      <c r="A865" s="90" t="s">
        <v>312</v>
      </c>
      <c r="B865" s="75" t="s">
        <v>485</v>
      </c>
      <c r="C865" s="90">
        <v>2000</v>
      </c>
      <c r="D865" s="90">
        <v>4000</v>
      </c>
      <c r="E865" s="90">
        <f t="shared" si="27"/>
        <v>0</v>
      </c>
    </row>
    <row r="866" spans="1:5" x14ac:dyDescent="0.2">
      <c r="A866" s="90" t="s">
        <v>313</v>
      </c>
      <c r="B866" s="75" t="s">
        <v>486</v>
      </c>
      <c r="C866" s="90">
        <v>2390</v>
      </c>
      <c r="D866" s="90">
        <v>5400</v>
      </c>
      <c r="E866" s="90">
        <f t="shared" si="27"/>
        <v>0</v>
      </c>
    </row>
    <row r="867" spans="1:5" x14ac:dyDescent="0.2">
      <c r="A867" s="90" t="s">
        <v>313</v>
      </c>
      <c r="B867" s="75" t="s">
        <v>487</v>
      </c>
      <c r="C867" s="90">
        <v>1800</v>
      </c>
      <c r="D867" s="90">
        <v>2800</v>
      </c>
      <c r="E867" s="90">
        <f t="shared" si="27"/>
        <v>0</v>
      </c>
    </row>
    <row r="868" spans="1:5" x14ac:dyDescent="0.2">
      <c r="A868" s="90" t="s">
        <v>313</v>
      </c>
      <c r="B868" s="75" t="s">
        <v>487</v>
      </c>
      <c r="C868" s="90">
        <v>1990</v>
      </c>
      <c r="D868" s="90">
        <v>3200</v>
      </c>
      <c r="E868" s="90">
        <f t="shared" si="27"/>
        <v>0</v>
      </c>
    </row>
    <row r="869" spans="1:5" x14ac:dyDescent="0.2">
      <c r="A869" s="90" t="s">
        <v>313</v>
      </c>
      <c r="B869" s="75" t="s">
        <v>487</v>
      </c>
      <c r="C869" s="90">
        <v>1990</v>
      </c>
      <c r="D869" s="90">
        <v>3800</v>
      </c>
      <c r="E869" s="90">
        <f t="shared" si="27"/>
        <v>0</v>
      </c>
    </row>
    <row r="870" spans="1:5" x14ac:dyDescent="0.2">
      <c r="A870" s="90" t="s">
        <v>313</v>
      </c>
      <c r="B870" s="75" t="s">
        <v>487</v>
      </c>
      <c r="C870" s="90">
        <v>1750</v>
      </c>
      <c r="D870" s="90">
        <v>3200</v>
      </c>
      <c r="E870" s="90">
        <f t="shared" si="27"/>
        <v>0</v>
      </c>
    </row>
    <row r="871" spans="1:5" x14ac:dyDescent="0.2">
      <c r="A871" s="90" t="s">
        <v>313</v>
      </c>
      <c r="B871" s="75" t="s">
        <v>487</v>
      </c>
      <c r="C871" s="90">
        <v>1900</v>
      </c>
      <c r="D871" s="90">
        <v>3600</v>
      </c>
      <c r="E871" s="90">
        <f t="shared" si="27"/>
        <v>0</v>
      </c>
    </row>
    <row r="872" spans="1:5" x14ac:dyDescent="0.2">
      <c r="A872" s="90" t="s">
        <v>313</v>
      </c>
      <c r="B872" s="75" t="s">
        <v>487</v>
      </c>
      <c r="C872" s="90">
        <v>1800</v>
      </c>
      <c r="D872" s="90">
        <v>4200</v>
      </c>
      <c r="E872" s="90">
        <f t="shared" si="27"/>
        <v>0</v>
      </c>
    </row>
    <row r="873" spans="1:5" x14ac:dyDescent="0.2">
      <c r="A873" s="90" t="s">
        <v>313</v>
      </c>
      <c r="B873" s="75" t="s">
        <v>488</v>
      </c>
      <c r="C873" s="90">
        <v>1750</v>
      </c>
      <c r="D873" s="90">
        <v>3000</v>
      </c>
      <c r="E873" s="90">
        <f t="shared" si="27"/>
        <v>0</v>
      </c>
    </row>
    <row r="874" spans="1:5" x14ac:dyDescent="0.2">
      <c r="A874" s="90" t="s">
        <v>313</v>
      </c>
      <c r="B874" s="75" t="s">
        <v>488</v>
      </c>
      <c r="C874" s="90">
        <v>1865</v>
      </c>
      <c r="D874" s="90">
        <v>3200</v>
      </c>
      <c r="E874" s="90">
        <f t="shared" si="27"/>
        <v>0</v>
      </c>
    </row>
    <row r="875" spans="1:5" x14ac:dyDescent="0.2">
      <c r="A875" s="90" t="s">
        <v>313</v>
      </c>
      <c r="B875" s="75" t="s">
        <v>488</v>
      </c>
      <c r="C875" s="90">
        <v>2040</v>
      </c>
      <c r="D875" s="90">
        <v>3600</v>
      </c>
      <c r="E875" s="90">
        <f t="shared" si="27"/>
        <v>0</v>
      </c>
    </row>
    <row r="876" spans="1:5" x14ac:dyDescent="0.2">
      <c r="A876" s="90" t="s">
        <v>313</v>
      </c>
      <c r="B876" s="75" t="s">
        <v>488</v>
      </c>
      <c r="C876" s="90">
        <v>2210</v>
      </c>
      <c r="D876" s="90">
        <v>4000</v>
      </c>
      <c r="E876" s="90">
        <f t="shared" si="27"/>
        <v>0</v>
      </c>
    </row>
    <row r="877" spans="1:5" x14ac:dyDescent="0.2">
      <c r="A877" s="90" t="s">
        <v>313</v>
      </c>
      <c r="B877" s="75" t="s">
        <v>488</v>
      </c>
      <c r="C877" s="90">
        <v>2200</v>
      </c>
      <c r="D877" s="90">
        <v>4400</v>
      </c>
      <c r="E877" s="90">
        <f t="shared" si="27"/>
        <v>0</v>
      </c>
    </row>
    <row r="878" spans="1:5" x14ac:dyDescent="0.2">
      <c r="A878" s="90" t="s">
        <v>313</v>
      </c>
      <c r="B878" s="75" t="s">
        <v>488</v>
      </c>
      <c r="C878" s="90">
        <v>2140</v>
      </c>
      <c r="D878" s="90">
        <v>5100</v>
      </c>
      <c r="E878" s="90">
        <f t="shared" si="27"/>
        <v>0</v>
      </c>
    </row>
    <row r="879" spans="1:5" x14ac:dyDescent="0.2">
      <c r="A879" s="90" t="s">
        <v>313</v>
      </c>
      <c r="B879" s="75" t="s">
        <v>488</v>
      </c>
      <c r="C879" s="90">
        <v>2300</v>
      </c>
      <c r="D879" s="90">
        <v>5600</v>
      </c>
      <c r="E879" s="90">
        <f t="shared" si="27"/>
        <v>0</v>
      </c>
    </row>
    <row r="880" spans="1:5" ht="20.25" x14ac:dyDescent="0.15">
      <c r="A880" s="90" t="s">
        <v>313</v>
      </c>
      <c r="B880" s="75" t="s">
        <v>489</v>
      </c>
      <c r="C880" s="90">
        <v>2380</v>
      </c>
      <c r="D880" s="90">
        <v>4500</v>
      </c>
      <c r="E880" s="90">
        <f t="shared" si="27"/>
        <v>0</v>
      </c>
    </row>
    <row r="881" spans="1:5" ht="20.25" x14ac:dyDescent="0.15">
      <c r="A881" s="90" t="s">
        <v>313</v>
      </c>
      <c r="B881" s="75" t="s">
        <v>489</v>
      </c>
      <c r="C881" s="90">
        <v>2380</v>
      </c>
      <c r="D881" s="90">
        <v>5200</v>
      </c>
      <c r="E881" s="90">
        <f t="shared" si="27"/>
        <v>0</v>
      </c>
    </row>
    <row r="882" spans="1:5" ht="20.25" x14ac:dyDescent="0.15">
      <c r="A882" s="90" t="s">
        <v>313</v>
      </c>
      <c r="B882" s="75" t="s">
        <v>489</v>
      </c>
      <c r="C882" s="90">
        <v>2380</v>
      </c>
      <c r="D882" s="90">
        <v>5200</v>
      </c>
      <c r="E882" s="90">
        <f t="shared" si="27"/>
        <v>0</v>
      </c>
    </row>
    <row r="883" spans="1:5" ht="20.25" x14ac:dyDescent="0.15">
      <c r="A883" s="90" t="s">
        <v>313</v>
      </c>
      <c r="B883" s="75" t="s">
        <v>489</v>
      </c>
      <c r="C883" s="90">
        <v>2390</v>
      </c>
      <c r="D883" s="90">
        <v>4400</v>
      </c>
      <c r="E883" s="90">
        <f t="shared" si="27"/>
        <v>0</v>
      </c>
    </row>
    <row r="884" spans="1:5" ht="20.25" x14ac:dyDescent="0.15">
      <c r="A884" s="90" t="s">
        <v>313</v>
      </c>
      <c r="B884" s="75" t="s">
        <v>489</v>
      </c>
      <c r="C884" s="90">
        <v>2400</v>
      </c>
      <c r="D884" s="90">
        <v>5200</v>
      </c>
      <c r="E884" s="90">
        <f t="shared" si="27"/>
        <v>0</v>
      </c>
    </row>
    <row r="885" spans="1:5" x14ac:dyDescent="0.2">
      <c r="A885" s="90" t="s">
        <v>313</v>
      </c>
      <c r="B885" s="75" t="s">
        <v>490</v>
      </c>
      <c r="C885" s="90">
        <v>2080</v>
      </c>
      <c r="D885" s="90">
        <v>3600</v>
      </c>
      <c r="E885" s="90">
        <f t="shared" si="27"/>
        <v>0</v>
      </c>
    </row>
    <row r="886" spans="1:5" ht="20.25" x14ac:dyDescent="0.15">
      <c r="A886" s="90" t="s">
        <v>313</v>
      </c>
      <c r="B886" s="75" t="s">
        <v>491</v>
      </c>
      <c r="C886" s="90">
        <v>2390</v>
      </c>
      <c r="D886" s="90">
        <v>4400</v>
      </c>
      <c r="E886" s="90">
        <f t="shared" si="27"/>
        <v>0</v>
      </c>
    </row>
    <row r="887" spans="1:5" ht="20.25" x14ac:dyDescent="0.15">
      <c r="A887" s="90" t="s">
        <v>313</v>
      </c>
      <c r="B887" s="75" t="s">
        <v>491</v>
      </c>
      <c r="C887" s="90">
        <v>2390</v>
      </c>
      <c r="D887" s="90">
        <v>4400</v>
      </c>
      <c r="E887" s="90">
        <f t="shared" si="27"/>
        <v>0</v>
      </c>
    </row>
    <row r="888" spans="1:5" ht="20.25" x14ac:dyDescent="0.15">
      <c r="A888" s="90" t="s">
        <v>313</v>
      </c>
      <c r="B888" s="75" t="s">
        <v>491</v>
      </c>
      <c r="C888" s="90">
        <v>2390</v>
      </c>
      <c r="D888" s="90">
        <v>5400</v>
      </c>
      <c r="E888" s="90">
        <f t="shared" si="27"/>
        <v>0</v>
      </c>
    </row>
    <row r="889" spans="1:5" ht="20.25" x14ac:dyDescent="0.15">
      <c r="A889" s="90" t="s">
        <v>313</v>
      </c>
      <c r="B889" s="75" t="s">
        <v>491</v>
      </c>
      <c r="C889" s="90">
        <v>2260</v>
      </c>
      <c r="D889" s="90">
        <v>4000</v>
      </c>
      <c r="E889" s="90">
        <f t="shared" si="27"/>
        <v>0</v>
      </c>
    </row>
    <row r="890" spans="1:5" x14ac:dyDescent="0.2">
      <c r="A890" s="90" t="s">
        <v>313</v>
      </c>
      <c r="B890" s="75" t="s">
        <v>321</v>
      </c>
      <c r="C890" s="90">
        <v>1380</v>
      </c>
      <c r="D890" s="90">
        <v>2300</v>
      </c>
      <c r="E890" s="90">
        <f t="shared" si="27"/>
        <v>0</v>
      </c>
    </row>
    <row r="891" spans="1:5" x14ac:dyDescent="0.2">
      <c r="A891" s="90" t="s">
        <v>313</v>
      </c>
      <c r="B891" s="75" t="s">
        <v>321</v>
      </c>
      <c r="C891" s="90">
        <v>1535</v>
      </c>
      <c r="D891" s="90">
        <v>2800</v>
      </c>
      <c r="E891" s="90">
        <f t="shared" si="27"/>
        <v>0</v>
      </c>
    </row>
    <row r="892" spans="1:5" x14ac:dyDescent="0.2">
      <c r="A892" s="90" t="s">
        <v>313</v>
      </c>
      <c r="B892" s="75" t="s">
        <v>321</v>
      </c>
      <c r="C892" s="90">
        <v>1560</v>
      </c>
      <c r="D892" s="90">
        <v>2700</v>
      </c>
      <c r="E892" s="90">
        <f t="shared" si="27"/>
        <v>0</v>
      </c>
    </row>
    <row r="893" spans="1:5" x14ac:dyDescent="0.2">
      <c r="A893" s="90" t="s">
        <v>313</v>
      </c>
      <c r="B893" s="75" t="s">
        <v>322</v>
      </c>
      <c r="C893" s="90">
        <v>1680</v>
      </c>
      <c r="D893" s="90">
        <v>3200</v>
      </c>
      <c r="E893" s="90">
        <f t="shared" si="27"/>
        <v>0</v>
      </c>
    </row>
    <row r="894" spans="1:5" ht="20.25" x14ac:dyDescent="0.15">
      <c r="A894" s="90" t="s">
        <v>313</v>
      </c>
      <c r="B894" s="75" t="s">
        <v>318</v>
      </c>
      <c r="C894" s="90">
        <v>1225</v>
      </c>
      <c r="D894" s="90">
        <v>2000</v>
      </c>
      <c r="E894" s="90">
        <f t="shared" si="27"/>
        <v>0</v>
      </c>
    </row>
    <row r="895" spans="1:5" x14ac:dyDescent="0.2">
      <c r="A895" s="90" t="s">
        <v>313</v>
      </c>
      <c r="B895" s="75" t="s">
        <v>492</v>
      </c>
      <c r="C895" s="90">
        <v>1380</v>
      </c>
      <c r="D895" s="90">
        <v>2400</v>
      </c>
      <c r="E895" s="90">
        <f t="shared" si="27"/>
        <v>0</v>
      </c>
    </row>
    <row r="896" spans="1:5" x14ac:dyDescent="0.2">
      <c r="A896" s="90" t="s">
        <v>313</v>
      </c>
      <c r="B896" s="75" t="s">
        <v>492</v>
      </c>
      <c r="C896" s="90">
        <v>1535</v>
      </c>
      <c r="D896" s="90">
        <v>2800</v>
      </c>
      <c r="E896" s="90">
        <f t="shared" si="27"/>
        <v>0</v>
      </c>
    </row>
    <row r="897" spans="1:5" x14ac:dyDescent="0.2">
      <c r="A897" s="90" t="s">
        <v>313</v>
      </c>
      <c r="B897" s="75" t="s">
        <v>492</v>
      </c>
      <c r="C897" s="90">
        <v>1990</v>
      </c>
      <c r="D897" s="90">
        <v>3800</v>
      </c>
      <c r="E897" s="90">
        <f t="shared" si="27"/>
        <v>0</v>
      </c>
    </row>
    <row r="898" spans="1:5" x14ac:dyDescent="0.2">
      <c r="A898" s="90" t="s">
        <v>313</v>
      </c>
      <c r="B898" s="75" t="s">
        <v>493</v>
      </c>
      <c r="C898" s="90">
        <v>1190</v>
      </c>
      <c r="D898" s="90">
        <v>1600</v>
      </c>
      <c r="E898" s="90">
        <f t="shared" si="27"/>
        <v>0</v>
      </c>
    </row>
    <row r="899" spans="1:5" x14ac:dyDescent="0.2">
      <c r="A899" s="90" t="s">
        <v>313</v>
      </c>
      <c r="B899" s="75" t="s">
        <v>493</v>
      </c>
      <c r="C899" s="90">
        <v>1220</v>
      </c>
      <c r="D899" s="90">
        <v>1500</v>
      </c>
      <c r="E899" s="90">
        <f t="shared" si="27"/>
        <v>0</v>
      </c>
    </row>
    <row r="900" spans="1:5" x14ac:dyDescent="0.2">
      <c r="A900" s="90" t="s">
        <v>313</v>
      </c>
      <c r="B900" s="75" t="s">
        <v>314</v>
      </c>
      <c r="C900" s="90">
        <v>1850</v>
      </c>
      <c r="D900" s="90">
        <v>4200</v>
      </c>
      <c r="E900" s="90">
        <f t="shared" si="27"/>
        <v>0</v>
      </c>
    </row>
    <row r="901" spans="1:5" x14ac:dyDescent="0.2">
      <c r="A901" s="90" t="s">
        <v>313</v>
      </c>
      <c r="B901" s="75" t="s">
        <v>494</v>
      </c>
      <c r="C901" s="90">
        <v>1950</v>
      </c>
      <c r="D901" s="90">
        <v>4000</v>
      </c>
      <c r="E901" s="90">
        <f t="shared" si="27"/>
        <v>0</v>
      </c>
    </row>
    <row r="902" spans="1:5" x14ac:dyDescent="0.2">
      <c r="A902" s="90" t="s">
        <v>313</v>
      </c>
      <c r="B902" s="75" t="s">
        <v>494</v>
      </c>
      <c r="C902" s="90">
        <v>2000</v>
      </c>
      <c r="D902" s="90">
        <v>4300</v>
      </c>
      <c r="E902" s="90">
        <f t="shared" si="27"/>
        <v>0</v>
      </c>
    </row>
    <row r="903" spans="1:5" x14ac:dyDescent="0.2">
      <c r="A903" s="90" t="s">
        <v>313</v>
      </c>
      <c r="B903" s="75" t="s">
        <v>494</v>
      </c>
      <c r="C903" s="90">
        <v>2380</v>
      </c>
      <c r="D903" s="90">
        <v>5200</v>
      </c>
      <c r="E903" s="90">
        <f t="shared" si="27"/>
        <v>0</v>
      </c>
    </row>
    <row r="904" spans="1:5" x14ac:dyDescent="0.2">
      <c r="A904" s="90" t="s">
        <v>313</v>
      </c>
      <c r="B904" s="75" t="s">
        <v>494</v>
      </c>
      <c r="C904" s="90">
        <v>2380</v>
      </c>
      <c r="D904" s="90">
        <v>5200</v>
      </c>
      <c r="E904" s="90">
        <f t="shared" si="27"/>
        <v>0</v>
      </c>
    </row>
    <row r="905" spans="1:5" x14ac:dyDescent="0.2">
      <c r="A905" s="90" t="s">
        <v>313</v>
      </c>
      <c r="B905" s="75" t="s">
        <v>495</v>
      </c>
      <c r="C905" s="90">
        <v>2380</v>
      </c>
      <c r="D905" s="90">
        <v>5200</v>
      </c>
      <c r="E905" s="90">
        <f t="shared" si="27"/>
        <v>0</v>
      </c>
    </row>
  </sheetData>
  <sortState xmlns:xlrd2="http://schemas.microsoft.com/office/spreadsheetml/2017/richdata2" ref="H86:T86">
    <sortCondition ref="H97"/>
  </sortState>
  <mergeCells count="215">
    <mergeCell ref="A80:D81"/>
    <mergeCell ref="F80:F82"/>
    <mergeCell ref="G80:G82"/>
    <mergeCell ref="H80:H82"/>
    <mergeCell ref="I80:AG82"/>
    <mergeCell ref="X41:Y41"/>
    <mergeCell ref="X36:Y36"/>
    <mergeCell ref="X37:Y37"/>
    <mergeCell ref="X38:Y38"/>
    <mergeCell ref="I45:M45"/>
    <mergeCell ref="A59:C59"/>
    <mergeCell ref="AA60:AC60"/>
    <mergeCell ref="AG60:AI60"/>
    <mergeCell ref="AF38:AG38"/>
    <mergeCell ref="AF39:AG39"/>
    <mergeCell ref="AF40:AG40"/>
    <mergeCell ref="AF41:AG41"/>
    <mergeCell ref="D59:I60"/>
    <mergeCell ref="X63:Y63"/>
    <mergeCell ref="X64:Y64"/>
    <mergeCell ref="X75:Y75"/>
    <mergeCell ref="X76:Y76"/>
    <mergeCell ref="X77:Y77"/>
    <mergeCell ref="T59:U59"/>
    <mergeCell ref="AF12:AG12"/>
    <mergeCell ref="AF13:AG13"/>
    <mergeCell ref="AF14:AG14"/>
    <mergeCell ref="AF15:AG15"/>
    <mergeCell ref="AF16:AG16"/>
    <mergeCell ref="AF17:AG17"/>
    <mergeCell ref="AF18:AG18"/>
    <mergeCell ref="AF19:AG19"/>
    <mergeCell ref="AF32:AG32"/>
    <mergeCell ref="AF33:AG33"/>
    <mergeCell ref="AF34:AG34"/>
    <mergeCell ref="AF35:AG35"/>
    <mergeCell ref="AF36:AG36"/>
    <mergeCell ref="AF37:AG37"/>
    <mergeCell ref="X39:Y39"/>
    <mergeCell ref="X40:Y40"/>
    <mergeCell ref="AF20:AG20"/>
    <mergeCell ref="AF21:AG21"/>
    <mergeCell ref="AF22:AG22"/>
    <mergeCell ref="AF23:AG23"/>
    <mergeCell ref="AF24:AG24"/>
    <mergeCell ref="AF25:AG25"/>
    <mergeCell ref="AF26:AG26"/>
    <mergeCell ref="AF27:AG27"/>
    <mergeCell ref="AF28:AG28"/>
    <mergeCell ref="AF29:AG29"/>
    <mergeCell ref="AF30:AG30"/>
    <mergeCell ref="AF31:AG31"/>
    <mergeCell ref="X30:Y30"/>
    <mergeCell ref="X31:Y31"/>
    <mergeCell ref="X32:Y32"/>
    <mergeCell ref="X33:Y33"/>
    <mergeCell ref="X34:Y34"/>
    <mergeCell ref="X21:Y21"/>
    <mergeCell ref="X22:Y22"/>
    <mergeCell ref="X23:Y23"/>
    <mergeCell ref="X24:Y24"/>
    <mergeCell ref="X25:Y25"/>
    <mergeCell ref="X26:Y26"/>
    <mergeCell ref="X27:Y27"/>
    <mergeCell ref="X28:Y28"/>
    <mergeCell ref="X29:Y29"/>
    <mergeCell ref="X12:Y12"/>
    <mergeCell ref="X13:Y13"/>
    <mergeCell ref="X14:Y14"/>
    <mergeCell ref="X15:Y15"/>
    <mergeCell ref="X16:Y16"/>
    <mergeCell ref="X17:Y17"/>
    <mergeCell ref="X18:Y18"/>
    <mergeCell ref="X19:Y19"/>
    <mergeCell ref="X20:Y20"/>
    <mergeCell ref="AH10:AJ10"/>
    <mergeCell ref="AY10:AZ10"/>
    <mergeCell ref="A7:F8"/>
    <mergeCell ref="A10:C10"/>
    <mergeCell ref="A1:B2"/>
    <mergeCell ref="C1:N1"/>
    <mergeCell ref="D10:G11"/>
    <mergeCell ref="H10:O11"/>
    <mergeCell ref="P10:Q10"/>
    <mergeCell ref="R10:W10"/>
    <mergeCell ref="Z10:AE10"/>
    <mergeCell ref="X10:Y10"/>
    <mergeCell ref="AK10:AP10"/>
    <mergeCell ref="AS10:AX10"/>
    <mergeCell ref="AF10:AG10"/>
    <mergeCell ref="AQ10:AR10"/>
    <mergeCell ref="BE28:BF28"/>
    <mergeCell ref="BE22:BF22"/>
    <mergeCell ref="BE23:BF23"/>
    <mergeCell ref="BE24:BF24"/>
    <mergeCell ref="BE25:BF25"/>
    <mergeCell ref="BE26:BF26"/>
    <mergeCell ref="BE17:BF17"/>
    <mergeCell ref="BE18:BF18"/>
    <mergeCell ref="BE19:BF19"/>
    <mergeCell ref="BE20:BF20"/>
    <mergeCell ref="BE21:BF21"/>
    <mergeCell ref="BE27:BF27"/>
    <mergeCell ref="BE12:BF12"/>
    <mergeCell ref="BE13:BF13"/>
    <mergeCell ref="BE14:BF14"/>
    <mergeCell ref="BE15:BF15"/>
    <mergeCell ref="BE16:BF16"/>
    <mergeCell ref="BA10:BB11"/>
    <mergeCell ref="BC10:BD11"/>
    <mergeCell ref="BE10:BF10"/>
    <mergeCell ref="AY25:AZ25"/>
    <mergeCell ref="AQ24:AR24"/>
    <mergeCell ref="AY24:AZ24"/>
    <mergeCell ref="AQ23:AR23"/>
    <mergeCell ref="AY23:AZ23"/>
    <mergeCell ref="AY26:AZ26"/>
    <mergeCell ref="AQ27:AR27"/>
    <mergeCell ref="AY27:AZ27"/>
    <mergeCell ref="AY16:AZ16"/>
    <mergeCell ref="AQ15:AR15"/>
    <mergeCell ref="AY15:AZ15"/>
    <mergeCell ref="AQ16:AR16"/>
    <mergeCell ref="AQ12:AR12"/>
    <mergeCell ref="AY12:AZ12"/>
    <mergeCell ref="AQ13:AR13"/>
    <mergeCell ref="AY13:AZ13"/>
    <mergeCell ref="AQ14:AR14"/>
    <mergeCell ref="AY14:AZ14"/>
    <mergeCell ref="A44:C44"/>
    <mergeCell ref="D44:M44"/>
    <mergeCell ref="AQ28:AR28"/>
    <mergeCell ref="AY28:AZ28"/>
    <mergeCell ref="AY19:AZ19"/>
    <mergeCell ref="AQ18:AR18"/>
    <mergeCell ref="AY18:AZ18"/>
    <mergeCell ref="AQ17:AR17"/>
    <mergeCell ref="AY17:AZ17"/>
    <mergeCell ref="AY22:AZ22"/>
    <mergeCell ref="AQ21:AR21"/>
    <mergeCell ref="AY21:AZ21"/>
    <mergeCell ref="AQ20:AR20"/>
    <mergeCell ref="AY20:AZ20"/>
    <mergeCell ref="AQ26:AR26"/>
    <mergeCell ref="AQ25:AR25"/>
    <mergeCell ref="AQ22:AR22"/>
    <mergeCell ref="AQ19:AR19"/>
    <mergeCell ref="X35:Y35"/>
    <mergeCell ref="AJ60:AL60"/>
    <mergeCell ref="AJ62:AL62"/>
    <mergeCell ref="AJ63:AL63"/>
    <mergeCell ref="AJ64:AL64"/>
    <mergeCell ref="AJ65:AL65"/>
    <mergeCell ref="Z66:AA66"/>
    <mergeCell ref="AB66:AC66"/>
    <mergeCell ref="AD66:AE66"/>
    <mergeCell ref="X66:Y66"/>
    <mergeCell ref="J59:M59"/>
    <mergeCell ref="P59:S59"/>
    <mergeCell ref="AD60:AF60"/>
    <mergeCell ref="AD62:AF62"/>
    <mergeCell ref="AD63:AF63"/>
    <mergeCell ref="AD64:AF64"/>
    <mergeCell ref="AD65:AF65"/>
    <mergeCell ref="Z59:AL59"/>
    <mergeCell ref="V59:W59"/>
    <mergeCell ref="X59:Y59"/>
    <mergeCell ref="X61:Y61"/>
    <mergeCell ref="X62:Y62"/>
    <mergeCell ref="X65:Y65"/>
    <mergeCell ref="N59:O59"/>
    <mergeCell ref="N61:O61"/>
    <mergeCell ref="T61:U61"/>
    <mergeCell ref="N62:O62"/>
    <mergeCell ref="N63:O63"/>
    <mergeCell ref="N64:O64"/>
    <mergeCell ref="N65:O65"/>
    <mergeCell ref="N66:O66"/>
    <mergeCell ref="N67:O67"/>
    <mergeCell ref="N68:O68"/>
    <mergeCell ref="N69:O69"/>
    <mergeCell ref="N75:O75"/>
    <mergeCell ref="N70:O70"/>
    <mergeCell ref="X70:Y70"/>
    <mergeCell ref="X71:Y71"/>
    <mergeCell ref="X72:Y72"/>
    <mergeCell ref="X73:Y73"/>
    <mergeCell ref="X74:Y74"/>
    <mergeCell ref="X67:Y67"/>
    <mergeCell ref="X68:Y68"/>
    <mergeCell ref="X69:Y69"/>
    <mergeCell ref="G112:J112"/>
    <mergeCell ref="F111:K111"/>
    <mergeCell ref="T76:U76"/>
    <mergeCell ref="T77:U77"/>
    <mergeCell ref="N76:O76"/>
    <mergeCell ref="N77:O77"/>
    <mergeCell ref="T62:U62"/>
    <mergeCell ref="T63:U63"/>
    <mergeCell ref="T64:U64"/>
    <mergeCell ref="T65:U65"/>
    <mergeCell ref="T66:U66"/>
    <mergeCell ref="T67:U67"/>
    <mergeCell ref="T68:U68"/>
    <mergeCell ref="T69:U69"/>
    <mergeCell ref="T70:U70"/>
    <mergeCell ref="T71:U71"/>
    <mergeCell ref="T72:U72"/>
    <mergeCell ref="T73:U73"/>
    <mergeCell ref="T74:U74"/>
    <mergeCell ref="T75:U75"/>
    <mergeCell ref="N71:O71"/>
    <mergeCell ref="N72:O72"/>
    <mergeCell ref="N73:O73"/>
    <mergeCell ref="N74:O74"/>
  </mergeCells>
  <pageMargins left="0.70866141732283472" right="0.70866141732283472" top="0.74803149606299213" bottom="0.74803149606299213" header="0.31496062992125984" footer="0.31496062992125984"/>
  <pageSetup paperSize="9" scale="59" orientation="landscape" r:id="rId1"/>
  <ignoredErrors>
    <ignoredError sqref="P13:Q13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292</vt:i4>
      </vt:variant>
    </vt:vector>
  </HeadingPairs>
  <TitlesOfParts>
    <vt:vector size="301" baseType="lpstr">
      <vt:lpstr>BULLDOZER</vt:lpstr>
      <vt:lpstr>DESGARADORES</vt:lpstr>
      <vt:lpstr>COMPACT MAT GRANULAR</vt:lpstr>
      <vt:lpstr>CARGADOR FRONTAL</vt:lpstr>
      <vt:lpstr>RETROEXCAVADORA</vt:lpstr>
      <vt:lpstr>MOTONIVELADORA</vt:lpstr>
      <vt:lpstr>VOLQUETA</vt:lpstr>
      <vt:lpstr>CARROTANQUE</vt:lpstr>
      <vt:lpstr>DATOS FINAL</vt:lpstr>
      <vt:lpstr>____APERTURA_DE_ZANJAS_C</vt:lpstr>
      <vt:lpstr>____APERTURA_DE_ZANJAS_D</vt:lpstr>
      <vt:lpstr>____EXCAVACION_DE_GRAN_VOLUMEN_C</vt:lpstr>
      <vt:lpstr>____EXCAVACION_DE_GRAN_VOLUMEN_D</vt:lpstr>
      <vt:lpstr>____EXCAVACION_DE_SERVICIO_EXTREMADO_C</vt:lpstr>
      <vt:lpstr>____EXCAVACION_DE_SERVICIO_EXTREMADO_D</vt:lpstr>
      <vt:lpstr>____FRACTURA_DE_ROCAS_C</vt:lpstr>
      <vt:lpstr>____FRACTURA_DE_ROCAS_D</vt:lpstr>
      <vt:lpstr>____LIMPIEZA_DE_ZANJAS_C</vt:lpstr>
      <vt:lpstr>____LIMPIEZA_DE_ZANJAS_D</vt:lpstr>
      <vt:lpstr>____ROCAS_C</vt:lpstr>
      <vt:lpstr>____ROCAS_D</vt:lpstr>
      <vt:lpstr>____ROCAS_D____</vt:lpstr>
      <vt:lpstr>____SERVICIO_PESADO_C</vt:lpstr>
      <vt:lpstr>____SERVICIO_PESADO_D</vt:lpstr>
      <vt:lpstr>___EXCAVACION</vt:lpstr>
      <vt:lpstr>___EXCAVACION_</vt:lpstr>
      <vt:lpstr>___EXCAVACION_DE_SERVICIO_EXTREMADO_Y_EXCAVACION_EXTREMADA_CON_ACOPLADOR_RAPIDO</vt:lpstr>
      <vt:lpstr>___LIMPIEZA_DE_ZANJAS</vt:lpstr>
      <vt:lpstr>___SERVICIO_PESADO_ROCAS_B___</vt:lpstr>
      <vt:lpstr>___USO_GENERAL</vt:lpstr>
      <vt:lpstr>___ZANJEO</vt:lpstr>
      <vt:lpstr>__EXCAVACION</vt:lpstr>
      <vt:lpstr>__EXCAVACION__</vt:lpstr>
      <vt:lpstr>__EXCAVACION___</vt:lpstr>
      <vt:lpstr>__EXCAVACION_B</vt:lpstr>
      <vt:lpstr>__EXCAVACION_D</vt:lpstr>
      <vt:lpstr>__EXCAVACION_DE_SERVICIO_EXTREMADO</vt:lpstr>
      <vt:lpstr>__EXCAVACION_Y_EXCAVACION_CON_ACOPLADOR_RAPIDO</vt:lpstr>
      <vt:lpstr>__LIMPIEZA_DE_ZANJAS</vt:lpstr>
      <vt:lpstr>__LIMPIEZA_DE_ZANJAS_B</vt:lpstr>
      <vt:lpstr>__SERVICIO_PESADO</vt:lpstr>
      <vt:lpstr>__USO_GENERAL</vt:lpstr>
      <vt:lpstr>__UTILITARIO_Y_UTILITARIO_LIGERO</vt:lpstr>
      <vt:lpstr>__ZANJEO</vt:lpstr>
      <vt:lpstr>_APERTURA_DE_ZANJAS_F</vt:lpstr>
      <vt:lpstr>_EXCAVACION</vt:lpstr>
      <vt:lpstr>_EXCAVACION_</vt:lpstr>
      <vt:lpstr>_EXCAVACION__</vt:lpstr>
      <vt:lpstr>_EXCAVACION___</vt:lpstr>
      <vt:lpstr>_EXCAVACION_B</vt:lpstr>
      <vt:lpstr>_EXCAVACION_C</vt:lpstr>
      <vt:lpstr>_EXCAVACION_D</vt:lpstr>
      <vt:lpstr>_EXCAVACION_DE_SERVICIO_EXTREMADO</vt:lpstr>
      <vt:lpstr>_EXCAVACION_DE_SERVICIO_EXTREMADO_B</vt:lpstr>
      <vt:lpstr>_EXCAVACION_DE_SERVICIO_EXTREMADO_D</vt:lpstr>
      <vt:lpstr>_EXCAVACION_DE_SERVICIO_EXTREMADO_T</vt:lpstr>
      <vt:lpstr>_EXCAVACION_EN_V_G____</vt:lpstr>
      <vt:lpstr>_EXCAVACION_EN_V_U____</vt:lpstr>
      <vt:lpstr>_EXCAVACION_F</vt:lpstr>
      <vt:lpstr>_EXCAVACION_G</vt:lpstr>
      <vt:lpstr>_EXCAVACION_T</vt:lpstr>
      <vt:lpstr>_EXCAVACION_U</vt:lpstr>
      <vt:lpstr>_LIMPIEZA_DE_ZANJAS</vt:lpstr>
      <vt:lpstr>_LIMPIEZA_DE_ZANJAS_B</vt:lpstr>
      <vt:lpstr>_LIMPIEZA_DE_ZANJAS_D</vt:lpstr>
      <vt:lpstr>_ROCAS_B</vt:lpstr>
      <vt:lpstr>_SERVICIO_PESADO</vt:lpstr>
      <vt:lpstr>_SERVICIO_PESADO_B</vt:lpstr>
      <vt:lpstr>_SERVICIO_PESADO_D</vt:lpstr>
      <vt:lpstr>_SERVICIO_PESADO_ROCAS_C</vt:lpstr>
      <vt:lpstr>_SERVICIO_PESADO_ROCAS_D</vt:lpstr>
      <vt:lpstr>_USO_GENERAL</vt:lpstr>
      <vt:lpstr>_USO_GENERAL_B</vt:lpstr>
      <vt:lpstr>_USO_GENERAL_C</vt:lpstr>
      <vt:lpstr>_USO_GENERAL_D</vt:lpstr>
      <vt:lpstr>_USO_GENERAL_D_</vt:lpstr>
      <vt:lpstr>_UTILITARIO</vt:lpstr>
      <vt:lpstr>_UTILITARIO_B</vt:lpstr>
      <vt:lpstr>_UTILITARIO_D</vt:lpstr>
      <vt:lpstr>_UTILITARIO_LIGERO_B</vt:lpstr>
      <vt:lpstr>_UTILITARIO_LIGERO_D</vt:lpstr>
      <vt:lpstr>_ZANJEO</vt:lpstr>
      <vt:lpstr>APERTURA_DE_ZANJAS_D</vt:lpstr>
      <vt:lpstr>APERTURA_DE_ZANJAS_DE_SERVICIO_EXTREMADO_H</vt:lpstr>
      <vt:lpstr>APERTURA_DE_ZANJAS_F</vt:lpstr>
      <vt:lpstr>APERTURA_DE_ZANJAS_H</vt:lpstr>
      <vt:lpstr>APERTURA_DE_ZANJAS_J</vt:lpstr>
      <vt:lpstr>ARCILLA_100</vt:lpstr>
      <vt:lpstr>ARENA_100</vt:lpstr>
      <vt:lpstr>ARENA_ARCILLA_50</vt:lpstr>
      <vt:lpstr>CORTE_DE_MALEZA</vt:lpstr>
      <vt:lpstr>D10R</vt:lpstr>
      <vt:lpstr>D10R_</vt:lpstr>
      <vt:lpstr>D11R</vt:lpstr>
      <vt:lpstr>D11R_</vt:lpstr>
      <vt:lpstr>D11R_CD</vt:lpstr>
      <vt:lpstr>D11R_CD_</vt:lpstr>
      <vt:lpstr>D3C_LGP_SERIE_III</vt:lpstr>
      <vt:lpstr>D3C_SERIE_III</vt:lpstr>
      <vt:lpstr>D3C_SERIE_III_</vt:lpstr>
      <vt:lpstr>D3C_XL_SERIE_III</vt:lpstr>
      <vt:lpstr>D4C_LGP_SERIE_III</vt:lpstr>
      <vt:lpstr>D4C_SERIE_III</vt:lpstr>
      <vt:lpstr>D4C_SERIE_III_</vt:lpstr>
      <vt:lpstr>D4C_XL_SERIE_III</vt:lpstr>
      <vt:lpstr>D5C_LGP_SERIE_III</vt:lpstr>
      <vt:lpstr>D5C_SERIE_III</vt:lpstr>
      <vt:lpstr>D5C_SERIE_III_</vt:lpstr>
      <vt:lpstr>D5C_XL_SERIE_III</vt:lpstr>
      <vt:lpstr>D5E</vt:lpstr>
      <vt:lpstr>D5M_LGP</vt:lpstr>
      <vt:lpstr>D5M_LGP_</vt:lpstr>
      <vt:lpstr>D5M_XL</vt:lpstr>
      <vt:lpstr>D5M_XL_</vt:lpstr>
      <vt:lpstr>D6G</vt:lpstr>
      <vt:lpstr>D6G_</vt:lpstr>
      <vt:lpstr>D6M_LGP</vt:lpstr>
      <vt:lpstr>D6M_LGP_</vt:lpstr>
      <vt:lpstr>D6M_XL</vt:lpstr>
      <vt:lpstr>D6M_XL_</vt:lpstr>
      <vt:lpstr>D6R</vt:lpstr>
      <vt:lpstr>D6R_</vt:lpstr>
      <vt:lpstr>D6R_LGP</vt:lpstr>
      <vt:lpstr>D6R_XL</vt:lpstr>
      <vt:lpstr>D6R_XL_</vt:lpstr>
      <vt:lpstr>D6R_XL_IG</vt:lpstr>
      <vt:lpstr>D6R_XR</vt:lpstr>
      <vt:lpstr>D7G</vt:lpstr>
      <vt:lpstr>D7G_</vt:lpstr>
      <vt:lpstr>D7R</vt:lpstr>
      <vt:lpstr>D7R_</vt:lpstr>
      <vt:lpstr>D7R_LGP</vt:lpstr>
      <vt:lpstr>D7R_XR</vt:lpstr>
      <vt:lpstr>D8R</vt:lpstr>
      <vt:lpstr>D8R_</vt:lpstr>
      <vt:lpstr>D8R_LGP</vt:lpstr>
      <vt:lpstr>D9R</vt:lpstr>
      <vt:lpstr>D9R_</vt:lpstr>
      <vt:lpstr>E_301.5</vt:lpstr>
      <vt:lpstr>E_301.6</vt:lpstr>
      <vt:lpstr>E_301.8</vt:lpstr>
      <vt:lpstr>E_302.5</vt:lpstr>
      <vt:lpstr>E_303.5</vt:lpstr>
      <vt:lpstr>E_304.5</vt:lpstr>
      <vt:lpstr>E_307B</vt:lpstr>
      <vt:lpstr>E_307B_SB</vt:lpstr>
      <vt:lpstr>E_311B</vt:lpstr>
      <vt:lpstr>E_312B</vt:lpstr>
      <vt:lpstr>E_313B_CR</vt:lpstr>
      <vt:lpstr>E_315B</vt:lpstr>
      <vt:lpstr>E_315B_L</vt:lpstr>
      <vt:lpstr>E_317B_L</vt:lpstr>
      <vt:lpstr>E_318B_L</vt:lpstr>
      <vt:lpstr>E_318B_LN</vt:lpstr>
      <vt:lpstr>E_320C</vt:lpstr>
      <vt:lpstr>E_322B</vt:lpstr>
      <vt:lpstr>E_325B</vt:lpstr>
      <vt:lpstr>E_330B</vt:lpstr>
      <vt:lpstr>E_345B</vt:lpstr>
      <vt:lpstr>E_345B_SERIE_II</vt:lpstr>
      <vt:lpstr>E_365B_L</vt:lpstr>
      <vt:lpstr>E_375</vt:lpstr>
      <vt:lpstr>E_M312</vt:lpstr>
      <vt:lpstr>E_M315</vt:lpstr>
      <vt:lpstr>E_M318</vt:lpstr>
      <vt:lpstr>E_M320</vt:lpstr>
      <vt:lpstr>EXCAVACION</vt:lpstr>
      <vt:lpstr>EXCAVACION_</vt:lpstr>
      <vt:lpstr>EXCAVACION__</vt:lpstr>
      <vt:lpstr>EXCAVACION___</vt:lpstr>
      <vt:lpstr>EXCAVACION_B</vt:lpstr>
      <vt:lpstr>EXCAVACION_C</vt:lpstr>
      <vt:lpstr>EXCAVACION_D</vt:lpstr>
      <vt:lpstr>EXCAVACION_DE_GRAN_VOLUMEN_C</vt:lpstr>
      <vt:lpstr>EXCAVACION_DE_GRAN_VOLUMEN_D</vt:lpstr>
      <vt:lpstr>EXCAVACION_DE_GRAN_VOLUMEN_E</vt:lpstr>
      <vt:lpstr>EXCAVACION_DE_GRAN_VOLUMEN_J</vt:lpstr>
      <vt:lpstr>EXCAVACION_DE_SERVICIO_EXTREMADO</vt:lpstr>
      <vt:lpstr>EXCAVACION_DE_SERVICIO_EXTREMADO_</vt:lpstr>
      <vt:lpstr>EXCAVACION_DE_SERVICIO_EXTREMADO__</vt:lpstr>
      <vt:lpstr>EXCAVACION_DE_SERVICIO_EXTREMADO___</vt:lpstr>
      <vt:lpstr>EXCAVACION_DE_SERVICIO_EXTREMADO_B</vt:lpstr>
      <vt:lpstr>EXCAVACION_DE_SERVICIO_EXTREMADO_C</vt:lpstr>
      <vt:lpstr>EXCAVACION_DE_SERVICIO_EXTREMADO_D</vt:lpstr>
      <vt:lpstr>EXCAVACION_DE_SERVICIO_EXTREMADO_E</vt:lpstr>
      <vt:lpstr>EXCAVACION_DE_SERVICIO_EXTREMADO_J</vt:lpstr>
      <vt:lpstr>EXCAVACION_DE_SERVICIO_EXTREMADO_S</vt:lpstr>
      <vt:lpstr>EXCAVACION_DE_USO_SERVICIO_EXTREMADO_V</vt:lpstr>
      <vt:lpstr>EXCAVACION_DE_USO_SERVICIO_EXTREMADO_W</vt:lpstr>
      <vt:lpstr>EXCAVACION_E</vt:lpstr>
      <vt:lpstr>EXCAVACION_EN_V_DE_GRAN_VOLUMEN_J</vt:lpstr>
      <vt:lpstr>EXCAVACION_EN_V_G</vt:lpstr>
      <vt:lpstr>EXCAVACION_EN_V_J</vt:lpstr>
      <vt:lpstr>EXCAVACION_EN_V_U</vt:lpstr>
      <vt:lpstr>EXCAVACION_EN_V_W</vt:lpstr>
      <vt:lpstr>EXCAVACION_EXTREMADA</vt:lpstr>
      <vt:lpstr>EXCAVACION_EXTREMADA_T</vt:lpstr>
      <vt:lpstr>EXCAVACION_F</vt:lpstr>
      <vt:lpstr>EXCAVACION_G</vt:lpstr>
      <vt:lpstr>EXCAVACION_H</vt:lpstr>
      <vt:lpstr>EXCAVACION_J</vt:lpstr>
      <vt:lpstr>EXCAVACION_S</vt:lpstr>
      <vt:lpstr>EXCAVACION_T</vt:lpstr>
      <vt:lpstr>EXCAVACION_U</vt:lpstr>
      <vt:lpstr>EXCAVACION_V</vt:lpstr>
      <vt:lpstr>EXCAVACION_W</vt:lpstr>
      <vt:lpstr>F_902</vt:lpstr>
      <vt:lpstr>F_906</vt:lpstr>
      <vt:lpstr>F_908</vt:lpstr>
      <vt:lpstr>F_914G</vt:lpstr>
      <vt:lpstr>F_924G_CON_PASADOR</vt:lpstr>
      <vt:lpstr>F_924GZ</vt:lpstr>
      <vt:lpstr>F_926G</vt:lpstr>
      <vt:lpstr>F_928G</vt:lpstr>
      <vt:lpstr>F_938G</vt:lpstr>
      <vt:lpstr>F_950G</vt:lpstr>
      <vt:lpstr>F_966G</vt:lpstr>
      <vt:lpstr>F_972G</vt:lpstr>
      <vt:lpstr>F_980G</vt:lpstr>
      <vt:lpstr>F_988G</vt:lpstr>
      <vt:lpstr>F_990_SERIE_II</vt:lpstr>
      <vt:lpstr>F_992G</vt:lpstr>
      <vt:lpstr>F_994D</vt:lpstr>
      <vt:lpstr>FRACTURA_DE_ROCAS_F</vt:lpstr>
      <vt:lpstr>FRACTURAS_DE_ROCAS_D</vt:lpstr>
      <vt:lpstr>LIMPIEZA_DE_ZANJAS</vt:lpstr>
      <vt:lpstr>LIMPIEZA_DE_ZANJAS_B</vt:lpstr>
      <vt:lpstr>LIMPIEZA_DE_ZANJAS_C</vt:lpstr>
      <vt:lpstr>LIMPIEZA_DE_ZANJAS_D</vt:lpstr>
      <vt:lpstr>LIMPIEZA_DE_ZANJAS_D_</vt:lpstr>
      <vt:lpstr>LIMPIEZA_DE_ZANJAS_S</vt:lpstr>
      <vt:lpstr>LIMPIEZA_DE_ZANJAS_S_</vt:lpstr>
      <vt:lpstr>MODELOS_2</vt:lpstr>
      <vt:lpstr>MODELOS_3</vt:lpstr>
      <vt:lpstr>MODELOS_4</vt:lpstr>
      <vt:lpstr>MODELOS_BULLDOZER</vt:lpstr>
      <vt:lpstr>MOTONIVELADORAS</vt:lpstr>
      <vt:lpstr>REDOMENDACION</vt:lpstr>
      <vt:lpstr>RETROEXCAVADORAS</vt:lpstr>
      <vt:lpstr>ROCA</vt:lpstr>
      <vt:lpstr>ROCAS_B</vt:lpstr>
      <vt:lpstr>ROCAS_C</vt:lpstr>
      <vt:lpstr>ROCAS_D</vt:lpstr>
      <vt:lpstr>ROCAS_DÇ</vt:lpstr>
      <vt:lpstr>ROCAS_E</vt:lpstr>
      <vt:lpstr>ROCAS_H</vt:lpstr>
      <vt:lpstr>ROCAS_J</vt:lpstr>
      <vt:lpstr>ROCAS_S</vt:lpstr>
      <vt:lpstr>ROCAS_V</vt:lpstr>
      <vt:lpstr>ROCAS_W</vt:lpstr>
      <vt:lpstr>ROCAS_Y_ROCAS_CON_ACOPLADOR_RAPIDO</vt:lpstr>
      <vt:lpstr>SERVICIO_PESADO</vt:lpstr>
      <vt:lpstr>SERVICIO_PESADO_B</vt:lpstr>
      <vt:lpstr>SERVICIO_PESADO_C</vt:lpstr>
      <vt:lpstr>SERVICIO_PESADO_D</vt:lpstr>
      <vt:lpstr>SERVICIO_PESADO_E</vt:lpstr>
      <vt:lpstr>SERVICIO_PESADO_F</vt:lpstr>
      <vt:lpstr>SERVICIO_PESADO_H</vt:lpstr>
      <vt:lpstr>SERVICIO_PESADO_ROCAS_B</vt:lpstr>
      <vt:lpstr>SERVICIO_PESADO_ROCAS_C</vt:lpstr>
      <vt:lpstr>SERVICIO_PESADO_ROCAS_D</vt:lpstr>
      <vt:lpstr>SERVICIO_PESADO_ROCAS_D____</vt:lpstr>
      <vt:lpstr>SERVICIO_PESADO_ROCAS_F</vt:lpstr>
      <vt:lpstr>SERVICIO_PESADO_ROCAS_G</vt:lpstr>
      <vt:lpstr>SERVICIO_PESADO_ROCAS_J</vt:lpstr>
      <vt:lpstr>SERVICIO_PESADO_ROCAS_S</vt:lpstr>
      <vt:lpstr>SERVICIO_PESADO_ROCAS_V</vt:lpstr>
      <vt:lpstr>SERVICIO_PESADO_ROCAS_W</vt:lpstr>
      <vt:lpstr>SERVICIO_PESADO_S</vt:lpstr>
      <vt:lpstr>SERVICIO_PESADO_V</vt:lpstr>
      <vt:lpstr>TRAPEZOIDAL</vt:lpstr>
      <vt:lpstr>USO_GENERAL</vt:lpstr>
      <vt:lpstr>USO_GENERAL_</vt:lpstr>
      <vt:lpstr>USO_GENERAL__</vt:lpstr>
      <vt:lpstr>USO_GENERAL___</vt:lpstr>
      <vt:lpstr>USO_GENERAL_B</vt:lpstr>
      <vt:lpstr>USO_GENERAL_C</vt:lpstr>
      <vt:lpstr>USO_GENERAL_D</vt:lpstr>
      <vt:lpstr>USO_GENERAL_F</vt:lpstr>
      <vt:lpstr>USO_GENERAL_G</vt:lpstr>
      <vt:lpstr>USO_GENERAL_J</vt:lpstr>
      <vt:lpstr>USO_GENERAL_S</vt:lpstr>
      <vt:lpstr>USO_GENERAL_V</vt:lpstr>
      <vt:lpstr>UTILITARIO</vt:lpstr>
      <vt:lpstr>UTILITARIO_B</vt:lpstr>
      <vt:lpstr>UTILITARIO_C</vt:lpstr>
      <vt:lpstr>UTILITARIO_C____</vt:lpstr>
      <vt:lpstr>UTILITARIO_D</vt:lpstr>
      <vt:lpstr>UTILITARIO_D____</vt:lpstr>
      <vt:lpstr>UTILITARIO_LIGERO</vt:lpstr>
      <vt:lpstr>UTILITARIO_LIGERO_B</vt:lpstr>
      <vt:lpstr>UTILITARIO_LIGERO_C</vt:lpstr>
      <vt:lpstr>UTILITARIO_LIGERO_C____</vt:lpstr>
      <vt:lpstr>UTILITARIO_LIGERO_D</vt:lpstr>
      <vt:lpstr>UTILITARIO_LIGERO_D____</vt:lpstr>
      <vt:lpstr>UTILITARIO_LIGERO_S</vt:lpstr>
      <vt:lpstr>UTILITARIO_S</vt:lpstr>
      <vt:lpstr>XA</vt:lpstr>
      <vt:lpstr>ZANJEO</vt:lpstr>
      <vt:lpstr>ZANJEO_</vt:lpstr>
      <vt:lpstr>ZANJEO__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2017-07-17T16:37:36Z</dcterms:modified>
</cp:coreProperties>
</file>