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isepipp-my.sharepoint.com/personal/1211199_isep_ipp_pt/Documents/22-23/2semestre/RCMOP/rcomp-23-24-dg-g3/doc/"/>
    </mc:Choice>
  </mc:AlternateContent>
  <xr:revisionPtr revIDLastSave="0" documentId="8_{8AB53C7A-6B37-489F-BAAA-177644CE0DAB}" xr6:coauthVersionLast="47" xr6:coauthVersionMax="47" xr10:uidLastSave="{00000000-0000-0000-0000-000000000000}"/>
  <bookViews>
    <workbookView xWindow="-120" yWindow="-120" windowWidth="29040" windowHeight="15840" activeTab="4" xr2:uid="{00000000-000D-0000-FFFF-FFFF00000000}"/>
  </bookViews>
  <sheets>
    <sheet name="Building1" sheetId="1" r:id="rId1"/>
    <sheet name="Building2" sheetId="2" r:id="rId2"/>
    <sheet name="Building3" sheetId="3" r:id="rId3"/>
    <sheet name="Building4" sheetId="4" r:id="rId4"/>
    <sheet name="Inventario"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5" l="1"/>
  <c r="F14" i="5"/>
  <c r="H14" i="5" s="1"/>
  <c r="F15" i="5"/>
  <c r="V23" i="3"/>
  <c r="J87" i="2"/>
  <c r="J41" i="2"/>
  <c r="F13" i="5"/>
  <c r="F9" i="5"/>
  <c r="F8" i="5"/>
  <c r="AF87" i="4"/>
  <c r="AF86" i="4"/>
  <c r="AR7" i="4"/>
  <c r="Y9" i="1"/>
  <c r="AQ93" i="4"/>
  <c r="AQ94" i="4"/>
  <c r="AQ95" i="4"/>
  <c r="AQ96" i="4"/>
  <c r="AQ97" i="4"/>
  <c r="AQ98" i="4"/>
  <c r="AQ99" i="4"/>
  <c r="AQ100" i="4"/>
  <c r="AQ101" i="4"/>
  <c r="AQ102" i="4"/>
  <c r="AQ103" i="4"/>
  <c r="AQ104" i="4"/>
  <c r="AQ105" i="4"/>
  <c r="AQ106" i="4"/>
  <c r="AQ107" i="4"/>
  <c r="AQ108" i="4"/>
  <c r="AQ109" i="4"/>
  <c r="AQ110" i="4"/>
  <c r="AQ111" i="4"/>
  <c r="AQ112" i="4"/>
  <c r="AQ113" i="4"/>
  <c r="AQ114" i="4"/>
  <c r="AQ115" i="4"/>
  <c r="AQ116" i="4"/>
  <c r="AQ117" i="4"/>
  <c r="AQ118" i="4"/>
  <c r="AQ119" i="4"/>
  <c r="AQ120" i="4"/>
  <c r="AQ121" i="4"/>
  <c r="AQ122" i="4"/>
  <c r="AQ123" i="4"/>
  <c r="AQ124" i="4"/>
  <c r="AQ125" i="4"/>
  <c r="AQ126" i="4"/>
  <c r="AQ127" i="4"/>
  <c r="AQ128" i="4"/>
  <c r="AQ81" i="4"/>
  <c r="AQ82" i="4"/>
  <c r="AQ83" i="4"/>
  <c r="AQ84" i="4"/>
  <c r="AQ85" i="4"/>
  <c r="AQ86" i="4"/>
  <c r="AQ87" i="4"/>
  <c r="AQ88" i="4"/>
  <c r="AQ89" i="4"/>
  <c r="AQ90" i="4"/>
  <c r="AQ91" i="4"/>
  <c r="AQ92" i="4"/>
  <c r="AQ50" i="4"/>
  <c r="AQ51" i="4"/>
  <c r="AQ52" i="4"/>
  <c r="AQ53" i="4"/>
  <c r="AQ54" i="4"/>
  <c r="AQ55" i="4"/>
  <c r="AQ56" i="4"/>
  <c r="AQ57" i="4"/>
  <c r="AQ58" i="4"/>
  <c r="AQ59" i="4"/>
  <c r="AQ60" i="4"/>
  <c r="AQ61" i="4"/>
  <c r="AQ62" i="4"/>
  <c r="AQ63" i="4"/>
  <c r="AQ64" i="4"/>
  <c r="AQ65" i="4"/>
  <c r="AQ66" i="4"/>
  <c r="AQ67" i="4"/>
  <c r="AQ68" i="4"/>
  <c r="AQ69" i="4"/>
  <c r="AQ70" i="4"/>
  <c r="AQ71" i="4"/>
  <c r="AQ72" i="4"/>
  <c r="AQ73" i="4"/>
  <c r="AQ74" i="4"/>
  <c r="AQ75" i="4"/>
  <c r="AQ76" i="4"/>
  <c r="AQ77" i="4"/>
  <c r="AQ78" i="4"/>
  <c r="AQ79" i="4"/>
  <c r="AQ80" i="4"/>
  <c r="AQ44" i="4"/>
  <c r="AQ45" i="4"/>
  <c r="AQ46" i="4"/>
  <c r="AQ47" i="4"/>
  <c r="AQ48" i="4"/>
  <c r="AQ49" i="4"/>
  <c r="AQ34" i="4"/>
  <c r="AQ35" i="4"/>
  <c r="AQ36" i="4"/>
  <c r="AQ37" i="4"/>
  <c r="AQ38" i="4"/>
  <c r="AQ39" i="4"/>
  <c r="AQ40" i="4"/>
  <c r="AQ41" i="4"/>
  <c r="AQ42" i="4"/>
  <c r="AQ43" i="4"/>
  <c r="AQ28" i="4"/>
  <c r="AQ29" i="4"/>
  <c r="AQ30" i="4"/>
  <c r="AQ31" i="4"/>
  <c r="AQ32" i="4"/>
  <c r="AQ33" i="4"/>
  <c r="AQ22" i="4"/>
  <c r="AQ23" i="4"/>
  <c r="AQ24" i="4"/>
  <c r="AQ25" i="4"/>
  <c r="AQ26" i="4"/>
  <c r="AQ27" i="4"/>
  <c r="AQ8" i="4"/>
  <c r="AQ9" i="4"/>
  <c r="AQ10" i="4"/>
  <c r="AQ11" i="4"/>
  <c r="AQ12" i="4"/>
  <c r="AQ13" i="4"/>
  <c r="AQ14" i="4"/>
  <c r="AQ15" i="4"/>
  <c r="AQ16" i="4"/>
  <c r="AQ17" i="4"/>
  <c r="AQ18" i="4"/>
  <c r="AQ19" i="4"/>
  <c r="AQ20" i="4"/>
  <c r="AQ21" i="4"/>
  <c r="AQ7" i="4"/>
  <c r="AG7" i="4"/>
  <c r="AF77" i="4"/>
  <c r="AF78" i="4"/>
  <c r="AF79" i="4"/>
  <c r="AF80" i="4"/>
  <c r="AF81" i="4"/>
  <c r="AF82" i="4"/>
  <c r="AF70" i="4"/>
  <c r="AF71" i="4"/>
  <c r="AF72" i="4"/>
  <c r="AF73" i="4"/>
  <c r="AF74" i="4"/>
  <c r="AF75" i="4"/>
  <c r="AF76" i="4"/>
  <c r="AF64" i="4"/>
  <c r="AF65" i="4"/>
  <c r="AF66" i="4"/>
  <c r="AF67" i="4"/>
  <c r="AF68" i="4"/>
  <c r="AF69" i="4"/>
  <c r="AF59" i="4"/>
  <c r="AF60" i="4"/>
  <c r="AF61" i="4"/>
  <c r="AF62" i="4"/>
  <c r="AF63" i="4"/>
  <c r="AF58" i="4"/>
  <c r="AF52" i="4"/>
  <c r="AF53" i="4"/>
  <c r="AF54" i="4"/>
  <c r="AF55" i="4"/>
  <c r="AF56" i="4"/>
  <c r="AF57" i="4"/>
  <c r="AF46" i="4"/>
  <c r="AF47" i="4"/>
  <c r="AF48" i="4"/>
  <c r="AF49" i="4"/>
  <c r="AF50" i="4"/>
  <c r="AF51" i="4"/>
  <c r="AF40" i="4"/>
  <c r="AF41" i="4"/>
  <c r="AF42" i="4"/>
  <c r="AF43" i="4"/>
  <c r="AF44" i="4"/>
  <c r="AF45" i="4"/>
  <c r="V27" i="3"/>
  <c r="V62" i="3"/>
  <c r="AF34" i="4"/>
  <c r="AF35" i="4"/>
  <c r="AF36" i="4"/>
  <c r="AF37" i="4"/>
  <c r="AF38" i="4"/>
  <c r="AF39" i="4"/>
  <c r="AF33" i="4"/>
  <c r="H9" i="5"/>
  <c r="H13" i="5"/>
  <c r="R66" i="3"/>
  <c r="H10" i="5"/>
  <c r="H11" i="5"/>
  <c r="H12" i="5"/>
  <c r="H15" i="5"/>
  <c r="H8" i="5"/>
  <c r="U61" i="1"/>
  <c r="T61" i="1"/>
  <c r="V61" i="1"/>
  <c r="V62" i="1" s="1"/>
  <c r="V60" i="1"/>
  <c r="V59" i="1"/>
  <c r="U60" i="1"/>
  <c r="T60" i="1"/>
  <c r="U59" i="1"/>
  <c r="W54" i="1"/>
  <c r="M64" i="1"/>
  <c r="AI9" i="1"/>
  <c r="M61" i="1"/>
  <c r="M62" i="1"/>
  <c r="M63" i="1"/>
  <c r="M65" i="1"/>
  <c r="M60" i="1"/>
  <c r="M59" i="1"/>
  <c r="AR5" i="3"/>
  <c r="AK18" i="3"/>
  <c r="AL18" i="3" s="1"/>
  <c r="AK17" i="3"/>
  <c r="AK16" i="3"/>
  <c r="AL16" i="3" s="1"/>
  <c r="AK15" i="3"/>
  <c r="AK14" i="3"/>
  <c r="AK13" i="3"/>
  <c r="AK12" i="3"/>
  <c r="AL12" i="3" s="1"/>
  <c r="AK11" i="3"/>
  <c r="AK10" i="3"/>
  <c r="AV13" i="3"/>
  <c r="AV12" i="3"/>
  <c r="AV11" i="3"/>
  <c r="AV10" i="3"/>
  <c r="T72" i="3"/>
  <c r="S72" i="3"/>
  <c r="AK5" i="3"/>
  <c r="S77" i="3"/>
  <c r="O102" i="2"/>
  <c r="O100" i="2"/>
  <c r="U72" i="3"/>
  <c r="O98" i="2"/>
  <c r="R79" i="2"/>
  <c r="Y10" i="1"/>
  <c r="AQ79" i="3"/>
  <c r="AQ75" i="3"/>
  <c r="AQ71" i="3"/>
  <c r="AS79" i="3"/>
  <c r="AQ83" i="3"/>
  <c r="AQ86" i="3"/>
  <c r="AQ85" i="3"/>
  <c r="AQ84" i="3"/>
  <c r="AS83" i="3"/>
  <c r="AQ82" i="3"/>
  <c r="AS82" i="3" s="1"/>
  <c r="AQ81" i="3"/>
  <c r="AS81" i="3" s="1"/>
  <c r="AQ80" i="3"/>
  <c r="AQ78" i="3"/>
  <c r="AS78" i="3" s="1"/>
  <c r="AQ77" i="3"/>
  <c r="AQ76" i="3"/>
  <c r="AQ74" i="3"/>
  <c r="AQ73" i="3"/>
  <c r="AQ72" i="3"/>
  <c r="AQ70" i="3"/>
  <c r="AQ69" i="3"/>
  <c r="AQ68" i="3"/>
  <c r="AQ67" i="3"/>
  <c r="AQ66" i="3"/>
  <c r="AQ65" i="3"/>
  <c r="AQ64" i="3"/>
  <c r="AS64" i="3" s="1"/>
  <c r="AQ63" i="3"/>
  <c r="AS63" i="3" s="1"/>
  <c r="AQ62" i="3"/>
  <c r="AS62" i="3" s="1"/>
  <c r="AQ61" i="3"/>
  <c r="AQ60" i="3"/>
  <c r="AQ59" i="3"/>
  <c r="AQ58" i="3"/>
  <c r="AS58" i="3" s="1"/>
  <c r="AQ57" i="3"/>
  <c r="AQ56" i="3"/>
  <c r="AQ55" i="3"/>
  <c r="AQ54" i="3"/>
  <c r="AQ53" i="3"/>
  <c r="AQ52" i="3"/>
  <c r="AQ51" i="3"/>
  <c r="AQ50" i="3"/>
  <c r="AS50" i="3" s="1"/>
  <c r="AQ49" i="3"/>
  <c r="AS49" i="3" s="1"/>
  <c r="AQ48" i="3"/>
  <c r="AQ47" i="3"/>
  <c r="AQ46" i="3"/>
  <c r="AQ45" i="3"/>
  <c r="AQ44" i="3"/>
  <c r="AQ43" i="3"/>
  <c r="AS43" i="3" s="1"/>
  <c r="AQ40" i="3"/>
  <c r="AQ41" i="3"/>
  <c r="AQ42" i="3"/>
  <c r="AS41" i="3"/>
  <c r="AQ6" i="3"/>
  <c r="AQ5" i="3"/>
  <c r="AS40" i="3"/>
  <c r="AQ39" i="3"/>
  <c r="AS39" i="3" s="1"/>
  <c r="AQ38" i="3"/>
  <c r="AQ37" i="3"/>
  <c r="AS37" i="3" s="1"/>
  <c r="AQ36" i="3"/>
  <c r="AQ35" i="3"/>
  <c r="AS35" i="3" s="1"/>
  <c r="AS38" i="3"/>
  <c r="AQ34" i="3"/>
  <c r="AQ33" i="3"/>
  <c r="AQ32" i="3"/>
  <c r="AQ31" i="3"/>
  <c r="W52" i="1"/>
  <c r="V52" i="1"/>
  <c r="AQ30" i="3"/>
  <c r="AQ29" i="3"/>
  <c r="AS29" i="3" s="1"/>
  <c r="AQ28" i="3"/>
  <c r="AS28" i="3" s="1"/>
  <c r="AQ27" i="3"/>
  <c r="AQ26" i="3"/>
  <c r="AQ25" i="3"/>
  <c r="AQ24" i="3"/>
  <c r="AS24" i="3" s="1"/>
  <c r="AQ23" i="3"/>
  <c r="AS23" i="3" s="1"/>
  <c r="AQ22" i="3"/>
  <c r="AS22" i="3" s="1"/>
  <c r="AQ21" i="3"/>
  <c r="AS21" i="3" s="1"/>
  <c r="AQ20" i="3"/>
  <c r="AQ19" i="3"/>
  <c r="AS19" i="3" s="1"/>
  <c r="U52" i="1"/>
  <c r="AQ18" i="3"/>
  <c r="AS18" i="3" s="1"/>
  <c r="AQ17" i="3"/>
  <c r="AQ16" i="3"/>
  <c r="AS16" i="3"/>
  <c r="AQ15" i="3"/>
  <c r="AQ14" i="3"/>
  <c r="AQ13" i="3"/>
  <c r="X46" i="1"/>
  <c r="AQ12" i="3"/>
  <c r="AQ11" i="3"/>
  <c r="AS11" i="3" s="1"/>
  <c r="AQ10" i="3"/>
  <c r="X38" i="1"/>
  <c r="X32" i="1"/>
  <c r="AQ9" i="3"/>
  <c r="AS9" i="3"/>
  <c r="AQ8" i="3"/>
  <c r="X25" i="1"/>
  <c r="AQ7" i="3"/>
  <c r="X18" i="1"/>
  <c r="X13" i="1"/>
  <c r="AS7" i="3"/>
  <c r="W51" i="1"/>
  <c r="V51" i="1"/>
  <c r="AR9" i="3"/>
  <c r="AR8" i="3"/>
  <c r="AR7" i="3"/>
  <c r="AR6" i="3"/>
  <c r="V15" i="1"/>
  <c r="W15" i="1" s="1"/>
  <c r="V34" i="1"/>
  <c r="U34" i="1"/>
  <c r="AS6" i="3"/>
  <c r="AS8" i="3"/>
  <c r="AS10" i="3"/>
  <c r="AS12" i="3"/>
  <c r="AS13" i="3"/>
  <c r="AS14" i="3"/>
  <c r="AS15" i="3"/>
  <c r="AS17" i="3"/>
  <c r="AS20" i="3"/>
  <c r="AS25" i="3"/>
  <c r="AS26" i="3"/>
  <c r="AS27" i="3"/>
  <c r="AS30" i="3"/>
  <c r="AS31" i="3"/>
  <c r="AS32" i="3"/>
  <c r="AS33" i="3"/>
  <c r="AS34" i="3"/>
  <c r="AS36" i="3"/>
  <c r="AS42" i="3"/>
  <c r="AS44" i="3"/>
  <c r="AS45" i="3"/>
  <c r="AS46" i="3"/>
  <c r="AS47" i="3"/>
  <c r="AS48" i="3"/>
  <c r="AS51" i="3"/>
  <c r="AS52" i="3"/>
  <c r="AS53" i="3"/>
  <c r="AS54" i="3"/>
  <c r="AS55" i="3"/>
  <c r="AS56" i="3"/>
  <c r="AS57" i="3"/>
  <c r="AS59" i="3"/>
  <c r="AS60" i="3"/>
  <c r="AS61" i="3"/>
  <c r="AS65" i="3"/>
  <c r="AS66" i="3"/>
  <c r="AS67" i="3"/>
  <c r="AS68" i="3"/>
  <c r="AS69" i="3"/>
  <c r="AS70" i="3"/>
  <c r="AS71" i="3"/>
  <c r="AS72" i="3"/>
  <c r="AS73" i="3"/>
  <c r="AS74" i="3"/>
  <c r="AS75" i="3"/>
  <c r="AS76" i="3"/>
  <c r="AS77" i="3"/>
  <c r="AS80" i="3"/>
  <c r="AS84" i="3"/>
  <c r="AS85" i="3"/>
  <c r="AS86" i="3"/>
  <c r="AJ5" i="3"/>
  <c r="V50" i="1"/>
  <c r="V49" i="1"/>
  <c r="V48" i="1"/>
  <c r="V40" i="1"/>
  <c r="W40" i="1"/>
  <c r="V39" i="1"/>
  <c r="W39" i="1" s="1"/>
  <c r="W35" i="1"/>
  <c r="W36" i="1"/>
  <c r="W37" i="1"/>
  <c r="W38" i="1"/>
  <c r="U27" i="1"/>
  <c r="U26" i="1"/>
  <c r="U25" i="1"/>
  <c r="W25" i="1" s="1"/>
  <c r="U24" i="1"/>
  <c r="W24" i="1" s="1"/>
  <c r="U23" i="1"/>
  <c r="W23" i="1" s="1"/>
  <c r="U22" i="1"/>
  <c r="W22" i="1"/>
  <c r="U21" i="1"/>
  <c r="U20" i="1"/>
  <c r="W20" i="1"/>
  <c r="W21" i="1"/>
  <c r="W26" i="1"/>
  <c r="U19" i="1"/>
  <c r="U18" i="1"/>
  <c r="W18" i="1"/>
  <c r="U17" i="1"/>
  <c r="W17" i="1" s="1"/>
  <c r="U16" i="1"/>
  <c r="W16" i="1" s="1"/>
  <c r="V14" i="1"/>
  <c r="W14" i="1" s="1"/>
  <c r="V13" i="1"/>
  <c r="U10" i="1"/>
  <c r="W10" i="1" s="1"/>
  <c r="U11" i="1"/>
  <c r="W11" i="1" s="1"/>
  <c r="U12" i="1"/>
  <c r="W12" i="1" s="1"/>
  <c r="U13" i="1"/>
  <c r="U14" i="1"/>
  <c r="U15" i="1"/>
  <c r="U9" i="1"/>
  <c r="AF27" i="4"/>
  <c r="AF28" i="4"/>
  <c r="AF29" i="4"/>
  <c r="AF30" i="4"/>
  <c r="AF31" i="4"/>
  <c r="AF32" i="4"/>
  <c r="AF13" i="4"/>
  <c r="AF26" i="4"/>
  <c r="AF14" i="4"/>
  <c r="AF15" i="4"/>
  <c r="AF16" i="4"/>
  <c r="AF17" i="4"/>
  <c r="AF18" i="4"/>
  <c r="AF19" i="4"/>
  <c r="AF20" i="4"/>
  <c r="AF21" i="4"/>
  <c r="AF22" i="4"/>
  <c r="AF23" i="4"/>
  <c r="AF24" i="4"/>
  <c r="AF25" i="4"/>
  <c r="AF8" i="4"/>
  <c r="AF9" i="4"/>
  <c r="AF10" i="4"/>
  <c r="AF11" i="4"/>
  <c r="AF12" i="4"/>
  <c r="AF7" i="4"/>
  <c r="AE9" i="1"/>
  <c r="AF9" i="1"/>
  <c r="AG9" i="1"/>
  <c r="AE10" i="1"/>
  <c r="AF10" i="1"/>
  <c r="AG10" i="1"/>
  <c r="AI10" i="1"/>
  <c r="AE11" i="1"/>
  <c r="AF11" i="1"/>
  <c r="AG11" i="1"/>
  <c r="AE12" i="1"/>
  <c r="AF12" i="1"/>
  <c r="AG12" i="1"/>
  <c r="AE13" i="1"/>
  <c r="AF13" i="1"/>
  <c r="AG13" i="1"/>
  <c r="AE14" i="1"/>
  <c r="AF14" i="1"/>
  <c r="AG14" i="1"/>
  <c r="AH13" i="1" s="1"/>
  <c r="AE15" i="1"/>
  <c r="AF15" i="1"/>
  <c r="AG15" i="1"/>
  <c r="AE16" i="1"/>
  <c r="AF16" i="1"/>
  <c r="AG16" i="1"/>
  <c r="AE17" i="1"/>
  <c r="AF17" i="1"/>
  <c r="AG17" i="1"/>
  <c r="AE18" i="1"/>
  <c r="AF18" i="1"/>
  <c r="AG18" i="1"/>
  <c r="AE19" i="1"/>
  <c r="AF19" i="1"/>
  <c r="AG19" i="1"/>
  <c r="AE20" i="1"/>
  <c r="AF20" i="1"/>
  <c r="AG20" i="1"/>
  <c r="AE21" i="1"/>
  <c r="AG21" i="1"/>
  <c r="AE22" i="1"/>
  <c r="AF22" i="1"/>
  <c r="AG22" i="1"/>
  <c r="AE23" i="1"/>
  <c r="AF23" i="1"/>
  <c r="AG23" i="1"/>
  <c r="AE24" i="1"/>
  <c r="AF24" i="1"/>
  <c r="AG24" i="1"/>
  <c r="AE25" i="1"/>
  <c r="AF25" i="1"/>
  <c r="AG25" i="1"/>
  <c r="AE26" i="1"/>
  <c r="AF26" i="1"/>
  <c r="AG26" i="1"/>
  <c r="AE27" i="1"/>
  <c r="AF27" i="1"/>
  <c r="AG27" i="1"/>
  <c r="AF28" i="1"/>
  <c r="AG28" i="1"/>
  <c r="AF29" i="1"/>
  <c r="AG29" i="1"/>
  <c r="AF30" i="1"/>
  <c r="AG30" i="1"/>
  <c r="AF31" i="1"/>
  <c r="AG31" i="1"/>
  <c r="AF32" i="1"/>
  <c r="AG32" i="1"/>
  <c r="AF33" i="1"/>
  <c r="AG33" i="1"/>
  <c r="AG34" i="1"/>
  <c r="AG35" i="1"/>
  <c r="AG36" i="1"/>
  <c r="AF37" i="1"/>
  <c r="AG37" i="1"/>
  <c r="AF38" i="1"/>
  <c r="AG38" i="1"/>
  <c r="AF39" i="1"/>
  <c r="AG39" i="1"/>
  <c r="AE40" i="1"/>
  <c r="AG40" i="1"/>
  <c r="AE41" i="1"/>
  <c r="AF41" i="1"/>
  <c r="AG41" i="1"/>
  <c r="AE42" i="1"/>
  <c r="AF42" i="1"/>
  <c r="AG42" i="1"/>
  <c r="AE43" i="1"/>
  <c r="AF43" i="1"/>
  <c r="AG43" i="1"/>
  <c r="AE44" i="1"/>
  <c r="AF44" i="1"/>
  <c r="AG44" i="1"/>
  <c r="AE45" i="1"/>
  <c r="AF45" i="1"/>
  <c r="AG45" i="1"/>
  <c r="AE46" i="1"/>
  <c r="AF46" i="1"/>
  <c r="AG46" i="1"/>
  <c r="AE47" i="1"/>
  <c r="AF47" i="1"/>
  <c r="AG47" i="1"/>
  <c r="AE48" i="1"/>
  <c r="AF48" i="1"/>
  <c r="AG48" i="1"/>
  <c r="AE49" i="1"/>
  <c r="AF49" i="1"/>
  <c r="AG49" i="1"/>
  <c r="AE50" i="1"/>
  <c r="AF50" i="1"/>
  <c r="AG50" i="1"/>
  <c r="AE51" i="1"/>
  <c r="AF51" i="1"/>
  <c r="AG51" i="1"/>
  <c r="AE52" i="1"/>
  <c r="AF52" i="1"/>
  <c r="AG52" i="1"/>
  <c r="AE53" i="1"/>
  <c r="AF53" i="1"/>
  <c r="AG53" i="1"/>
  <c r="AE54" i="1"/>
  <c r="AF54" i="1"/>
  <c r="AG54" i="1"/>
  <c r="AE55" i="1"/>
  <c r="AF55" i="1"/>
  <c r="AG55" i="1"/>
  <c r="AE56" i="1"/>
  <c r="AF56" i="1"/>
  <c r="AG56" i="1"/>
  <c r="AE57" i="1"/>
  <c r="AG57" i="1"/>
  <c r="AE58" i="1"/>
  <c r="AF58" i="1"/>
  <c r="AG58" i="1"/>
  <c r="AE59" i="1"/>
  <c r="AF59" i="1"/>
  <c r="AG59" i="1"/>
  <c r="AE60" i="1"/>
  <c r="AF60" i="1"/>
  <c r="AG60" i="1"/>
  <c r="AE61" i="1"/>
  <c r="AF61" i="1"/>
  <c r="AG61" i="1"/>
  <c r="AE62" i="1"/>
  <c r="AF62" i="1"/>
  <c r="AG62" i="1"/>
  <c r="AE63" i="1"/>
  <c r="AF63" i="1"/>
  <c r="AG63" i="1"/>
  <c r="AE64" i="1"/>
  <c r="AG64" i="1"/>
  <c r="W47" i="1"/>
  <c r="W46" i="1"/>
  <c r="W50" i="1"/>
  <c r="W49" i="1"/>
  <c r="W48" i="1"/>
  <c r="W45" i="1"/>
  <c r="W44" i="1"/>
  <c r="W43" i="1"/>
  <c r="W42" i="1"/>
  <c r="W41" i="1"/>
  <c r="W33" i="1"/>
  <c r="W28" i="1"/>
  <c r="W32" i="1"/>
  <c r="W31" i="1"/>
  <c r="W30" i="1"/>
  <c r="W29" i="1"/>
  <c r="W27" i="1"/>
  <c r="W19" i="1"/>
  <c r="AL11" i="3"/>
  <c r="AL13" i="3"/>
  <c r="AL14" i="3"/>
  <c r="AL15" i="3"/>
  <c r="AL17" i="3"/>
  <c r="AL10" i="3"/>
  <c r="AJ17" i="3"/>
  <c r="AJ16" i="3"/>
  <c r="AJ15" i="3"/>
  <c r="AJ14" i="3"/>
  <c r="AJ13" i="3"/>
  <c r="AJ12" i="3"/>
  <c r="AJ11" i="3"/>
  <c r="AJ10" i="3"/>
  <c r="AG77" i="3"/>
  <c r="AG78" i="3"/>
  <c r="AG79" i="3"/>
  <c r="AG80" i="3"/>
  <c r="AG81" i="3"/>
  <c r="AE76" i="3"/>
  <c r="AG76" i="3" s="1"/>
  <c r="AE75" i="3"/>
  <c r="AG75" i="3" s="1"/>
  <c r="AE74" i="3"/>
  <c r="AE73" i="3"/>
  <c r="AG73" i="3" s="1"/>
  <c r="AE72" i="3"/>
  <c r="AG72" i="3" s="1"/>
  <c r="AE71" i="3"/>
  <c r="AG71" i="3" s="1"/>
  <c r="AE70" i="3"/>
  <c r="AG70" i="3" s="1"/>
  <c r="AE69" i="3"/>
  <c r="AG69" i="3" s="1"/>
  <c r="AE68" i="3"/>
  <c r="AE67" i="3"/>
  <c r="AG67" i="3" s="1"/>
  <c r="AE66" i="3"/>
  <c r="AG66" i="3" s="1"/>
  <c r="AE65" i="3"/>
  <c r="AG65" i="3" s="1"/>
  <c r="AE64" i="3"/>
  <c r="AE63" i="3"/>
  <c r="AG63" i="3" s="1"/>
  <c r="AE62" i="3"/>
  <c r="AG62" i="3" s="1"/>
  <c r="AE61" i="3"/>
  <c r="AG61" i="3" s="1"/>
  <c r="AE60" i="3"/>
  <c r="AG60" i="3" s="1"/>
  <c r="AE59" i="3"/>
  <c r="AG59" i="3" s="1"/>
  <c r="AE58" i="3"/>
  <c r="AE57" i="3"/>
  <c r="AG57" i="3" s="1"/>
  <c r="AE56" i="3"/>
  <c r="AG56" i="3" s="1"/>
  <c r="AE55" i="3"/>
  <c r="AG55" i="3" s="1"/>
  <c r="AE54" i="3"/>
  <c r="AG54" i="3" s="1"/>
  <c r="AE53" i="3"/>
  <c r="AG53" i="3" s="1"/>
  <c r="AE52" i="3"/>
  <c r="AG52" i="3" s="1"/>
  <c r="AE51" i="3"/>
  <c r="AG51" i="3" s="1"/>
  <c r="AE50" i="3"/>
  <c r="AG50" i="3" s="1"/>
  <c r="AE49" i="3"/>
  <c r="AE48" i="3"/>
  <c r="AG48" i="3" s="1"/>
  <c r="AE47" i="3"/>
  <c r="AG47" i="3" s="1"/>
  <c r="AE46" i="3"/>
  <c r="AG46" i="3" s="1"/>
  <c r="AE45" i="3"/>
  <c r="AE44" i="3"/>
  <c r="AG44" i="3" s="1"/>
  <c r="AE43" i="3"/>
  <c r="AG43" i="3" s="1"/>
  <c r="AE42" i="3"/>
  <c r="AG42" i="3" s="1"/>
  <c r="AE41" i="3"/>
  <c r="AG41" i="3" s="1"/>
  <c r="AE40" i="3"/>
  <c r="AG40" i="3" s="1"/>
  <c r="AE39" i="3"/>
  <c r="AG39" i="3" s="1"/>
  <c r="AE38" i="3"/>
  <c r="AE37" i="3"/>
  <c r="AG37" i="3" s="1"/>
  <c r="AE36" i="3"/>
  <c r="AG36" i="3" s="1"/>
  <c r="AE35" i="3"/>
  <c r="AG35" i="3" s="1"/>
  <c r="AE34" i="3"/>
  <c r="AG34" i="3"/>
  <c r="AE33" i="3"/>
  <c r="AE32" i="3"/>
  <c r="AG32" i="3" s="1"/>
  <c r="AE31" i="3"/>
  <c r="AE30" i="3"/>
  <c r="AE29" i="3"/>
  <c r="AE28" i="3"/>
  <c r="AE27" i="3"/>
  <c r="AG27" i="3" s="1"/>
  <c r="AE26" i="3"/>
  <c r="AG26" i="3" s="1"/>
  <c r="AE25" i="3"/>
  <c r="AG25" i="3" s="1"/>
  <c r="AE24" i="3"/>
  <c r="AG24" i="3" s="1"/>
  <c r="AE23" i="3"/>
  <c r="AG23" i="3" s="1"/>
  <c r="AE22" i="3"/>
  <c r="AG22" i="3" s="1"/>
  <c r="AE21" i="3"/>
  <c r="AG21" i="3" s="1"/>
  <c r="AE20" i="3"/>
  <c r="AG20" i="3" s="1"/>
  <c r="AE19" i="3"/>
  <c r="AG19" i="3" s="1"/>
  <c r="AE18" i="3"/>
  <c r="AG17" i="3"/>
  <c r="AE16" i="3"/>
  <c r="AG16" i="3" s="1"/>
  <c r="AE15" i="3"/>
  <c r="AG15" i="3" s="1"/>
  <c r="AE14" i="3"/>
  <c r="AE13" i="3"/>
  <c r="AG13" i="3" s="1"/>
  <c r="AE12" i="3"/>
  <c r="AG12" i="3" s="1"/>
  <c r="AE11" i="3"/>
  <c r="AG11" i="3" s="1"/>
  <c r="AE10" i="3"/>
  <c r="AG10" i="3"/>
  <c r="AE9" i="3"/>
  <c r="AG9" i="3" s="1"/>
  <c r="AE8" i="3"/>
  <c r="AG8" i="3" s="1"/>
  <c r="AE7" i="3"/>
  <c r="AG7" i="3" s="1"/>
  <c r="AE6" i="3"/>
  <c r="AE5" i="3"/>
  <c r="AG5" i="3"/>
  <c r="AG6" i="3"/>
  <c r="AG14" i="3"/>
  <c r="AG18" i="3"/>
  <c r="AG28" i="3"/>
  <c r="AG29" i="3"/>
  <c r="AG30" i="3"/>
  <c r="AG31" i="3"/>
  <c r="AG33" i="3"/>
  <c r="AG38" i="3"/>
  <c r="AG45" i="3"/>
  <c r="AG49" i="3"/>
  <c r="AG58" i="3"/>
  <c r="AG64" i="3"/>
  <c r="AG68" i="3"/>
  <c r="AG74" i="3"/>
  <c r="AH5" i="3"/>
  <c r="Q85" i="2"/>
  <c r="P28" i="2"/>
  <c r="R38" i="2" s="1"/>
  <c r="S67" i="2"/>
  <c r="R67" i="2"/>
  <c r="Q68" i="2"/>
  <c r="P67" i="2"/>
  <c r="R23" i="2"/>
  <c r="P24" i="2" a="1"/>
  <c r="P24" i="2" s="1"/>
  <c r="P23" i="2"/>
  <c r="K37" i="2"/>
  <c r="K84" i="2"/>
  <c r="V20" i="3"/>
  <c r="U20" i="3"/>
  <c r="M49" i="1"/>
  <c r="M48" i="1"/>
  <c r="M47" i="1"/>
  <c r="M46" i="1"/>
  <c r="M45" i="1"/>
  <c r="M44" i="1"/>
  <c r="N50" i="1"/>
  <c r="N16" i="1"/>
  <c r="M16" i="1"/>
  <c r="U51" i="2"/>
  <c r="U13" i="2"/>
  <c r="R84" i="4"/>
  <c r="Q73" i="4"/>
  <c r="Q74" i="4"/>
  <c r="Q75" i="4"/>
  <c r="Q76" i="4"/>
  <c r="Q77" i="4"/>
  <c r="Q78" i="4"/>
  <c r="Q79" i="4"/>
  <c r="Q80" i="4"/>
  <c r="Q81" i="4"/>
  <c r="Q82" i="4"/>
  <c r="Q83" i="4"/>
  <c r="Q70" i="4"/>
  <c r="Q71" i="4"/>
  <c r="Q72" i="4"/>
  <c r="Q67" i="4"/>
  <c r="Q68" i="4"/>
  <c r="Q69" i="4"/>
  <c r="Q66" i="4"/>
  <c r="Q36" i="4"/>
  <c r="R36" i="4" s="1"/>
  <c r="R47" i="4" s="1"/>
  <c r="Q37" i="4"/>
  <c r="Q39" i="4"/>
  <c r="Q40" i="4"/>
  <c r="Q41" i="4"/>
  <c r="Q42" i="4"/>
  <c r="Q43" i="4"/>
  <c r="Q44" i="4"/>
  <c r="Q45" i="4"/>
  <c r="Q46" i="4"/>
  <c r="Q38" i="4"/>
  <c r="V60" i="3"/>
  <c r="U41" i="3"/>
  <c r="U42" i="3"/>
  <c r="U43" i="3"/>
  <c r="U44" i="3"/>
  <c r="U45" i="3"/>
  <c r="U46" i="3"/>
  <c r="U47" i="3"/>
  <c r="U48" i="3"/>
  <c r="U49" i="3"/>
  <c r="U50" i="3"/>
  <c r="U51" i="3"/>
  <c r="U52" i="3"/>
  <c r="U53" i="3"/>
  <c r="U54" i="3"/>
  <c r="U55" i="3"/>
  <c r="U56" i="3"/>
  <c r="U57" i="3"/>
  <c r="U58" i="3"/>
  <c r="U59" i="3"/>
  <c r="U40" i="3"/>
  <c r="U60" i="3" s="1"/>
  <c r="M11" i="1"/>
  <c r="M12" i="1"/>
  <c r="M13" i="1"/>
  <c r="M14" i="1"/>
  <c r="M15" i="1"/>
  <c r="M10" i="1"/>
  <c r="M43" i="1"/>
  <c r="U19" i="3"/>
  <c r="U18" i="3"/>
  <c r="U6" i="3"/>
  <c r="U7" i="3"/>
  <c r="U8" i="3"/>
  <c r="U9" i="3"/>
  <c r="U10" i="3"/>
  <c r="U11" i="3"/>
  <c r="U12" i="3"/>
  <c r="U13" i="3"/>
  <c r="U14" i="3"/>
  <c r="U15" i="3"/>
  <c r="U16" i="3"/>
  <c r="U17" i="3"/>
  <c r="U5" i="3"/>
  <c r="R72" i="3" l="1"/>
  <c r="R77" i="3" s="1"/>
  <c r="AS5" i="3"/>
  <c r="W34" i="1"/>
  <c r="W13" i="1"/>
  <c r="AH61" i="1"/>
  <c r="AH51" i="1"/>
  <c r="AH43" i="1"/>
  <c r="AH34" i="1"/>
  <c r="AH25" i="1"/>
  <c r="AH18" i="1"/>
  <c r="AG66" i="1"/>
  <c r="W9" i="1"/>
  <c r="M50" i="1"/>
  <c r="E86" i="4"/>
  <c r="F7" i="5" s="1"/>
  <c r="H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<sst xmlns="http://schemas.openxmlformats.org/spreadsheetml/2006/main" count="529" uniqueCount="285">
  <si>
    <t>Ground Floor</t>
  </si>
  <si>
    <t>Floor 1</t>
  </si>
  <si>
    <t>area: 20x20</t>
  </si>
  <si>
    <t>Copper Cables</t>
  </si>
  <si>
    <t xml:space="preserve">Optic Fiber </t>
  </si>
  <si>
    <t>Room</t>
  </si>
  <si>
    <t>outlet</t>
  </si>
  <si>
    <t>Underfloor</t>
  </si>
  <si>
    <t>Above ground</t>
  </si>
  <si>
    <t>Sum</t>
  </si>
  <si>
    <t>Ceiling</t>
  </si>
  <si>
    <t>Above Ground</t>
  </si>
  <si>
    <t>Medidas</t>
  </si>
  <si>
    <t>x metros</t>
  </si>
  <si>
    <t>y metros</t>
  </si>
  <si>
    <t>area</t>
  </si>
  <si>
    <t>outlets</t>
  </si>
  <si>
    <t>1.0.1</t>
  </si>
  <si>
    <t>1.1.1</t>
  </si>
  <si>
    <t>Room 1.0.1</t>
  </si>
  <si>
    <t>Total</t>
  </si>
  <si>
    <t>Room 1.0.2</t>
  </si>
  <si>
    <t>Room 1.0.3</t>
  </si>
  <si>
    <t>Total da sala:</t>
  </si>
  <si>
    <t>Room 1.0.4</t>
  </si>
  <si>
    <t>Room 1.0.5</t>
  </si>
  <si>
    <t>Room 1.0.6</t>
  </si>
  <si>
    <t>AP</t>
  </si>
  <si>
    <t>1.1.2</t>
  </si>
  <si>
    <t>TOTAL</t>
  </si>
  <si>
    <t>1.0.2</t>
  </si>
  <si>
    <t>1.0.3</t>
  </si>
  <si>
    <t>1.1.3</t>
  </si>
  <si>
    <t>1.0.4</t>
  </si>
  <si>
    <t>1.1.4</t>
  </si>
  <si>
    <t>1.0.5</t>
  </si>
  <si>
    <t>1.1.5</t>
  </si>
  <si>
    <t>Room 1.1.1</t>
  </si>
  <si>
    <t>Room 1.1.2</t>
  </si>
  <si>
    <t>Room 1.1.3</t>
  </si>
  <si>
    <t>Room 1.1.4</t>
  </si>
  <si>
    <t>Room 1.1.5</t>
  </si>
  <si>
    <t>1.0.6</t>
  </si>
  <si>
    <t>1.1.6</t>
  </si>
  <si>
    <t>Room 1.1.6</t>
  </si>
  <si>
    <t>Room 1.1.7</t>
  </si>
  <si>
    <t>1.1.7</t>
  </si>
  <si>
    <t>Piso 0</t>
  </si>
  <si>
    <t>2.0.11--&gt;</t>
  </si>
  <si>
    <t>will be used to house a cross connect</t>
  </si>
  <si>
    <t>Area Total</t>
  </si>
  <si>
    <t>No outlets will be needed in the 2.0.11 ,in the restrooms, wc and other common areas</t>
  </si>
  <si>
    <t>Sala</t>
  </si>
  <si>
    <t>Area por Sala</t>
  </si>
  <si>
    <t>largura</t>
  </si>
  <si>
    <t>comprimento</t>
  </si>
  <si>
    <t>Cabos pelos menos do tipo CAT7</t>
  </si>
  <si>
    <t>2.0.1</t>
  </si>
  <si>
    <t>19,14</t>
  </si>
  <si>
    <t>3,3</t>
  </si>
  <si>
    <t>5,8</t>
  </si>
  <si>
    <t>2.0.2</t>
  </si>
  <si>
    <t>2.0.3</t>
  </si>
  <si>
    <t>Altura do teto ---&gt;</t>
  </si>
  <si>
    <t>2.0.4</t>
  </si>
  <si>
    <t>2.0.5</t>
  </si>
  <si>
    <t>8,6</t>
  </si>
  <si>
    <t>2.0.6</t>
  </si>
  <si>
    <t>106,7</t>
  </si>
  <si>
    <t>9,7</t>
  </si>
  <si>
    <t>2.0.7</t>
  </si>
  <si>
    <t>2.0.8</t>
  </si>
  <si>
    <t>28,38</t>
  </si>
  <si>
    <t>2.0.9</t>
  </si>
  <si>
    <t>2.0.10</t>
  </si>
  <si>
    <t>15,84</t>
  </si>
  <si>
    <t>4,8</t>
  </si>
  <si>
    <t>2.0.11</t>
  </si>
  <si>
    <t>12,54</t>
  </si>
  <si>
    <t>3,8</t>
  </si>
  <si>
    <t>metros de fio  de rede</t>
  </si>
  <si>
    <t>27+83</t>
  </si>
  <si>
    <t>Outlets per room</t>
  </si>
  <si>
    <t>Soma---&gt;</t>
  </si>
  <si>
    <t>Sem contar com a sala 2.0.11</t>
  </si>
  <si>
    <t>Piso 1</t>
  </si>
  <si>
    <t>Area Por Sala :</t>
  </si>
  <si>
    <t>2.1.1</t>
  </si>
  <si>
    <t>7,1</t>
  </si>
  <si>
    <t>2.1.2</t>
  </si>
  <si>
    <t>2.1.3</t>
  </si>
  <si>
    <t>2.1.4</t>
  </si>
  <si>
    <t>Paineis colocados a 2.5 metros do solo</t>
  </si>
  <si>
    <t>2.1.5</t>
  </si>
  <si>
    <t>2.1.6</t>
  </si>
  <si>
    <t>4,6</t>
  </si>
  <si>
    <t xml:space="preserve">Por cima dos paineis vão estar colocadas as calhas que vão levar os cabos até onde será preciso						</t>
  </si>
  <si>
    <t>2.1.7</t>
  </si>
  <si>
    <t>2.1.8</t>
  </si>
  <si>
    <t>32,66</t>
  </si>
  <si>
    <t>2.1.9</t>
  </si>
  <si>
    <t>2.1.10</t>
  </si>
  <si>
    <t>2.1.11</t>
  </si>
  <si>
    <t>2.1.12</t>
  </si>
  <si>
    <t>12,78</t>
  </si>
  <si>
    <t>1,8</t>
  </si>
  <si>
    <t>2.1.13</t>
  </si>
  <si>
    <t>2.1.14</t>
  </si>
  <si>
    <t>2.1.15</t>
  </si>
  <si>
    <t>Arredondamento</t>
  </si>
  <si>
    <t>metros de fio de rede :</t>
  </si>
  <si>
    <t>107,4+45</t>
  </si>
  <si>
    <t>hTeto*num tomadas</t>
  </si>
  <si>
    <t>2.1.12--&gt;</t>
  </si>
  <si>
    <t>No outlets will be needed in the 2.1.12 ,in the restrooms, wc and other common areas</t>
  </si>
  <si>
    <t>Soma--&gt;</t>
  </si>
  <si>
    <t>Excede o numero de fichas</t>
  </si>
  <si>
    <t>A full wireless LAN (Wi-Fi) coverage is required for this building on both floors.</t>
  </si>
  <si>
    <t>It is required 2 per 10 square meter.</t>
  </si>
  <si>
    <t>Floor Ground</t>
  </si>
  <si>
    <t>Dados Edificio</t>
  </si>
  <si>
    <t>Copper</t>
  </si>
  <si>
    <t>Fiber</t>
  </si>
  <si>
    <t>ground floor</t>
  </si>
  <si>
    <t>Area</t>
  </si>
  <si>
    <t>30x30</t>
  </si>
  <si>
    <t>salas</t>
  </si>
  <si>
    <t>x (m)</t>
  </si>
  <si>
    <t>y (m)</t>
  </si>
  <si>
    <t>Underground</t>
  </si>
  <si>
    <t>3.0.1</t>
  </si>
  <si>
    <t>only 2 outlets are needed near the cables passageway</t>
  </si>
  <si>
    <t>3.0.2</t>
  </si>
  <si>
    <t>The ground floor has an underfloor cable raceway connected to the external technical ditch. Access to the underfloor cable raceway is available at points marked over the plan. The ceiling height on this floor is 4 meters.</t>
  </si>
  <si>
    <t>3.0.3</t>
  </si>
  <si>
    <t>3.0.4</t>
  </si>
  <si>
    <t>3.0.5</t>
  </si>
  <si>
    <t>Access Point</t>
  </si>
  <si>
    <t>UnderGround</t>
  </si>
  <si>
    <t>3.0.6</t>
  </si>
  <si>
    <t>3.0.7</t>
  </si>
  <si>
    <t>3.0.8</t>
  </si>
  <si>
    <t>3.0.9</t>
  </si>
  <si>
    <t>Room 3.0.14 is a storage area that may be used to house a cross-connect, no network outlets are required there, and the same applies to restrooms, halls, and corridors. Rooms 3.0.1, 3.0.2, and 3.0.3 have specific purposes and the only network outlets required are near each floor cable passageway, two outlets in each room. Elsewhere, the standard number of network outlets per area ratio is to be enforced.</t>
  </si>
  <si>
    <t>3.0.10</t>
  </si>
  <si>
    <t>3.0.11</t>
  </si>
  <si>
    <t>3.0.12</t>
  </si>
  <si>
    <t>3.0.13</t>
  </si>
  <si>
    <t>3.0.14</t>
  </si>
  <si>
    <t>no required outlets -&gt; storage area</t>
  </si>
  <si>
    <t>3.0.15</t>
  </si>
  <si>
    <t>mudar cabo de cobre do ap do corredor</t>
  </si>
  <si>
    <t>adicionar cabo de cobre subterraneo para a sala 3.0.15</t>
  </si>
  <si>
    <t xml:space="preserve">adicionar cabo de cobre para aps 1 2 3 </t>
  </si>
  <si>
    <t>floor1</t>
  </si>
  <si>
    <t>area (m^2)</t>
  </si>
  <si>
    <t>The ceiling height on this floor is 3 meters, however there’s a removable dropped ceiling, placed 2.5 meters from the ground, covering the entire floor. The space over the dropped ceiling is perfect to install cable raceways and wireless access-points, this floor has no underfloor cable raceways.</t>
  </si>
  <si>
    <t>3.1.1</t>
  </si>
  <si>
    <t>3.1.2</t>
  </si>
  <si>
    <t>3.1.3</t>
  </si>
  <si>
    <t>3.1.4</t>
  </si>
  <si>
    <t>3.1.5</t>
  </si>
  <si>
    <t>3.1.6</t>
  </si>
  <si>
    <t>3.1.7</t>
  </si>
  <si>
    <t>3.1.8</t>
  </si>
  <si>
    <t>3.1.9</t>
  </si>
  <si>
    <t>3.1.10</t>
  </si>
  <si>
    <t>3.1.11</t>
  </si>
  <si>
    <t>3.1.12</t>
  </si>
  <si>
    <t>3.1.13</t>
  </si>
  <si>
    <t>3.1.14</t>
  </si>
  <si>
    <t>3.1.15</t>
  </si>
  <si>
    <t>3.1.16</t>
  </si>
  <si>
    <t>3.1.17</t>
  </si>
  <si>
    <t>3.1.18</t>
  </si>
  <si>
    <t>3.1.19</t>
  </si>
  <si>
    <t>3.1.20</t>
  </si>
  <si>
    <t>NTotalOutletsPrevistosEdificio</t>
  </si>
  <si>
    <t>-</t>
  </si>
  <si>
    <t>FLOOR 0</t>
  </si>
  <si>
    <t>Outlet</t>
  </si>
  <si>
    <t>Length Ground(m)</t>
  </si>
  <si>
    <t>Lenght Above Ground(m)</t>
  </si>
  <si>
    <t>TOTAL(m)</t>
  </si>
  <si>
    <t>4.0.1</t>
  </si>
  <si>
    <t>Area =</t>
  </si>
  <si>
    <t>metros</t>
  </si>
  <si>
    <t>The ground floor has an underfloor cable raceway connected to the external technical ditch. Access to the underfloor cable raceway is available at points marked over the plan. The ceiling height on this floor is 4 meters</t>
  </si>
  <si>
    <t>Access Point 1</t>
  </si>
  <si>
    <t>Room 4.0.12 is a storage area that may be used to house a cross-connect and network infrastructure hardware, no network outlets are required in this room, and the same applies to restrooms and common areas like the entrance hall and corridors. Rooms 4.0.2 has a specific purpose and the only network outlets necessary are two near each floor cable passageway. Elsewhere, the standard number of network outlets per area ratio is to be enforced</t>
  </si>
  <si>
    <t>Na sala 4.0.2 é preciso ter 2 network outlets ao lado de cada floor cable passageway
(tem 6 passageways portanto 12 network outlets naquela sala)
no resto do piso manter o standard de 2 a cada 10 m^2</t>
  </si>
  <si>
    <t>Access Point 2</t>
  </si>
  <si>
    <t>Salas:</t>
  </si>
  <si>
    <t>area m^2</t>
  </si>
  <si>
    <t>4.0.2</t>
  </si>
  <si>
    <t>4.0.3</t>
  </si>
  <si>
    <t>4.0.4</t>
  </si>
  <si>
    <t>4.0.5</t>
  </si>
  <si>
    <t>4.0.6</t>
  </si>
  <si>
    <t>4.0.7</t>
  </si>
  <si>
    <t>4.0.8</t>
  </si>
  <si>
    <t>4.0.9</t>
  </si>
  <si>
    <t>4.0.10</t>
  </si>
  <si>
    <t>4.0.11</t>
  </si>
  <si>
    <t>FLOOR 1</t>
  </si>
  <si>
    <t>The ceiling height on this floor is 3 meters, but there’s a removable dropped ceiling, placed 2.5 meters from the ground, and covering this entire floor. The empty space over the dropped ceiling is perfect to install cable raceways and wireless access-points</t>
  </si>
  <si>
    <t>Rooms 4.1.19 and 4.1.20 are storage areas that may be used to house a cross-connect and other network infrastructure hardware, no network outlets are required there, the same goes for restrooms, and common areas like halls and corridors. Other identified rooms must be provided with the standard number of network outlets per area ratio</t>
  </si>
  <si>
    <t>4.1.1</t>
  </si>
  <si>
    <t>4.1.2</t>
  </si>
  <si>
    <t>4.1.3</t>
  </si>
  <si>
    <t>4.1.4</t>
  </si>
  <si>
    <t>4.1.5</t>
  </si>
  <si>
    <t>4.1.6</t>
  </si>
  <si>
    <t>4.1.7</t>
  </si>
  <si>
    <t>4.1.8</t>
  </si>
  <si>
    <t>4.1.9</t>
  </si>
  <si>
    <t>4.1.10</t>
  </si>
  <si>
    <t>4.1.11</t>
  </si>
  <si>
    <t>4.1.12</t>
  </si>
  <si>
    <t>4.1.13</t>
  </si>
  <si>
    <t>4.1.14</t>
  </si>
  <si>
    <t>4.1.15</t>
  </si>
  <si>
    <t>4.1.16</t>
  </si>
  <si>
    <t>4.1.17</t>
  </si>
  <si>
    <t>4.1.18</t>
  </si>
  <si>
    <t>Nº total outlets do edifício =</t>
  </si>
  <si>
    <t>Quantidade</t>
  </si>
  <si>
    <t>Preço Total</t>
  </si>
  <si>
    <t>coper cable</t>
  </si>
  <si>
    <t>optic fiber</t>
  </si>
  <si>
    <t>Access Point 3</t>
  </si>
  <si>
    <t>Between Floors</t>
  </si>
  <si>
    <t>Cooper</t>
  </si>
  <si>
    <t>Floor First</t>
  </si>
  <si>
    <t>Cealing</t>
  </si>
  <si>
    <t>Air</t>
  </si>
  <si>
    <t>sum</t>
  </si>
  <si>
    <t>a</t>
  </si>
  <si>
    <t>Fio de cobre</t>
  </si>
  <si>
    <t xml:space="preserve">Fio de Cobre </t>
  </si>
  <si>
    <t>Total de fio de cobre</t>
  </si>
  <si>
    <t>Total de Outlets</t>
  </si>
  <si>
    <t>Total de Aps</t>
  </si>
  <si>
    <t>TOTAL (meters)</t>
  </si>
  <si>
    <t>Cable Length (meters)</t>
  </si>
  <si>
    <t>Aqui</t>
  </si>
  <si>
    <t>Optic Fiber</t>
  </si>
  <si>
    <t>Inventário</t>
  </si>
  <si>
    <t>Access Points</t>
  </si>
  <si>
    <t>MCC</t>
  </si>
  <si>
    <t>HCC</t>
  </si>
  <si>
    <t>ICC</t>
  </si>
  <si>
    <t>copper cable</t>
  </si>
  <si>
    <t>fiber cable</t>
  </si>
  <si>
    <t>TOTAL EDIFÍCIO 1</t>
  </si>
  <si>
    <t>Backbone</t>
  </si>
  <si>
    <t>Caminho 1</t>
  </si>
  <si>
    <t>Caminho 2</t>
  </si>
  <si>
    <t>MCC's</t>
  </si>
  <si>
    <t>HCC's</t>
  </si>
  <si>
    <t>ICC's</t>
  </si>
  <si>
    <t>https://www.leroymerlin.pt/produtos/eletricidade-e-smart-home/interruptores-e-tomadas/series-de-interruptores-e-tomadas/serie-lika/tomada-rj45-lexman-lika-branco-82277573.html?utm_source=google&amp;utm_medium=cpc&amp;utm_campaign=pmax-shopping-ao_eletricidade-e-smart-home_ao_google&amp;utm_content=1p&amp;utm_term=&amp;placement=&amp;gad_source=1&amp;gclid=CjwKCAiA0bWvBhBjEiwAtEsoW8KhGCPO4e0-hnqd1eQE-rZLer7FlHCjNqI05t512M6F6hNdlrHBnBoC6YEQAvD_BwE</t>
  </si>
  <si>
    <t>Preço por Unidade/Metro</t>
  </si>
  <si>
    <t>Total fio fibra otica</t>
  </si>
  <si>
    <t>Confirma</t>
  </si>
  <si>
    <t>https://www.leroymerlin.pt/produtos/eletricidade-e-smart-home/cabos-e-calhas-eletricos/cabos-de-rede-e-conectores-rj45/bobina-de-cabo-rj45-sftp-awg23-lszh-cpr-dca-aisens-a146-0664-cat-7-100m-azul-89857528.html?src=clk</t>
  </si>
  <si>
    <t>https://pt.vicedeal.com/products/10-pcs-lote-sc-apc-sc-upc-single-mode-simplex-fibra-optica-jumper-cable-5m-10m-15m-2-0-3-0mm-patch-cord-de-fibra-optica-ftth-cabo?msclkid=0f3d99f5aced16b894befc18512d5f0f&amp;utm_source=bing&amp;utm_medium=cpc&amp;utm_campaign=VD+PT+%7C+Shopping+%7C+Search&amp;utm_term=4576373580327097&amp;utm_content=Ad+group+%231&amp;variant=UHJvZHVjdFZhcmlhbnQ6NTA0NzYzMDM2</t>
  </si>
  <si>
    <t>Acess Points</t>
  </si>
  <si>
    <t>https://mediamarkt.pt/products/router-tp-link-archer-c6-wireless-gigabit-mu-mimo-ac1200</t>
  </si>
  <si>
    <t>Total Acess Points</t>
  </si>
  <si>
    <t>Patch Pannels (24 slots)</t>
  </si>
  <si>
    <t>Total Patch Pannels</t>
  </si>
  <si>
    <t>Access Point 4</t>
  </si>
  <si>
    <t>TOTAL GROUND FLOOR COPPER CABLE</t>
  </si>
  <si>
    <t>FIBER CABLE</t>
  </si>
  <si>
    <t>AP5</t>
  </si>
  <si>
    <t>Length Ceiling(m)</t>
  </si>
  <si>
    <t>Height(m)</t>
  </si>
  <si>
    <t>AP6</t>
  </si>
  <si>
    <t>TOTAL COPPER CABLE FIRST FLOOR(m)</t>
  </si>
  <si>
    <t xml:space="preserve">Total copper </t>
  </si>
  <si>
    <t>Total fiber</t>
  </si>
  <si>
    <t>Patch Pannels (48 slots)</t>
  </si>
  <si>
    <t>https://www.amazon.com/Keystone-Support-Rapink-Shielded-Removable/dp/B09J3655ZB/ref=sr_1_1?dib=eyJ2IjoiMSJ9.Q8wgR8_ZxhmXPgAhx-hOg3z5_7zHKIzPbxvklfJuVFQ22-sBG_vTHl-3v3-R0s0qt1HOecwpOmQ9xUJ2bW6Fsw0h0rP6-AZIeRMD-EBcD3y3YX9FcLuMndeofsP1l245pLmJQp4S6AMmCKkU-1BUIqrruMPsN-B04vtJOT-3DFOx-FaOvLuus4TAlPJ-HCU3CLYg-LqefqtIjBdXRk7fvn1RqnsOLCnUQuFzT11kuNE.nk0fo1EvXSNQN7QF2HXVQVK-MP6NGIuOizBQ9_U_iE0&amp;dib_tag=se&amp;keywords=cat7%2Bpatch%2Bpanel&amp;qid=1710111278&amp;sr=8-1-spons&amp;sp_csd=d2lkZ2V0TmFtZT1zcF9hdGY&amp;th=1</t>
  </si>
  <si>
    <t>https://www.amazon.com/Rapink-Keystone-Support-Shielded-Removable/dp/B0C5SP6X5H/ref=sr_1_3?crid=TM3X70BCZBAP&amp;dib=eyJ2IjoiMSJ9.XZ1f5n7_fgLJD4fwHhSNNLIXuMG9_sKLTuUkFtV_wiG0v4BosbJuPhiPO9z0hb3sFXlVfLs-sm_qyTPYnnRDdIlMVFgYqFFkEWOAMIg-pTbd5L8EKs1BaMcrQE8R5-DX3bNBYCzlEY674TP_7UqyOdLxBpZoY0BQZ-ky8iyRUIJb_6PQA4KjbruCirwRxyMWAitStbpSEiwRia8iXM7M3VaV9emKiVmqnpOJshKE788.lt7gQsrxpimectbpZfttqG_InZ0NTKGB_xRpXYeZl_Q&amp;dib_tag=se&amp;keywords=cat7%2Bpatch%2Bpanel%2B48%2Bport&amp;qid=1710111308&amp;sprefix=cat7%2Bpatch%2Bpanel%2Caps%2C149&amp;sr=8-3&amp;t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</si>
</sst>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8" formatCode="#,##0.00\ &quot;€&quot;"/>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FFFFFF"/>
      <name val="Calibri"/>
      <family val="2"/>
    </font>
    <font>
      <b/>
      <sz val="15"/>
      <color theme="3"/>
      <name val="Calibri"/>
      <family val="2"/>
      <scheme val="minor"/>
    </font>
    <font>
      <sz val="11"/>
      <color rgb="FF006100"/>
      <name val="Calibri"/>
      <family val="2"/>
      <scheme val="minor"/>
    </font>
    <font>
      <sz val="12"/>
      <color rgb="FF006100"/>
      <name val="Calibri"/>
      <family val="2"/>
      <scheme val="minor"/>
    </font>
    <font>
      <sz val="11"/>
      <color theme="0"/>
      <name val="Calibri"/>
      <family val="2"/>
      <scheme val="minor"/>
    </font>
    <font>
      <sz val="11"/>
      <color rgb="FFFF0000"/>
      <name val="Calibri"/>
      <family val="2"/>
      <scheme val="minor"/>
    </font>
    <font>
      <u/>
      <sz val="11"/>
      <color theme="10"/>
      <name val="Calibri"/>
      <family val="2"/>
      <scheme val="minor"/>
    </font>
    <font>
      <sz val="18"/>
      <color rgb="FFFF0000"/>
      <name val="Calibri"/>
      <family val="2"/>
      <scheme val="minor"/>
    </font>
  </fonts>
  <fills count="21">
    <fill>
      <patternFill patternType="none"/>
    </fill>
    <fill>
      <patternFill patternType="gray125"/>
    </fill>
    <fill>
      <patternFill patternType="solid">
        <fgColor rgb="FF5B9BD5"/>
        <bgColor rgb="FF5B9BD5"/>
      </patternFill>
    </fill>
    <fill>
      <patternFill patternType="solid">
        <fgColor rgb="FFDDEBF7"/>
        <bgColor rgb="FFDDEBF7"/>
      </patternFill>
    </fill>
    <fill>
      <patternFill patternType="solid">
        <fgColor theme="4" tint="0.39997558519241921"/>
        <bgColor indexed="65"/>
      </patternFill>
    </fill>
    <fill>
      <patternFill patternType="solid">
        <fgColor rgb="FFC6EFCE"/>
      </patternFill>
    </fill>
    <fill>
      <patternFill patternType="solid">
        <fgColor rgb="FFFFFFCC"/>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rgb="FFDDEBF7"/>
      </patternFill>
    </fill>
    <fill>
      <patternFill patternType="solid">
        <fgColor theme="5"/>
        <bgColor indexed="64"/>
      </patternFill>
    </fill>
    <fill>
      <patternFill patternType="solid">
        <fgColor theme="4"/>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tint="-0.499984740745262"/>
      </left>
      <right style="thin">
        <color indexed="64"/>
      </right>
      <top style="thin">
        <color theme="2" tint="-0.499984740745262"/>
      </top>
      <bottom style="thin">
        <color indexed="64"/>
      </bottom>
      <diagonal/>
    </border>
    <border>
      <left style="thin">
        <color indexed="64"/>
      </left>
      <right style="thin">
        <color indexed="64"/>
      </right>
      <top style="thin">
        <color theme="2" tint="-0.499984740745262"/>
      </top>
      <bottom style="thin">
        <color indexed="64"/>
      </bottom>
      <diagonal/>
    </border>
    <border>
      <left style="thin">
        <color indexed="64"/>
      </left>
      <right style="thin">
        <color theme="2" tint="-0.499984740745262"/>
      </right>
      <top style="thin">
        <color theme="2" tint="-0.499984740745262"/>
      </top>
      <bottom style="thin">
        <color indexed="64"/>
      </bottom>
      <diagonal/>
    </border>
    <border>
      <left style="thin">
        <color theme="2" tint="-0.499984740745262"/>
      </left>
      <right style="thin">
        <color indexed="64"/>
      </right>
      <top style="thin">
        <color indexed="64"/>
      </top>
      <bottom style="thin">
        <color theme="2" tint="-0.499984740745262"/>
      </bottom>
      <diagonal/>
    </border>
    <border>
      <left style="thin">
        <color indexed="64"/>
      </left>
      <right style="thin">
        <color indexed="64"/>
      </right>
      <top style="thin">
        <color indexed="64"/>
      </top>
      <bottom style="thin">
        <color theme="2" tint="-0.499984740745262"/>
      </bottom>
      <diagonal/>
    </border>
    <border>
      <left style="thin">
        <color indexed="64"/>
      </left>
      <right style="thin">
        <color theme="2" tint="-0.499984740745262"/>
      </right>
      <top style="thin">
        <color indexed="64"/>
      </top>
      <bottom style="thin">
        <color theme="2"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theme="1"/>
      </top>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theme="1"/>
      </right>
      <top style="thin">
        <color theme="1"/>
      </top>
      <bottom/>
      <diagonal/>
    </border>
    <border>
      <left/>
      <right style="thin">
        <color theme="1"/>
      </right>
      <top style="thin">
        <color theme="1"/>
      </top>
      <bottom style="thin">
        <color theme="1"/>
      </bottom>
      <diagonal/>
    </border>
    <border>
      <left style="thin">
        <color indexed="64"/>
      </left>
      <right/>
      <top/>
      <bottom style="thin">
        <color indexed="64"/>
      </bottom>
      <diagonal/>
    </border>
    <border>
      <left style="thin">
        <color theme="1"/>
      </left>
      <right/>
      <top style="thin">
        <color theme="1"/>
      </top>
      <bottom style="thin">
        <color theme="1"/>
      </bottom>
      <diagonal/>
    </border>
    <border>
      <left style="thin">
        <color rgb="FF000000"/>
      </left>
      <right/>
      <top/>
      <bottom/>
      <diagonal/>
    </border>
    <border>
      <left/>
      <right style="thin">
        <color rgb="FF000000"/>
      </right>
      <top style="thin">
        <color rgb="FF000000"/>
      </top>
      <bottom style="thin">
        <color rgb="FF000000"/>
      </bottom>
      <diagonal/>
    </border>
  </borders>
  <cellStyleXfs count="6">
    <xf numFmtId="0" fontId="0" fillId="0" borderId="0"/>
    <xf numFmtId="0" fontId="1" fillId="4" borderId="0" applyNumberFormat="0" applyBorder="0" applyAlignment="0" applyProtection="0"/>
    <xf numFmtId="0" fontId="8" fillId="0" borderId="8" applyNumberFormat="0" applyFill="0" applyAlignment="0" applyProtection="0"/>
    <xf numFmtId="0" fontId="9" fillId="5" borderId="0" applyNumberFormat="0" applyBorder="0" applyAlignment="0" applyProtection="0"/>
    <xf numFmtId="0" fontId="1" fillId="6" borderId="9" applyNumberFormat="0" applyFont="0" applyAlignment="0" applyProtection="0"/>
    <xf numFmtId="0" fontId="13" fillId="0" borderId="0" applyNumberFormat="0" applyFill="0" applyBorder="0" applyAlignment="0" applyProtection="0"/>
  </cellStyleXfs>
  <cellXfs count="171">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horizontal="left"/>
    </xf>
    <xf numFmtId="0" fontId="2"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center"/>
    </xf>
    <xf numFmtId="17" fontId="0" fillId="0" borderId="0" xfId="0" applyNumberFormat="1"/>
    <xf numFmtId="0" fontId="0" fillId="0" borderId="1" xfId="0" applyBorder="1" applyAlignment="1">
      <alignment horizontal="center"/>
    </xf>
    <xf numFmtId="0" fontId="0" fillId="0" borderId="2" xfId="0" applyBorder="1" applyAlignment="1">
      <alignment horizontal="center"/>
    </xf>
    <xf numFmtId="0" fontId="1" fillId="4" borderId="1" xfId="1" applyBorder="1" applyAlignment="1">
      <alignment horizontal="center"/>
    </xf>
    <xf numFmtId="164" fontId="0" fillId="0" borderId="2" xfId="0" applyNumberFormat="1" applyBorder="1" applyAlignment="1">
      <alignment horizontal="center"/>
    </xf>
    <xf numFmtId="164" fontId="0" fillId="0" borderId="1" xfId="0" applyNumberFormat="1" applyBorder="1" applyAlignment="1">
      <alignment horizontal="center"/>
    </xf>
    <xf numFmtId="0" fontId="0" fillId="0" borderId="0" xfId="0" applyAlignment="1">
      <alignment horizontal="center" wrapText="1"/>
    </xf>
    <xf numFmtId="164" fontId="0" fillId="0" borderId="4" xfId="0" applyNumberFormat="1" applyBorder="1" applyAlignment="1">
      <alignment horizontal="center"/>
    </xf>
    <xf numFmtId="164" fontId="0" fillId="0" borderId="3" xfId="0" applyNumberFormat="1" applyBorder="1" applyAlignment="1">
      <alignment horizontal="center"/>
    </xf>
    <xf numFmtId="0" fontId="1" fillId="4" borderId="5" xfId="1" applyBorder="1" applyAlignment="1">
      <alignment horizontal="center"/>
    </xf>
    <xf numFmtId="0" fontId="1" fillId="4" borderId="6" xfId="1" applyBorder="1" applyAlignment="1">
      <alignment horizontal="center"/>
    </xf>
    <xf numFmtId="2" fontId="0" fillId="0" borderId="1" xfId="0" applyNumberFormat="1" applyBorder="1"/>
    <xf numFmtId="0" fontId="1" fillId="4" borderId="1" xfId="1" applyBorder="1"/>
    <xf numFmtId="0" fontId="1" fillId="4" borderId="1" xfId="1" applyBorder="1" applyAlignment="1">
      <alignment horizontal="center" vertical="center"/>
    </xf>
    <xf numFmtId="2" fontId="0" fillId="0" borderId="1" xfId="0" applyNumberFormat="1" applyBorder="1" applyAlignment="1">
      <alignment horizontal="center"/>
    </xf>
    <xf numFmtId="0" fontId="0" fillId="0" borderId="5" xfId="0" applyBorder="1" applyAlignment="1">
      <alignment horizontal="center"/>
    </xf>
    <xf numFmtId="165" fontId="0" fillId="0" borderId="1" xfId="0" applyNumberFormat="1" applyBorder="1" applyAlignment="1">
      <alignment horizontal="center" vertical="top"/>
    </xf>
    <xf numFmtId="165" fontId="10" fillId="5" borderId="0" xfId="3" applyNumberFormat="1" applyFont="1" applyAlignment="1">
      <alignment horizontal="left"/>
    </xf>
    <xf numFmtId="0" fontId="0" fillId="8" borderId="0" xfId="0" applyFill="1"/>
    <xf numFmtId="0" fontId="5" fillId="8" borderId="0" xfId="0" applyFont="1" applyFill="1" applyAlignment="1">
      <alignment horizontal="center"/>
    </xf>
    <xf numFmtId="0" fontId="0" fillId="9" borderId="0" xfId="0" applyFill="1"/>
    <xf numFmtId="0" fontId="5" fillId="9" borderId="0" xfId="0" applyFont="1" applyFill="1"/>
    <xf numFmtId="0" fontId="0" fillId="9" borderId="0" xfId="0" applyFill="1" applyAlignment="1">
      <alignment horizontal="left"/>
    </xf>
    <xf numFmtId="0" fontId="1" fillId="4" borderId="7" xfId="1" applyBorder="1" applyAlignment="1">
      <alignment horizontal="center"/>
    </xf>
    <xf numFmtId="165" fontId="0" fillId="0" borderId="1" xfId="0" applyNumberFormat="1" applyBorder="1" applyAlignment="1">
      <alignment horizontal="center"/>
    </xf>
    <xf numFmtId="0" fontId="2" fillId="10" borderId="0" xfId="0" applyFont="1" applyFill="1"/>
    <xf numFmtId="0" fontId="0" fillId="10" borderId="0" xfId="0" applyFill="1"/>
    <xf numFmtId="0" fontId="0" fillId="0" borderId="10" xfId="0" applyBorder="1"/>
    <xf numFmtId="0" fontId="0" fillId="11" borderId="10" xfId="0" applyFill="1" applyBorder="1" applyAlignment="1">
      <alignment horizontal="center"/>
    </xf>
    <xf numFmtId="0" fontId="0" fillId="0" borderId="10" xfId="0" applyBorder="1" applyAlignment="1">
      <alignment horizontal="right"/>
    </xf>
    <xf numFmtId="0" fontId="3" fillId="0" borderId="10" xfId="0" applyFont="1" applyBorder="1" applyAlignment="1">
      <alignment horizontal="right"/>
    </xf>
    <xf numFmtId="0" fontId="2" fillId="0" borderId="10" xfId="0" applyFont="1" applyBorder="1" applyAlignment="1">
      <alignment horizontal="right"/>
    </xf>
    <xf numFmtId="0" fontId="0" fillId="0" borderId="12" xfId="0" applyBorder="1"/>
    <xf numFmtId="0" fontId="0" fillId="11" borderId="13" xfId="0" applyFill="1" applyBorder="1"/>
    <xf numFmtId="0" fontId="0" fillId="11" borderId="13" xfId="0" applyFill="1" applyBorder="1" applyAlignment="1">
      <alignment horizontal="center"/>
    </xf>
    <xf numFmtId="0" fontId="0" fillId="0" borderId="14" xfId="0" applyBorder="1" applyAlignment="1">
      <alignment horizontal="right"/>
    </xf>
    <xf numFmtId="0" fontId="0" fillId="0" borderId="14" xfId="0" applyBorder="1"/>
    <xf numFmtId="0" fontId="0" fillId="0" borderId="15" xfId="0" applyBorder="1" applyAlignment="1">
      <alignment horizontal="right"/>
    </xf>
    <xf numFmtId="0" fontId="0" fillId="0" borderId="16" xfId="0" applyBorder="1"/>
    <xf numFmtId="0" fontId="0" fillId="0" borderId="17" xfId="0" applyBorder="1"/>
    <xf numFmtId="0" fontId="0" fillId="0" borderId="18" xfId="0" applyBorder="1" applyAlignment="1">
      <alignment horizontal="right"/>
    </xf>
    <xf numFmtId="0" fontId="0" fillId="0" borderId="19" xfId="0" applyBorder="1"/>
    <xf numFmtId="0" fontId="0" fillId="0" borderId="20" xfId="0" applyBorder="1"/>
    <xf numFmtId="0" fontId="0" fillId="0" borderId="11" xfId="0" applyBorder="1"/>
    <xf numFmtId="0" fontId="3" fillId="0" borderId="11" xfId="0" applyFont="1" applyBorder="1"/>
    <xf numFmtId="0" fontId="0" fillId="11" borderId="11" xfId="0" applyFill="1" applyBorder="1" applyAlignment="1">
      <alignment horizontal="center"/>
    </xf>
    <xf numFmtId="166" fontId="0" fillId="0" borderId="11" xfId="0" applyNumberFormat="1" applyBorder="1"/>
    <xf numFmtId="0" fontId="0" fillId="12" borderId="10" xfId="0" applyFill="1" applyBorder="1"/>
    <xf numFmtId="0" fontId="0" fillId="13" borderId="0" xfId="0" applyFill="1"/>
    <xf numFmtId="0" fontId="0" fillId="12" borderId="21" xfId="0" applyFill="1" applyBorder="1"/>
    <xf numFmtId="0" fontId="0" fillId="14" borderId="10" xfId="0" applyFill="1" applyBorder="1"/>
    <xf numFmtId="0" fontId="0" fillId="14" borderId="13" xfId="0" applyFill="1" applyBorder="1"/>
    <xf numFmtId="0" fontId="0" fillId="14" borderId="14" xfId="0" applyFill="1" applyBorder="1"/>
    <xf numFmtId="0" fontId="0" fillId="14" borderId="21" xfId="0" applyFill="1" applyBorder="1"/>
    <xf numFmtId="0" fontId="0" fillId="14" borderId="23" xfId="0" applyFill="1" applyBorder="1"/>
    <xf numFmtId="0" fontId="0" fillId="14" borderId="22" xfId="0" applyFill="1" applyBorder="1"/>
    <xf numFmtId="2" fontId="5" fillId="0" borderId="0" xfId="0" applyNumberFormat="1" applyFont="1" applyAlignment="1">
      <alignment horizontal="center"/>
    </xf>
    <xf numFmtId="0" fontId="11" fillId="8" borderId="0" xfId="0" applyFont="1" applyFill="1"/>
    <xf numFmtId="0" fontId="5" fillId="0" borderId="0" xfId="0" applyFont="1" applyAlignment="1">
      <alignment horizontal="left"/>
    </xf>
    <xf numFmtId="0" fontId="0" fillId="0" borderId="10" xfId="0" applyBorder="1" applyAlignment="1">
      <alignment horizontal="center" vertical="center"/>
    </xf>
    <xf numFmtId="0" fontId="0" fillId="0" borderId="10" xfId="0" applyBorder="1" applyAlignment="1">
      <alignment horizontal="center"/>
    </xf>
    <xf numFmtId="0" fontId="0" fillId="0" borderId="10" xfId="0" applyBorder="1" applyAlignment="1">
      <alignment vertical="center"/>
    </xf>
    <xf numFmtId="0" fontId="0" fillId="0" borderId="0" xfId="0" applyAlignment="1">
      <alignment vertical="center"/>
    </xf>
    <xf numFmtId="0" fontId="0" fillId="0" borderId="14" xfId="0" applyBorder="1" applyAlignment="1">
      <alignment horizontal="center"/>
    </xf>
    <xf numFmtId="0" fontId="0" fillId="0" borderId="1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7" xfId="0" applyBorder="1" applyAlignment="1">
      <alignment horizont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wrapText="1"/>
    </xf>
    <xf numFmtId="0" fontId="0" fillId="15" borderId="13" xfId="0" applyFill="1" applyBorder="1" applyAlignment="1">
      <alignment horizontal="center" vertical="center"/>
    </xf>
    <xf numFmtId="0" fontId="0" fillId="15" borderId="24" xfId="0" applyFill="1" applyBorder="1" applyAlignment="1">
      <alignment horizontal="center" vertical="center"/>
    </xf>
    <xf numFmtId="0" fontId="0" fillId="15" borderId="14" xfId="0" applyFill="1" applyBorder="1" applyAlignment="1">
      <alignment horizontal="center" vertical="center"/>
    </xf>
    <xf numFmtId="0" fontId="0" fillId="15" borderId="10" xfId="0"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vertical="center" wrapText="1"/>
    </xf>
    <xf numFmtId="0" fontId="4" fillId="6" borderId="9" xfId="4" applyFont="1" applyAlignment="1">
      <alignment horizontal="center"/>
    </xf>
    <xf numFmtId="0" fontId="8" fillId="7" borderId="8" xfId="2" applyFill="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0" fillId="0" borderId="3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15" borderId="25" xfId="0" applyFill="1" applyBorder="1" applyAlignment="1">
      <alignment horizontal="center" vertical="center"/>
    </xf>
    <xf numFmtId="0" fontId="0" fillId="15" borderId="31" xfId="0" applyFill="1" applyBorder="1" applyAlignment="1">
      <alignment horizontal="center" vertical="center"/>
    </xf>
    <xf numFmtId="0" fontId="0" fillId="0" borderId="13" xfId="0" applyBorder="1"/>
    <xf numFmtId="0" fontId="0" fillId="0" borderId="25" xfId="0" applyBorder="1" applyAlignment="1">
      <alignment horizontal="right"/>
    </xf>
    <xf numFmtId="0" fontId="0" fillId="0" borderId="25" xfId="0" applyBorder="1"/>
    <xf numFmtId="0" fontId="0" fillId="0" borderId="32" xfId="0" applyBorder="1" applyAlignment="1">
      <alignment horizontal="right"/>
    </xf>
    <xf numFmtId="0" fontId="0" fillId="0" borderId="35" xfId="0" applyBorder="1"/>
    <xf numFmtId="0" fontId="0" fillId="15" borderId="32" xfId="0" applyFill="1" applyBorder="1" applyAlignment="1">
      <alignment horizontal="center" vertical="center"/>
    </xf>
    <xf numFmtId="0" fontId="0" fillId="0" borderId="34" xfId="0" applyBorder="1"/>
    <xf numFmtId="0" fontId="0" fillId="0" borderId="25" xfId="0" applyBorder="1" applyAlignment="1">
      <alignment horizontal="center"/>
    </xf>
    <xf numFmtId="0" fontId="0" fillId="0" borderId="10"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15" borderId="33" xfId="0" applyFill="1" applyBorder="1" applyAlignment="1">
      <alignment horizontal="center" vertical="center"/>
    </xf>
    <xf numFmtId="0" fontId="0" fillId="15" borderId="26" xfId="0" applyFill="1" applyBorder="1" applyAlignment="1">
      <alignment horizontal="center" vertical="center"/>
    </xf>
    <xf numFmtId="0" fontId="0" fillId="0" borderId="37" xfId="0" applyBorder="1"/>
    <xf numFmtId="0" fontId="12" fillId="0" borderId="0" xfId="0" applyFont="1"/>
    <xf numFmtId="0" fontId="14" fillId="9" borderId="0" xfId="0" applyFont="1" applyFill="1"/>
    <xf numFmtId="2" fontId="0" fillId="0" borderId="0" xfId="0" applyNumberFormat="1" applyAlignment="1">
      <alignment horizontal="center" vertical="center"/>
    </xf>
    <xf numFmtId="0" fontId="0" fillId="12" borderId="21" xfId="0" applyFill="1" applyBorder="1" applyAlignment="1">
      <alignment horizontal="center"/>
    </xf>
    <xf numFmtId="0" fontId="0" fillId="12" borderId="22" xfId="0" applyFill="1" applyBorder="1" applyAlignment="1">
      <alignment horizontal="center"/>
    </xf>
    <xf numFmtId="0" fontId="0" fillId="12" borderId="12" xfId="0" applyFill="1" applyBorder="1" applyAlignment="1">
      <alignment horizontal="center"/>
    </xf>
    <xf numFmtId="0" fontId="0" fillId="12" borderId="10" xfId="0" applyFill="1" applyBorder="1" applyAlignment="1">
      <alignment horizontal="center" vertical="center"/>
    </xf>
    <xf numFmtId="0" fontId="0" fillId="12" borderId="10" xfId="0" applyFill="1" applyBorder="1" applyAlignment="1">
      <alignment horizontal="center" vertical="center" wrapText="1"/>
    </xf>
    <xf numFmtId="0" fontId="0" fillId="12" borderId="10" xfId="0" applyFill="1" applyBorder="1" applyAlignment="1">
      <alignment horizontal="center" vertical="center"/>
    </xf>
    <xf numFmtId="0" fontId="0" fillId="14" borderId="10" xfId="0" applyFill="1" applyBorder="1" applyAlignment="1">
      <alignment horizontal="center" vertical="center"/>
    </xf>
    <xf numFmtId="1" fontId="0" fillId="14" borderId="10" xfId="0" applyNumberFormat="1" applyFill="1" applyBorder="1" applyAlignment="1">
      <alignment horizontal="center" vertical="center"/>
    </xf>
    <xf numFmtId="2" fontId="0" fillId="14" borderId="10" xfId="0" applyNumberFormat="1" applyFill="1" applyBorder="1" applyAlignment="1">
      <alignment horizontal="center" vertical="center"/>
    </xf>
    <xf numFmtId="0" fontId="0" fillId="14" borderId="10" xfId="0" applyFill="1" applyBorder="1" applyAlignment="1">
      <alignment horizontal="center" vertical="center"/>
    </xf>
    <xf numFmtId="0" fontId="0" fillId="12" borderId="21" xfId="0" applyFill="1" applyBorder="1" applyAlignment="1">
      <alignment horizontal="center" vertical="center"/>
    </xf>
    <xf numFmtId="0" fontId="0" fillId="12" borderId="12" xfId="0" applyFill="1" applyBorder="1" applyAlignment="1">
      <alignment horizontal="center" vertical="center"/>
    </xf>
    <xf numFmtId="0" fontId="0" fillId="12" borderId="14" xfId="0" applyFill="1" applyBorder="1"/>
    <xf numFmtId="0" fontId="0" fillId="12" borderId="14" xfId="0" applyFill="1" applyBorder="1" applyAlignment="1">
      <alignment horizontal="center" vertical="center"/>
    </xf>
    <xf numFmtId="2" fontId="0" fillId="14" borderId="10" xfId="0" applyNumberFormat="1" applyFill="1" applyBorder="1"/>
    <xf numFmtId="0" fontId="0" fillId="12" borderId="10" xfId="0" applyFill="1" applyBorder="1" applyAlignment="1">
      <alignment horizontal="center"/>
    </xf>
    <xf numFmtId="0" fontId="0" fillId="12" borderId="14" xfId="0" applyFill="1" applyBorder="1" applyAlignment="1">
      <alignment horizontal="center" vertical="center" wrapText="1"/>
    </xf>
    <xf numFmtId="2" fontId="0" fillId="14" borderId="14" xfId="0" applyNumberFormat="1" applyFill="1" applyBorder="1" applyAlignment="1">
      <alignment horizontal="center" vertical="center"/>
    </xf>
    <xf numFmtId="0" fontId="0" fillId="14" borderId="14" xfId="0" applyFill="1" applyBorder="1" applyAlignment="1">
      <alignment horizontal="center" vertical="center"/>
    </xf>
    <xf numFmtId="0" fontId="0" fillId="14" borderId="21" xfId="0" applyFill="1" applyBorder="1" applyAlignment="1">
      <alignment horizontal="center"/>
    </xf>
    <xf numFmtId="0" fontId="0" fillId="14" borderId="22" xfId="0" applyFill="1" applyBorder="1" applyAlignment="1">
      <alignment horizontal="center"/>
    </xf>
    <xf numFmtId="0" fontId="0" fillId="14" borderId="12" xfId="0" applyFill="1" applyBorder="1" applyAlignment="1">
      <alignment horizontal="center"/>
    </xf>
    <xf numFmtId="0" fontId="0" fillId="11" borderId="25" xfId="0" applyFill="1" applyBorder="1"/>
    <xf numFmtId="0" fontId="0" fillId="11" borderId="37" xfId="0" applyFill="1" applyBorder="1"/>
    <xf numFmtId="0" fontId="0" fillId="0" borderId="36"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xf>
    <xf numFmtId="0" fontId="2" fillId="11" borderId="25" xfId="0" applyFont="1" applyFill="1" applyBorder="1"/>
    <xf numFmtId="0" fontId="7" fillId="2" borderId="10" xfId="0" applyFont="1" applyFill="1" applyBorder="1"/>
    <xf numFmtId="0" fontId="5" fillId="16" borderId="10" xfId="0" applyFont="1" applyFill="1" applyBorder="1" applyAlignment="1">
      <alignment horizontal="center"/>
    </xf>
    <xf numFmtId="0" fontId="0" fillId="16" borderId="10" xfId="0" applyFill="1" applyBorder="1" applyAlignment="1">
      <alignment horizontal="center"/>
    </xf>
    <xf numFmtId="0" fontId="5" fillId="17" borderId="10" xfId="0" applyFont="1" applyFill="1" applyBorder="1" applyAlignment="1">
      <alignment horizontal="center"/>
    </xf>
    <xf numFmtId="168" fontId="5" fillId="3" borderId="10" xfId="0" applyNumberFormat="1" applyFont="1" applyFill="1" applyBorder="1"/>
    <xf numFmtId="168" fontId="5" fillId="0" borderId="10" xfId="0" applyNumberFormat="1" applyFont="1" applyBorder="1"/>
    <xf numFmtId="168" fontId="0" fillId="0" borderId="10" xfId="0" applyNumberFormat="1" applyBorder="1"/>
    <xf numFmtId="4" fontId="5" fillId="3" borderId="10" xfId="0" applyNumberFormat="1" applyFont="1" applyFill="1" applyBorder="1"/>
    <xf numFmtId="4" fontId="5" fillId="0" borderId="10" xfId="0" applyNumberFormat="1" applyFont="1" applyBorder="1"/>
    <xf numFmtId="0" fontId="13" fillId="0" borderId="0" xfId="5" applyFill="1"/>
    <xf numFmtId="0" fontId="5" fillId="0" borderId="21" xfId="0" applyFont="1" applyBorder="1" applyAlignment="1">
      <alignment horizontal="center"/>
    </xf>
    <xf numFmtId="0" fontId="5" fillId="0" borderId="12" xfId="0" applyFont="1" applyBorder="1" applyAlignment="1">
      <alignment horizontal="center"/>
    </xf>
    <xf numFmtId="0" fontId="5" fillId="16" borderId="21" xfId="0" applyFont="1" applyFill="1" applyBorder="1" applyAlignment="1">
      <alignment horizontal="center"/>
    </xf>
    <xf numFmtId="0" fontId="5" fillId="16" borderId="12" xfId="0" applyFont="1" applyFill="1" applyBorder="1" applyAlignment="1">
      <alignment horizontal="center"/>
    </xf>
    <xf numFmtId="4" fontId="5" fillId="16" borderId="10" xfId="0" applyNumberFormat="1" applyFont="1" applyFill="1" applyBorder="1"/>
    <xf numFmtId="4" fontId="5" fillId="18" borderId="10" xfId="0" applyNumberFormat="1" applyFont="1" applyFill="1" applyBorder="1"/>
    <xf numFmtId="168" fontId="5" fillId="18" borderId="10" xfId="0" applyNumberFormat="1" applyFont="1" applyFill="1" applyBorder="1"/>
    <xf numFmtId="0" fontId="5" fillId="13" borderId="10" xfId="0" applyFont="1" applyFill="1" applyBorder="1" applyAlignment="1">
      <alignment horizontal="center"/>
    </xf>
    <xf numFmtId="0" fontId="0" fillId="0" borderId="0"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19" borderId="0" xfId="0" applyFill="1" applyAlignment="1">
      <alignment horizontal="center"/>
    </xf>
    <xf numFmtId="0" fontId="0" fillId="19" borderId="38" xfId="0" applyFill="1" applyBorder="1" applyAlignment="1">
      <alignment horizontal="center"/>
    </xf>
    <xf numFmtId="0" fontId="0" fillId="0" borderId="28" xfId="0" applyBorder="1"/>
    <xf numFmtId="0" fontId="0" fillId="0" borderId="29" xfId="0" applyBorder="1"/>
    <xf numFmtId="0" fontId="11" fillId="20" borderId="10" xfId="0" applyFont="1" applyFill="1" applyBorder="1"/>
  </cellXfs>
  <cellStyles count="6">
    <cellStyle name="60% - Cor1" xfId="1" builtinId="32"/>
    <cellStyle name="Cabeçalho 1" xfId="2" builtinId="16"/>
    <cellStyle name="Correto" xfId="3" builtinId="26"/>
    <cellStyle name="Hiperligação" xfId="5" builtinId="8"/>
    <cellStyle name="Normal" xfId="0" builtinId="0"/>
    <cellStyle name="Nota" xfId="4" builtinId="10"/>
  </cellStyles>
  <dxfs count="12">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4</xdr:row>
      <xdr:rowOff>6897</xdr:rowOff>
    </xdr:from>
    <xdr:to>
      <xdr:col>8</xdr:col>
      <xdr:colOff>458740</xdr:colOff>
      <xdr:row>34</xdr:row>
      <xdr:rowOff>99219</xdr:rowOff>
    </xdr:to>
    <xdr:pic>
      <xdr:nvPicPr>
        <xdr:cNvPr id="2" name="Imagem 1">
          <a:extLst>
            <a:ext uri="{FF2B5EF4-FFF2-40B4-BE49-F238E27FC236}">
              <a16:creationId xmlns:a16="http://schemas.microsoft.com/office/drawing/2014/main" id="{90E51C4F-85A2-F335-1555-6EA2BD5D6B92}"/>
            </a:ext>
          </a:extLst>
        </xdr:cNvPr>
        <xdr:cNvPicPr>
          <a:picLocks noChangeAspect="1"/>
        </xdr:cNvPicPr>
      </xdr:nvPicPr>
      <xdr:blipFill>
        <a:blip xmlns:r="http://schemas.openxmlformats.org/officeDocument/2006/relationships" r:embed="rId1"/>
        <a:stretch>
          <a:fillRect/>
        </a:stretch>
      </xdr:blipFill>
      <xdr:spPr>
        <a:xfrm>
          <a:off x="342900" y="768897"/>
          <a:ext cx="5500640" cy="5807322"/>
        </a:xfrm>
        <a:prstGeom prst="rect">
          <a:avLst/>
        </a:prstGeom>
      </xdr:spPr>
    </xdr:pic>
    <xdr:clientData/>
  </xdr:twoCellAnchor>
  <xdr:twoCellAnchor editAs="oneCell">
    <xdr:from>
      <xdr:col>0</xdr:col>
      <xdr:colOff>445851</xdr:colOff>
      <xdr:row>37</xdr:row>
      <xdr:rowOff>16933</xdr:rowOff>
    </xdr:from>
    <xdr:to>
      <xdr:col>8</xdr:col>
      <xdr:colOff>52679</xdr:colOff>
      <xdr:row>66</xdr:row>
      <xdr:rowOff>107181</xdr:rowOff>
    </xdr:to>
    <xdr:pic>
      <xdr:nvPicPr>
        <xdr:cNvPr id="12" name="Imagem 2">
          <a:extLst>
            <a:ext uri="{FF2B5EF4-FFF2-40B4-BE49-F238E27FC236}">
              <a16:creationId xmlns:a16="http://schemas.microsoft.com/office/drawing/2014/main" id="{29BEF8E5-A61F-4C4E-3BEE-3248FCC29350}"/>
            </a:ext>
          </a:extLst>
        </xdr:cNvPr>
        <xdr:cNvPicPr>
          <a:picLocks noChangeAspect="1"/>
        </xdr:cNvPicPr>
      </xdr:nvPicPr>
      <xdr:blipFill>
        <a:blip xmlns:r="http://schemas.openxmlformats.org/officeDocument/2006/relationships" r:embed="rId2"/>
        <a:stretch>
          <a:fillRect/>
        </a:stretch>
      </xdr:blipFill>
      <xdr:spPr>
        <a:xfrm>
          <a:off x="445851" y="7065433"/>
          <a:ext cx="5025495" cy="5614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561975</xdr:colOff>
      <xdr:row>4</xdr:row>
      <xdr:rowOff>0</xdr:rowOff>
    </xdr:from>
    <xdr:to>
      <xdr:col>8</xdr:col>
      <xdr:colOff>104775</xdr:colOff>
      <xdr:row>38</xdr:row>
      <xdr:rowOff>133350</xdr:rowOff>
    </xdr:to>
    <xdr:pic>
      <xdr:nvPicPr>
        <xdr:cNvPr id="6" name="Picture 1">
          <a:extLst>
            <a:ext uri="{FF2B5EF4-FFF2-40B4-BE49-F238E27FC236}">
              <a16:creationId xmlns:a16="http://schemas.microsoft.com/office/drawing/2014/main" id="{D3F06FCF-A37F-BD1F-8A1E-DE26C0A284A2}"/>
            </a:ext>
          </a:extLst>
        </xdr:cNvPr>
        <xdr:cNvPicPr>
          <a:picLocks noChangeAspect="1"/>
        </xdr:cNvPicPr>
      </xdr:nvPicPr>
      <xdr:blipFill>
        <a:blip xmlns:r="http://schemas.openxmlformats.org/officeDocument/2006/relationships" r:embed="rId1"/>
        <a:stretch>
          <a:fillRect/>
        </a:stretch>
      </xdr:blipFill>
      <xdr:spPr>
        <a:xfrm>
          <a:off x="1781175" y="723900"/>
          <a:ext cx="3200400" cy="6400800"/>
        </a:xfrm>
        <a:prstGeom prst="rect">
          <a:avLst/>
        </a:prstGeom>
      </xdr:spPr>
    </xdr:pic>
    <xdr:clientData/>
  </xdr:twoCellAnchor>
  <xdr:twoCellAnchor editAs="oneCell">
    <xdr:from>
      <xdr:col>2</xdr:col>
      <xdr:colOff>523875</xdr:colOff>
      <xdr:row>44</xdr:row>
      <xdr:rowOff>142875</xdr:rowOff>
    </xdr:from>
    <xdr:to>
      <xdr:col>8</xdr:col>
      <xdr:colOff>104775</xdr:colOff>
      <xdr:row>80</xdr:row>
      <xdr:rowOff>28575</xdr:rowOff>
    </xdr:to>
    <xdr:pic>
      <xdr:nvPicPr>
        <xdr:cNvPr id="14" name="Picture 2">
          <a:extLst>
            <a:ext uri="{FF2B5EF4-FFF2-40B4-BE49-F238E27FC236}">
              <a16:creationId xmlns:a16="http://schemas.microsoft.com/office/drawing/2014/main" id="{FD5570EB-B529-0FB3-E737-76F4263D248F}"/>
            </a:ext>
            <a:ext uri="{147F2762-F138-4A5C-976F-8EAC2B608ADB}">
              <a16:predDERef xmlns:a16="http://schemas.microsoft.com/office/drawing/2014/main" pred="{D3F06FCF-A37F-BD1F-8A1E-DE26C0A284A2}"/>
            </a:ext>
          </a:extLst>
        </xdr:cNvPr>
        <xdr:cNvPicPr>
          <a:picLocks noChangeAspect="1"/>
        </xdr:cNvPicPr>
      </xdr:nvPicPr>
      <xdr:blipFill>
        <a:blip xmlns:r="http://schemas.openxmlformats.org/officeDocument/2006/relationships" r:embed="rId2"/>
        <a:stretch>
          <a:fillRect/>
        </a:stretch>
      </xdr:blipFill>
      <xdr:spPr>
        <a:xfrm>
          <a:off x="1743075" y="8124825"/>
          <a:ext cx="3238500" cy="6429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48260</xdr:colOff>
      <xdr:row>5</xdr:row>
      <xdr:rowOff>20320</xdr:rowOff>
    </xdr:from>
    <xdr:to>
      <xdr:col>9</xdr:col>
      <xdr:colOff>124711</xdr:colOff>
      <xdr:row>33</xdr:row>
      <xdr:rowOff>128905</xdr:rowOff>
    </xdr:to>
    <xdr:pic>
      <xdr:nvPicPr>
        <xdr:cNvPr id="6" name="Imagem 1">
          <a:extLst>
            <a:ext uri="{FF2B5EF4-FFF2-40B4-BE49-F238E27FC236}">
              <a16:creationId xmlns:a16="http://schemas.microsoft.com/office/drawing/2014/main" id="{B475F4C3-6486-B167-5290-18608F59EFEA}"/>
            </a:ext>
          </a:extLst>
        </xdr:cNvPr>
        <xdr:cNvPicPr>
          <a:picLocks noChangeAspect="1"/>
        </xdr:cNvPicPr>
      </xdr:nvPicPr>
      <xdr:blipFill>
        <a:blip xmlns:r="http://schemas.openxmlformats.org/officeDocument/2006/relationships" r:embed="rId1"/>
        <a:stretch>
          <a:fillRect/>
        </a:stretch>
      </xdr:blipFill>
      <xdr:spPr>
        <a:xfrm>
          <a:off x="657860" y="934720"/>
          <a:ext cx="4953251" cy="5267960"/>
        </a:xfrm>
        <a:prstGeom prst="rect">
          <a:avLst/>
        </a:prstGeom>
      </xdr:spPr>
    </xdr:pic>
    <xdr:clientData/>
  </xdr:twoCellAnchor>
  <xdr:twoCellAnchor editAs="oneCell">
    <xdr:from>
      <xdr:col>1</xdr:col>
      <xdr:colOff>0</xdr:colOff>
      <xdr:row>39</xdr:row>
      <xdr:rowOff>0</xdr:rowOff>
    </xdr:from>
    <xdr:to>
      <xdr:col>9</xdr:col>
      <xdr:colOff>213801</xdr:colOff>
      <xdr:row>71</xdr:row>
      <xdr:rowOff>46226</xdr:rowOff>
    </xdr:to>
    <xdr:pic>
      <xdr:nvPicPr>
        <xdr:cNvPr id="15" name="Imagem 8">
          <a:extLst>
            <a:ext uri="{FF2B5EF4-FFF2-40B4-BE49-F238E27FC236}">
              <a16:creationId xmlns:a16="http://schemas.microsoft.com/office/drawing/2014/main" id="{3824CEB5-3629-C9EE-62F0-1B12D83D5D59}"/>
            </a:ext>
          </a:extLst>
        </xdr:cNvPr>
        <xdr:cNvPicPr>
          <a:picLocks noChangeAspect="1"/>
        </xdr:cNvPicPr>
      </xdr:nvPicPr>
      <xdr:blipFill>
        <a:blip xmlns:r="http://schemas.openxmlformats.org/officeDocument/2006/relationships" r:embed="rId2"/>
        <a:stretch>
          <a:fillRect/>
        </a:stretch>
      </xdr:blipFill>
      <xdr:spPr>
        <a:xfrm>
          <a:off x="609600" y="7132320"/>
          <a:ext cx="5090601" cy="58374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xdr:colOff>
      <xdr:row>32</xdr:row>
      <xdr:rowOff>152400</xdr:rowOff>
    </xdr:from>
    <xdr:to>
      <xdr:col>9</xdr:col>
      <xdr:colOff>247650</xdr:colOff>
      <xdr:row>38</xdr:row>
      <xdr:rowOff>19050</xdr:rowOff>
    </xdr:to>
    <xdr:pic>
      <xdr:nvPicPr>
        <xdr:cNvPr id="4" name="Picture 3">
          <a:extLst>
            <a:ext uri="{FF2B5EF4-FFF2-40B4-BE49-F238E27FC236}">
              <a16:creationId xmlns:a16="http://schemas.microsoft.com/office/drawing/2014/main" id="{41A06B9F-AAE1-FE61-B751-78D82B9C71CF}"/>
            </a:ext>
            <a:ext uri="{147F2762-F138-4A5C-976F-8EAC2B608ADB}">
              <a16:predDERef xmlns:a16="http://schemas.microsoft.com/office/drawing/2014/main" pred="{58DAE2D0-FC1A-161C-285F-C6BB84FD9558}"/>
            </a:ext>
          </a:extLst>
        </xdr:cNvPr>
        <xdr:cNvPicPr>
          <a:picLocks noChangeAspect="1"/>
        </xdr:cNvPicPr>
      </xdr:nvPicPr>
      <xdr:blipFill>
        <a:blip xmlns:r="http://schemas.openxmlformats.org/officeDocument/2006/relationships" r:embed="rId1"/>
        <a:stretch>
          <a:fillRect/>
        </a:stretch>
      </xdr:blipFill>
      <xdr:spPr>
        <a:xfrm>
          <a:off x="1238250" y="6029325"/>
          <a:ext cx="4495800" cy="962025"/>
        </a:xfrm>
        <a:prstGeom prst="rect">
          <a:avLst/>
        </a:prstGeom>
      </xdr:spPr>
    </xdr:pic>
    <xdr:clientData/>
  </xdr:twoCellAnchor>
  <xdr:twoCellAnchor editAs="oneCell">
    <xdr:from>
      <xdr:col>1</xdr:col>
      <xdr:colOff>581025</xdr:colOff>
      <xdr:row>7</xdr:row>
      <xdr:rowOff>171450</xdr:rowOff>
    </xdr:from>
    <xdr:to>
      <xdr:col>9</xdr:col>
      <xdr:colOff>428625</xdr:colOff>
      <xdr:row>32</xdr:row>
      <xdr:rowOff>123825</xdr:rowOff>
    </xdr:to>
    <xdr:pic>
      <xdr:nvPicPr>
        <xdr:cNvPr id="5" name="Picture 4">
          <a:extLst>
            <a:ext uri="{FF2B5EF4-FFF2-40B4-BE49-F238E27FC236}">
              <a16:creationId xmlns:a16="http://schemas.microsoft.com/office/drawing/2014/main" id="{514659EA-CFE4-F192-6746-97C61712950F}"/>
            </a:ext>
            <a:ext uri="{147F2762-F138-4A5C-976F-8EAC2B608ADB}">
              <a16:predDERef xmlns:a16="http://schemas.microsoft.com/office/drawing/2014/main" pred="{210EC5DB-AE51-F329-5DE7-1941230915BC}"/>
            </a:ext>
          </a:extLst>
        </xdr:cNvPr>
        <xdr:cNvPicPr>
          <a:picLocks noChangeAspect="1"/>
        </xdr:cNvPicPr>
      </xdr:nvPicPr>
      <xdr:blipFill>
        <a:blip xmlns:r="http://schemas.openxmlformats.org/officeDocument/2006/relationships" r:embed="rId2"/>
        <a:stretch>
          <a:fillRect/>
        </a:stretch>
      </xdr:blipFill>
      <xdr:spPr>
        <a:xfrm>
          <a:off x="1171575" y="1495425"/>
          <a:ext cx="4572000" cy="4562475"/>
        </a:xfrm>
        <a:prstGeom prst="rect">
          <a:avLst/>
        </a:prstGeom>
      </xdr:spPr>
    </xdr:pic>
    <xdr:clientData/>
  </xdr:twoCellAnchor>
  <xdr:twoCellAnchor editAs="oneCell">
    <xdr:from>
      <xdr:col>22</xdr:col>
      <xdr:colOff>0</xdr:colOff>
      <xdr:row>49</xdr:row>
      <xdr:rowOff>0</xdr:rowOff>
    </xdr:from>
    <xdr:to>
      <xdr:col>26</xdr:col>
      <xdr:colOff>333375</xdr:colOff>
      <xdr:row>71</xdr:row>
      <xdr:rowOff>47625</xdr:rowOff>
    </xdr:to>
    <xdr:pic>
      <xdr:nvPicPr>
        <xdr:cNvPr id="8" name="Picture 7">
          <a:extLst>
            <a:ext uri="{FF2B5EF4-FFF2-40B4-BE49-F238E27FC236}">
              <a16:creationId xmlns:a16="http://schemas.microsoft.com/office/drawing/2014/main" id="{05121AC5-A84F-DAC8-C7A4-71578BF7F6FE}"/>
            </a:ext>
            <a:ext uri="{147F2762-F138-4A5C-976F-8EAC2B608ADB}">
              <a16:predDERef xmlns:a16="http://schemas.microsoft.com/office/drawing/2014/main" pred="{514659EA-CFE4-F192-6746-97C61712950F}"/>
            </a:ext>
          </a:extLst>
        </xdr:cNvPr>
        <xdr:cNvPicPr>
          <a:picLocks noChangeAspect="1"/>
        </xdr:cNvPicPr>
      </xdr:nvPicPr>
      <xdr:blipFill>
        <a:blip xmlns:r="http://schemas.openxmlformats.org/officeDocument/2006/relationships" r:embed="rId3"/>
        <a:stretch>
          <a:fillRect/>
        </a:stretch>
      </xdr:blipFill>
      <xdr:spPr>
        <a:xfrm>
          <a:off x="12934950" y="9286875"/>
          <a:ext cx="4572000" cy="4238625"/>
        </a:xfrm>
        <a:prstGeom prst="rect">
          <a:avLst/>
        </a:prstGeom>
      </xdr:spPr>
    </xdr:pic>
    <xdr:clientData/>
  </xdr:twoCellAnchor>
  <xdr:twoCellAnchor editAs="oneCell">
    <xdr:from>
      <xdr:col>1</xdr:col>
      <xdr:colOff>0</xdr:colOff>
      <xdr:row>49</xdr:row>
      <xdr:rowOff>0</xdr:rowOff>
    </xdr:from>
    <xdr:to>
      <xdr:col>8</xdr:col>
      <xdr:colOff>488950</xdr:colOff>
      <xdr:row>74</xdr:row>
      <xdr:rowOff>38100</xdr:rowOff>
    </xdr:to>
    <xdr:pic>
      <xdr:nvPicPr>
        <xdr:cNvPr id="2" name="Picture 8">
          <a:extLst>
            <a:ext uri="{FF2B5EF4-FFF2-40B4-BE49-F238E27FC236}">
              <a16:creationId xmlns:a16="http://schemas.microsoft.com/office/drawing/2014/main" id="{1D59C68F-956A-EBF3-0B7C-29AC1F585AA5}"/>
            </a:ext>
            <a:ext uri="{147F2762-F138-4A5C-976F-8EAC2B608ADB}">
              <a16:predDERef xmlns:a16="http://schemas.microsoft.com/office/drawing/2014/main" pred="{05121AC5-A84F-DAC8-C7A4-71578BF7F6FE}"/>
            </a:ext>
          </a:extLst>
        </xdr:cNvPr>
        <xdr:cNvPicPr>
          <a:picLocks noChangeAspect="1"/>
        </xdr:cNvPicPr>
      </xdr:nvPicPr>
      <xdr:blipFill>
        <a:blip xmlns:r="http://schemas.openxmlformats.org/officeDocument/2006/relationships" r:embed="rId4"/>
        <a:stretch>
          <a:fillRect/>
        </a:stretch>
      </xdr:blipFill>
      <xdr:spPr>
        <a:xfrm>
          <a:off x="590550" y="9286875"/>
          <a:ext cx="5200650" cy="48006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0CF14-8A17-4F5C-A20D-B63597A4CC6E}" name="Tabela1" displayName="Tabela1" ref="J67:K82" totalsRowShown="0">
  <autoFilter ref="J67:K82" xr:uid="{8410CF14-8A17-4F5C-A20D-B63597A4CC6E}"/>
  <tableColumns count="2">
    <tableColumn id="1" xr3:uid="{31837713-6793-4533-AAD3-7F682A81E8BE}" name="Outlets per room"/>
    <tableColumn id="2" xr3:uid="{0B1597E8-D06B-4F45-8ABC-066F1C1B0AB1}" name="Arredondament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D45FA7-79E3-482F-98D6-D2EB2B649C2B}" name="Tabela2" displayName="Tabela2" ref="N49:Q64" totalsRowShown="0" headerRowDxfId="11" dataDxfId="10">
  <autoFilter ref="N49:Q64" xr:uid="{E5D45FA7-79E3-482F-98D6-D2EB2B649C2B}"/>
  <tableColumns count="4">
    <tableColumn id="1" xr3:uid="{8966FB78-BE5E-4C7C-8575-4AE87EE7F6AD}" name="Sala" dataDxfId="9"/>
    <tableColumn id="2" xr3:uid="{B8FCB741-06A3-4294-A72E-38DBFB95A9C4}" name="Area Por Sala :" dataDxfId="8"/>
    <tableColumn id="3" xr3:uid="{28204625-E7C9-4AC1-AB3B-7B45BC505970}" name="largura" dataDxfId="7"/>
    <tableColumn id="4" xr3:uid="{C3F3B95C-8951-44A7-8C12-1721F461C00B}" name="comprimento"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B850E1B-A110-4C4E-B1CB-C6EAA8585248}" name="Tabela4" displayName="Tabela4" ref="J24:K35" totalsRowShown="0">
  <autoFilter ref="J24:K35" xr:uid="{DB850E1B-A110-4C4E-B1CB-C6EAA8585248}"/>
  <tableColumns count="2">
    <tableColumn id="1" xr3:uid="{BCD0B8A8-B7B4-460A-935E-AC560402A15C}" name="Room"/>
    <tableColumn id="2" xr3:uid="{B46BC1A2-3146-47D1-BC40-82A47D44920C}" name="Outlets per roo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7E4201-8E30-4AD1-BAFE-6DCDCE4715C1}" name="Tabela5" displayName="Tabela5" ref="N9:Q21" totalsRowShown="0" headerRowDxfId="5" dataDxfId="4">
  <autoFilter ref="N9:Q21" xr:uid="{C77E4201-8E30-4AD1-BAFE-6DCDCE4715C1}"/>
  <tableColumns count="4">
    <tableColumn id="1" xr3:uid="{F7933321-EB34-499E-A90D-567B90AE770D}" name="Sala" dataDxfId="3"/>
    <tableColumn id="2" xr3:uid="{D409A531-BD75-453B-9702-9593C93DBD0E}" name="Area por Sala" dataDxfId="2"/>
    <tableColumn id="4" xr3:uid="{4EBD78F7-8B62-46B4-948C-F9B4AA04A695}" name="largura" dataDxfId="1"/>
    <tableColumn id="5" xr3:uid="{7B5EA501-9084-47F9-BFCA-7FFBD83DD0A4}" name="compriment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t.vicedeal.com/products/10-pcs-lote-sc-apc-sc-upc-single-mode-simplex-fibra-optica-jumper-cable-5m-10m-15m-2-0-3-0mm-patch-cord-de-fibra-optica-ftth-cabo?msclkid=0f3d99f5aced16b894befc18512d5f0f&amp;utm_source=bing&amp;utm_medium=cpc&amp;utm_campaign=VD+PT+%7C+Shopping+%7C+Search&amp;utm_term=4576373580327097&amp;utm_content=Ad+group+%231&amp;variant=UHJvZHVjdFZhcmlhbnQ6NTA0NzYzMD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J6:AJ66"/>
  <sheetViews>
    <sheetView topLeftCell="A4" zoomScale="70" zoomScaleNormal="70" workbookViewId="0">
      <selection activeCell="V62" sqref="V62"/>
    </sheetView>
  </sheetViews>
  <sheetFormatPr defaultColWidth="8.85546875" defaultRowHeight="15" x14ac:dyDescent="0.25"/>
  <cols>
    <col min="10" max="10" width="15.28515625" customWidth="1"/>
    <col min="11" max="11" width="17" customWidth="1"/>
    <col min="12" max="12" width="10.7109375" customWidth="1"/>
    <col min="13" max="13" width="14.28515625" customWidth="1"/>
    <col min="15" max="15" width="12.42578125" customWidth="1"/>
    <col min="16" max="16" width="17.28515625" customWidth="1"/>
    <col min="20" max="20" width="9.7109375" customWidth="1"/>
    <col min="21" max="21" width="12" customWidth="1"/>
    <col min="22" max="22" width="12.85546875" customWidth="1"/>
    <col min="24" max="24" width="14" customWidth="1"/>
    <col min="25" max="25" width="15.140625" customWidth="1"/>
    <col min="35" max="35" width="12.140625" customWidth="1"/>
  </cols>
  <sheetData>
    <row r="6" spans="10:36" x14ac:dyDescent="0.25">
      <c r="J6" s="34" t="s">
        <v>0</v>
      </c>
      <c r="K6" s="35"/>
      <c r="L6" s="35"/>
      <c r="M6" s="35"/>
      <c r="N6" s="35"/>
      <c r="S6" s="80" t="s">
        <v>0</v>
      </c>
      <c r="T6" s="80"/>
      <c r="U6" s="80"/>
      <c r="V6" s="80"/>
      <c r="W6" s="80"/>
      <c r="X6" s="80"/>
      <c r="Y6" s="80"/>
      <c r="AC6" s="80" t="s">
        <v>1</v>
      </c>
      <c r="AD6" s="80"/>
      <c r="AE6" s="80"/>
      <c r="AF6" s="80"/>
      <c r="AG6" s="80"/>
      <c r="AH6" s="80"/>
      <c r="AI6" s="80"/>
    </row>
    <row r="7" spans="10:36" ht="14.45" customHeight="1" x14ac:dyDescent="0.25">
      <c r="J7" s="4" t="s">
        <v>2</v>
      </c>
      <c r="S7" s="81" t="s">
        <v>3</v>
      </c>
      <c r="T7" s="81"/>
      <c r="U7" s="81"/>
      <c r="V7" s="81"/>
      <c r="W7" s="81"/>
      <c r="X7" s="81" t="s">
        <v>4</v>
      </c>
      <c r="Y7" s="81"/>
      <c r="AC7" s="81" t="s">
        <v>3</v>
      </c>
      <c r="AD7" s="81"/>
      <c r="AE7" s="81"/>
      <c r="AF7" s="81"/>
      <c r="AG7" s="81"/>
      <c r="AH7" s="81" t="s">
        <v>4</v>
      </c>
      <c r="AI7" s="141"/>
    </row>
    <row r="8" spans="10:36" x14ac:dyDescent="0.25">
      <c r="S8" s="45" t="s">
        <v>5</v>
      </c>
      <c r="T8" s="45" t="s">
        <v>6</v>
      </c>
      <c r="U8" s="45" t="s">
        <v>7</v>
      </c>
      <c r="V8" s="45" t="s">
        <v>8</v>
      </c>
      <c r="W8" s="72" t="s">
        <v>9</v>
      </c>
      <c r="X8" s="73" t="s">
        <v>10</v>
      </c>
      <c r="Y8" s="73" t="s">
        <v>11</v>
      </c>
      <c r="AC8" s="45" t="s">
        <v>5</v>
      </c>
      <c r="AD8" s="45" t="s">
        <v>6</v>
      </c>
      <c r="AE8" s="45" t="s">
        <v>10</v>
      </c>
      <c r="AF8" s="45" t="s">
        <v>8</v>
      </c>
      <c r="AG8" s="72" t="s">
        <v>9</v>
      </c>
      <c r="AH8" s="140" t="s">
        <v>10</v>
      </c>
      <c r="AI8" s="142" t="s">
        <v>11</v>
      </c>
    </row>
    <row r="9" spans="10:36" x14ac:dyDescent="0.25">
      <c r="J9" s="42" t="s">
        <v>12</v>
      </c>
      <c r="K9" s="43" t="s">
        <v>13</v>
      </c>
      <c r="L9" s="43" t="s">
        <v>14</v>
      </c>
      <c r="M9" s="37" t="s">
        <v>15</v>
      </c>
      <c r="N9" s="37" t="s">
        <v>16</v>
      </c>
      <c r="S9" s="82" t="s">
        <v>17</v>
      </c>
      <c r="T9" s="36">
        <v>1</v>
      </c>
      <c r="U9" s="36">
        <f>19.5+2.6</f>
        <v>22.1</v>
      </c>
      <c r="V9" s="36">
        <v>3.5</v>
      </c>
      <c r="W9" s="36">
        <f>U9+V9</f>
        <v>25.6</v>
      </c>
      <c r="X9" s="69">
        <v>0</v>
      </c>
      <c r="Y9" s="69">
        <f>2+4</f>
        <v>6</v>
      </c>
      <c r="AC9" s="82" t="s">
        <v>18</v>
      </c>
      <c r="AD9" s="36">
        <v>1</v>
      </c>
      <c r="AE9" s="36">
        <f>1.35+19.3</f>
        <v>20.650000000000002</v>
      </c>
      <c r="AF9" s="36">
        <f>1.6+2.5</f>
        <v>4.0999999999999996</v>
      </c>
      <c r="AG9" s="36">
        <f t="shared" ref="AG9:AG40" si="0">AE9+AF9</f>
        <v>24.75</v>
      </c>
      <c r="AH9" s="69">
        <v>0</v>
      </c>
      <c r="AI9" s="72">
        <f>1.3+0.4</f>
        <v>1.7000000000000002</v>
      </c>
    </row>
    <row r="10" spans="10:36" x14ac:dyDescent="0.25">
      <c r="J10" s="46" t="s">
        <v>19</v>
      </c>
      <c r="K10" s="47">
        <v>5.3</v>
      </c>
      <c r="L10" s="48">
        <v>5</v>
      </c>
      <c r="M10" s="41">
        <f t="shared" ref="M10:M15" si="1">K10*L10</f>
        <v>26.5</v>
      </c>
      <c r="N10" s="36">
        <v>6</v>
      </c>
      <c r="S10" s="83"/>
      <c r="T10" s="36">
        <v>2</v>
      </c>
      <c r="U10" s="36">
        <f>19.5+2.6</f>
        <v>22.1</v>
      </c>
      <c r="V10" s="36">
        <v>1.6</v>
      </c>
      <c r="W10" s="36">
        <f>U10+V10</f>
        <v>23.700000000000003</v>
      </c>
      <c r="Y10" s="68">
        <f>X9+Y9</f>
        <v>6</v>
      </c>
      <c r="Z10" s="70" t="s">
        <v>20</v>
      </c>
      <c r="AC10" s="83"/>
      <c r="AD10" s="36">
        <v>2</v>
      </c>
      <c r="AE10" s="36">
        <f>1.35+19.3</f>
        <v>20.650000000000002</v>
      </c>
      <c r="AF10" s="36">
        <f>3.5+2.5</f>
        <v>6</v>
      </c>
      <c r="AG10" s="36">
        <f t="shared" si="0"/>
        <v>26.650000000000002</v>
      </c>
      <c r="AI10" s="68">
        <f>AH9+AI9</f>
        <v>1.7000000000000002</v>
      </c>
      <c r="AJ10" s="70" t="s">
        <v>20</v>
      </c>
    </row>
    <row r="11" spans="10:36" x14ac:dyDescent="0.25">
      <c r="J11" s="49" t="s">
        <v>21</v>
      </c>
      <c r="K11" s="50">
        <v>3.7</v>
      </c>
      <c r="L11" s="51">
        <v>5</v>
      </c>
      <c r="M11" s="41">
        <f t="shared" si="1"/>
        <v>18.5</v>
      </c>
      <c r="N11" s="36">
        <v>4</v>
      </c>
      <c r="S11" s="83"/>
      <c r="T11" s="36">
        <v>3</v>
      </c>
      <c r="U11" s="36">
        <f>19.5+2.6</f>
        <v>22.1</v>
      </c>
      <c r="V11" s="36">
        <v>1.75</v>
      </c>
      <c r="W11" s="36">
        <f t="shared" ref="W11:W52" si="2">U11+V11</f>
        <v>23.85</v>
      </c>
      <c r="AC11" s="83"/>
      <c r="AD11" s="36">
        <v>3</v>
      </c>
      <c r="AE11" s="36">
        <f>1.35+19.3</f>
        <v>20.650000000000002</v>
      </c>
      <c r="AF11" s="36">
        <f>5.3+2.5</f>
        <v>7.8</v>
      </c>
      <c r="AG11" s="36">
        <f t="shared" si="0"/>
        <v>28.450000000000003</v>
      </c>
    </row>
    <row r="12" spans="10:36" x14ac:dyDescent="0.25">
      <c r="J12" s="44" t="s">
        <v>22</v>
      </c>
      <c r="K12" s="45">
        <v>4.7</v>
      </c>
      <c r="L12" s="45">
        <v>5</v>
      </c>
      <c r="M12" s="36">
        <f t="shared" si="1"/>
        <v>23.5</v>
      </c>
      <c r="N12" s="36">
        <v>6</v>
      </c>
      <c r="S12" s="83"/>
      <c r="T12" s="36">
        <v>4</v>
      </c>
      <c r="U12" s="36">
        <f>19.5+2.6</f>
        <v>22.1</v>
      </c>
      <c r="V12" s="36">
        <v>3.4</v>
      </c>
      <c r="W12" s="36">
        <f t="shared" si="2"/>
        <v>25.5</v>
      </c>
      <c r="X12" t="s">
        <v>23</v>
      </c>
      <c r="AC12" s="83"/>
      <c r="AD12" s="36">
        <v>4</v>
      </c>
      <c r="AE12" s="36">
        <f>1.35+15.8</f>
        <v>17.150000000000002</v>
      </c>
      <c r="AF12" s="36">
        <f>1.6+2.5</f>
        <v>4.0999999999999996</v>
      </c>
      <c r="AG12" s="36">
        <f t="shared" si="0"/>
        <v>21.25</v>
      </c>
      <c r="AH12" t="s">
        <v>23</v>
      </c>
    </row>
    <row r="13" spans="10:36" x14ac:dyDescent="0.25">
      <c r="J13" s="38" t="s">
        <v>24</v>
      </c>
      <c r="K13" s="36">
        <v>5</v>
      </c>
      <c r="L13" s="36">
        <v>7.2</v>
      </c>
      <c r="M13" s="36">
        <f t="shared" si="1"/>
        <v>36</v>
      </c>
      <c r="N13" s="36">
        <v>8</v>
      </c>
      <c r="S13" s="83"/>
      <c r="T13" s="36">
        <v>5</v>
      </c>
      <c r="U13" s="36">
        <f>19.5+2.6</f>
        <v>22.1</v>
      </c>
      <c r="V13" s="36">
        <f>5.3+1.6</f>
        <v>6.9</v>
      </c>
      <c r="W13" s="36">
        <f t="shared" si="2"/>
        <v>29</v>
      </c>
      <c r="X13">
        <f>SUM(W9:W15)</f>
        <v>189.05</v>
      </c>
      <c r="AC13" s="83"/>
      <c r="AD13" s="36">
        <v>5</v>
      </c>
      <c r="AE13" s="36">
        <f>1.35+15.8</f>
        <v>17.150000000000002</v>
      </c>
      <c r="AF13" s="36">
        <f>3.5+2.5</f>
        <v>6</v>
      </c>
      <c r="AG13" s="36">
        <f t="shared" si="0"/>
        <v>23.150000000000002</v>
      </c>
      <c r="AH13">
        <f>SUM(AG9:AG14)</f>
        <v>149.20000000000002</v>
      </c>
    </row>
    <row r="14" spans="10:36" x14ac:dyDescent="0.25">
      <c r="J14" s="38" t="s">
        <v>25</v>
      </c>
      <c r="K14" s="36">
        <v>6</v>
      </c>
      <c r="L14" s="36">
        <v>4.4000000000000004</v>
      </c>
      <c r="M14" s="36">
        <f t="shared" si="1"/>
        <v>26.400000000000002</v>
      </c>
      <c r="N14" s="36">
        <v>6</v>
      </c>
      <c r="S14" s="83"/>
      <c r="T14" s="36">
        <v>6</v>
      </c>
      <c r="U14" s="36">
        <f>19.5+2.6</f>
        <v>22.1</v>
      </c>
      <c r="V14" s="36">
        <f>5.3+3.5</f>
        <v>8.8000000000000007</v>
      </c>
      <c r="W14" s="36">
        <f t="shared" si="2"/>
        <v>30.900000000000002</v>
      </c>
      <c r="AC14" s="84"/>
      <c r="AD14" s="36">
        <v>6</v>
      </c>
      <c r="AE14" s="36">
        <f>1.35+15.8</f>
        <v>17.150000000000002</v>
      </c>
      <c r="AF14" s="36">
        <f>5.3+2.5</f>
        <v>7.8</v>
      </c>
      <c r="AG14" s="36">
        <f t="shared" si="0"/>
        <v>24.950000000000003</v>
      </c>
    </row>
    <row r="15" spans="10:36" x14ac:dyDescent="0.25">
      <c r="J15" s="39" t="s">
        <v>26</v>
      </c>
      <c r="K15" s="36">
        <v>6</v>
      </c>
      <c r="L15" s="36">
        <v>7.2</v>
      </c>
      <c r="M15" s="36">
        <f t="shared" si="1"/>
        <v>43.2</v>
      </c>
      <c r="N15" s="36">
        <v>10</v>
      </c>
      <c r="S15" s="83"/>
      <c r="T15" s="38" t="s">
        <v>27</v>
      </c>
      <c r="U15" s="36">
        <f>19.5+2.6</f>
        <v>22.1</v>
      </c>
      <c r="V15" s="36">
        <f>4.4+4</f>
        <v>8.4</v>
      </c>
      <c r="W15" s="36">
        <f t="shared" ref="W15:W20" si="3">U15+V15</f>
        <v>30.5</v>
      </c>
      <c r="AC15" s="82" t="s">
        <v>28</v>
      </c>
      <c r="AD15" s="36">
        <v>1</v>
      </c>
      <c r="AE15" s="36">
        <f>1.35+15.4</f>
        <v>16.75</v>
      </c>
      <c r="AF15" s="36">
        <f>1.6+2.5</f>
        <v>4.0999999999999996</v>
      </c>
      <c r="AG15" s="36">
        <f t="shared" si="0"/>
        <v>20.85</v>
      </c>
    </row>
    <row r="16" spans="10:36" x14ac:dyDescent="0.25">
      <c r="J16" s="40" t="s">
        <v>29</v>
      </c>
      <c r="K16" s="36"/>
      <c r="L16" s="36"/>
      <c r="M16" s="36">
        <f>SUM(M10:M15)</f>
        <v>174.10000000000002</v>
      </c>
      <c r="N16" s="36">
        <f>SUM(N10:N15)</f>
        <v>40</v>
      </c>
      <c r="S16" s="97" t="s">
        <v>30</v>
      </c>
      <c r="T16" s="41">
        <v>1</v>
      </c>
      <c r="U16" s="36">
        <f>13.7+2.6</f>
        <v>16.3</v>
      </c>
      <c r="V16" s="36">
        <v>3.5</v>
      </c>
      <c r="W16" s="36">
        <f t="shared" si="3"/>
        <v>19.8</v>
      </c>
      <c r="AC16" s="83"/>
      <c r="AD16" s="36">
        <v>2</v>
      </c>
      <c r="AE16" s="36">
        <f>1.35+15.4</f>
        <v>16.75</v>
      </c>
      <c r="AF16" s="36">
        <f>3.5+2.5</f>
        <v>6</v>
      </c>
      <c r="AG16" s="36">
        <f t="shared" si="0"/>
        <v>22.75</v>
      </c>
    </row>
    <row r="17" spans="19:34" x14ac:dyDescent="0.25">
      <c r="S17" s="97"/>
      <c r="T17" s="41">
        <v>2</v>
      </c>
      <c r="U17" s="36">
        <f>13.7+2.6</f>
        <v>16.3</v>
      </c>
      <c r="V17" s="36">
        <v>1.6</v>
      </c>
      <c r="W17" s="36">
        <f t="shared" si="3"/>
        <v>17.900000000000002</v>
      </c>
      <c r="X17" t="s">
        <v>23</v>
      </c>
      <c r="AC17" s="83"/>
      <c r="AD17" s="36">
        <v>3</v>
      </c>
      <c r="AE17" s="36">
        <f>1.35+15.4</f>
        <v>16.75</v>
      </c>
      <c r="AF17" s="36">
        <f>5.3+2.5</f>
        <v>7.8</v>
      </c>
      <c r="AG17" s="36">
        <f t="shared" si="0"/>
        <v>24.55</v>
      </c>
      <c r="AH17" t="s">
        <v>23</v>
      </c>
    </row>
    <row r="18" spans="19:34" x14ac:dyDescent="0.25">
      <c r="S18" s="97"/>
      <c r="T18" s="41">
        <v>3</v>
      </c>
      <c r="U18" s="36">
        <f>10.2+2.6</f>
        <v>12.799999999999999</v>
      </c>
      <c r="V18" s="36">
        <v>3.5</v>
      </c>
      <c r="W18" s="36">
        <f t="shared" si="3"/>
        <v>16.299999999999997</v>
      </c>
      <c r="X18">
        <f>SUM(W16:W19)</f>
        <v>68.400000000000006</v>
      </c>
      <c r="AC18" s="83"/>
      <c r="AD18" s="36">
        <v>4</v>
      </c>
      <c r="AE18" s="36">
        <f>1.35+11.9</f>
        <v>13.25</v>
      </c>
      <c r="AF18" s="36">
        <f>1.6+2.5</f>
        <v>4.0999999999999996</v>
      </c>
      <c r="AG18" s="36">
        <f t="shared" si="0"/>
        <v>17.350000000000001</v>
      </c>
      <c r="AH18">
        <f>SUM(AG15:AG21)</f>
        <v>149.85</v>
      </c>
    </row>
    <row r="19" spans="19:34" x14ac:dyDescent="0.25">
      <c r="S19" s="97"/>
      <c r="T19" s="41">
        <v>4</v>
      </c>
      <c r="U19" s="36">
        <f>10.2+2.6</f>
        <v>12.799999999999999</v>
      </c>
      <c r="V19" s="36">
        <v>1.6</v>
      </c>
      <c r="W19" s="36">
        <f t="shared" si="3"/>
        <v>14.399999999999999</v>
      </c>
      <c r="AC19" s="83"/>
      <c r="AD19" s="36">
        <v>5</v>
      </c>
      <c r="AE19" s="36">
        <f>1.35+11.9</f>
        <v>13.25</v>
      </c>
      <c r="AF19" s="36">
        <f>3.5+2.5</f>
        <v>6</v>
      </c>
      <c r="AG19" s="36">
        <f t="shared" si="0"/>
        <v>19.25</v>
      </c>
    </row>
    <row r="20" spans="19:34" x14ac:dyDescent="0.25">
      <c r="S20" s="98" t="s">
        <v>31</v>
      </c>
      <c r="T20" s="36">
        <v>1</v>
      </c>
      <c r="U20" s="36">
        <f>2.6+9.7</f>
        <v>12.299999999999999</v>
      </c>
      <c r="V20" s="36">
        <v>3.5</v>
      </c>
      <c r="W20" s="36">
        <f>U20+V20</f>
        <v>15.799999999999999</v>
      </c>
      <c r="AC20" s="83"/>
      <c r="AD20" s="36">
        <v>6</v>
      </c>
      <c r="AE20" s="36">
        <f>1.35+11.9</f>
        <v>13.25</v>
      </c>
      <c r="AF20" s="36">
        <f>5.3+2.5</f>
        <v>7.8</v>
      </c>
      <c r="AG20" s="36">
        <f t="shared" si="0"/>
        <v>21.05</v>
      </c>
    </row>
    <row r="21" spans="19:34" x14ac:dyDescent="0.25">
      <c r="S21" s="83"/>
      <c r="T21" s="36">
        <v>2</v>
      </c>
      <c r="U21" s="36">
        <f>2.6+9.7</f>
        <v>12.299999999999999</v>
      </c>
      <c r="V21" s="36">
        <v>1.6</v>
      </c>
      <c r="W21" s="36">
        <f>U21+V21</f>
        <v>13.899999999999999</v>
      </c>
      <c r="AC21" s="84"/>
      <c r="AD21" s="38" t="s">
        <v>27</v>
      </c>
      <c r="AE21" s="36">
        <f>1.35+15.4+5.3+2</f>
        <v>24.05</v>
      </c>
      <c r="AF21" s="36">
        <v>0</v>
      </c>
      <c r="AG21" s="36">
        <f t="shared" si="0"/>
        <v>24.05</v>
      </c>
    </row>
    <row r="22" spans="19:34" x14ac:dyDescent="0.25">
      <c r="S22" s="83"/>
      <c r="T22" s="36">
        <v>3</v>
      </c>
      <c r="U22" s="36">
        <f>2.6+5.4</f>
        <v>8</v>
      </c>
      <c r="V22" s="36">
        <v>3.2</v>
      </c>
      <c r="W22" s="36">
        <f>U22+V22</f>
        <v>11.2</v>
      </c>
      <c r="AC22" s="82" t="s">
        <v>32</v>
      </c>
      <c r="AD22" s="36">
        <v>1</v>
      </c>
      <c r="AE22" s="36">
        <f>1.35+11.6</f>
        <v>12.95</v>
      </c>
      <c r="AF22" s="36">
        <f>1.6+2.5</f>
        <v>4.0999999999999996</v>
      </c>
      <c r="AG22" s="36">
        <f t="shared" si="0"/>
        <v>17.049999999999997</v>
      </c>
    </row>
    <row r="23" spans="19:34" x14ac:dyDescent="0.25">
      <c r="S23" s="83"/>
      <c r="T23" s="36">
        <v>4</v>
      </c>
      <c r="U23" s="36">
        <f>2.6+5.4</f>
        <v>8</v>
      </c>
      <c r="V23" s="36">
        <v>1.7</v>
      </c>
      <c r="W23" s="36">
        <f>U23+V23</f>
        <v>9.6999999999999993</v>
      </c>
      <c r="AC23" s="83"/>
      <c r="AD23" s="36">
        <v>2</v>
      </c>
      <c r="AE23" s="36">
        <f>1.35+11.6</f>
        <v>12.95</v>
      </c>
      <c r="AF23" s="36">
        <f>3.5+2.5</f>
        <v>6</v>
      </c>
      <c r="AG23" s="36">
        <f t="shared" si="0"/>
        <v>18.95</v>
      </c>
    </row>
    <row r="24" spans="19:34" x14ac:dyDescent="0.25">
      <c r="S24" s="83"/>
      <c r="T24" s="36">
        <v>5</v>
      </c>
      <c r="U24" s="36">
        <f>2.6+5.4</f>
        <v>8</v>
      </c>
      <c r="V24" s="36">
        <v>3.5</v>
      </c>
      <c r="W24" s="36">
        <f>U24+V24</f>
        <v>11.5</v>
      </c>
      <c r="X24" t="s">
        <v>23</v>
      </c>
      <c r="AC24" s="83"/>
      <c r="AD24" s="36">
        <v>3</v>
      </c>
      <c r="AE24" s="36">
        <f>1.35+11.6</f>
        <v>12.95</v>
      </c>
      <c r="AF24" s="36">
        <f>5.3+2.5</f>
        <v>7.8</v>
      </c>
      <c r="AG24" s="36">
        <f t="shared" si="0"/>
        <v>20.75</v>
      </c>
      <c r="AH24" t="s">
        <v>23</v>
      </c>
    </row>
    <row r="25" spans="19:34" x14ac:dyDescent="0.25">
      <c r="S25" s="83"/>
      <c r="T25" s="99">
        <v>6</v>
      </c>
      <c r="U25" s="36">
        <f>2.6+5.4</f>
        <v>8</v>
      </c>
      <c r="V25" s="36">
        <v>1.6</v>
      </c>
      <c r="W25" s="36">
        <f>U25+V25</f>
        <v>9.6</v>
      </c>
      <c r="X25">
        <f>SUM(W20:W25)</f>
        <v>71.699999999999989</v>
      </c>
      <c r="AC25" s="83"/>
      <c r="AD25" s="36">
        <v>4</v>
      </c>
      <c r="AE25" s="36">
        <f>1.35+8.1</f>
        <v>9.4499999999999993</v>
      </c>
      <c r="AF25" s="36">
        <f>1.6+2.5</f>
        <v>4.0999999999999996</v>
      </c>
      <c r="AG25" s="36">
        <f t="shared" si="0"/>
        <v>13.549999999999999</v>
      </c>
      <c r="AH25">
        <f>SUM(AG22:AG27)</f>
        <v>103</v>
      </c>
    </row>
    <row r="26" spans="19:34" x14ac:dyDescent="0.25">
      <c r="S26" s="104" t="s">
        <v>33</v>
      </c>
      <c r="T26" s="100">
        <v>1</v>
      </c>
      <c r="U26" s="36">
        <f>2.6+5</f>
        <v>7.6</v>
      </c>
      <c r="V26" s="36">
        <v>3.5</v>
      </c>
      <c r="W26" s="36">
        <f>U26+V26</f>
        <v>11.1</v>
      </c>
      <c r="AC26" s="83"/>
      <c r="AD26" s="36">
        <v>5</v>
      </c>
      <c r="AE26" s="36">
        <f>1.35+8.1</f>
        <v>9.4499999999999993</v>
      </c>
      <c r="AF26" s="36">
        <f>3.5+2.5</f>
        <v>6</v>
      </c>
      <c r="AG26" s="36">
        <f t="shared" si="0"/>
        <v>15.45</v>
      </c>
    </row>
    <row r="27" spans="19:34" x14ac:dyDescent="0.25">
      <c r="S27" s="110"/>
      <c r="T27" s="101">
        <v>2</v>
      </c>
      <c r="U27" s="36">
        <f>2.6+5</f>
        <v>7.6</v>
      </c>
      <c r="V27" s="36">
        <v>1.6</v>
      </c>
      <c r="W27" s="36">
        <f t="shared" ref="W21:W27" si="4">U27+V27</f>
        <v>9.1999999999999993</v>
      </c>
      <c r="AC27" s="84"/>
      <c r="AD27" s="36">
        <v>6</v>
      </c>
      <c r="AE27" s="36">
        <f>1.35+8.1</f>
        <v>9.4499999999999993</v>
      </c>
      <c r="AF27" s="36">
        <f>5.3+2.5</f>
        <v>7.8</v>
      </c>
      <c r="AG27" s="36">
        <f t="shared" si="0"/>
        <v>17.25</v>
      </c>
    </row>
    <row r="28" spans="19:34" x14ac:dyDescent="0.25">
      <c r="S28" s="110"/>
      <c r="T28" s="100">
        <v>3</v>
      </c>
      <c r="U28" s="41">
        <v>2.6</v>
      </c>
      <c r="V28" s="36">
        <v>3.6</v>
      </c>
      <c r="W28" s="36">
        <f t="shared" ref="W28:W33" si="5">U28+V28</f>
        <v>6.2</v>
      </c>
      <c r="AC28" s="82" t="s">
        <v>34</v>
      </c>
      <c r="AD28" s="36">
        <v>1</v>
      </c>
      <c r="AE28" s="36">
        <v>0</v>
      </c>
      <c r="AF28" s="36">
        <f>1.35+7.8+5.1</f>
        <v>14.25</v>
      </c>
      <c r="AG28" s="36">
        <f t="shared" si="0"/>
        <v>14.25</v>
      </c>
    </row>
    <row r="29" spans="19:34" x14ac:dyDescent="0.25">
      <c r="S29" s="110"/>
      <c r="T29" s="101">
        <v>4</v>
      </c>
      <c r="U29" s="41">
        <v>2.6</v>
      </c>
      <c r="V29" s="36">
        <v>1.7</v>
      </c>
      <c r="W29" s="36">
        <f t="shared" si="5"/>
        <v>4.3</v>
      </c>
      <c r="AC29" s="83"/>
      <c r="AD29" s="36">
        <v>2</v>
      </c>
      <c r="AE29" s="36">
        <v>0</v>
      </c>
      <c r="AF29" s="36">
        <f>1.35+7.8+3.4</f>
        <v>12.55</v>
      </c>
      <c r="AG29" s="36">
        <f t="shared" si="0"/>
        <v>12.55</v>
      </c>
    </row>
    <row r="30" spans="19:34" x14ac:dyDescent="0.25">
      <c r="S30" s="110"/>
      <c r="T30" s="100">
        <v>5</v>
      </c>
      <c r="U30" s="41">
        <v>0</v>
      </c>
      <c r="V30" s="36">
        <v>1</v>
      </c>
      <c r="W30" s="36">
        <f t="shared" si="5"/>
        <v>1</v>
      </c>
      <c r="AC30" s="83"/>
      <c r="AD30" s="36">
        <v>3</v>
      </c>
      <c r="AE30" s="36">
        <v>0</v>
      </c>
      <c r="AF30" s="36">
        <f>1.35+7.8+1.6</f>
        <v>10.75</v>
      </c>
      <c r="AG30" s="36">
        <f t="shared" si="0"/>
        <v>10.75</v>
      </c>
    </row>
    <row r="31" spans="19:34" x14ac:dyDescent="0.25">
      <c r="S31" s="110"/>
      <c r="T31" s="101">
        <v>6</v>
      </c>
      <c r="U31" s="41">
        <v>0</v>
      </c>
      <c r="V31" s="36">
        <v>2.7</v>
      </c>
      <c r="W31" s="36">
        <f t="shared" si="5"/>
        <v>2.7</v>
      </c>
      <c r="X31" t="s">
        <v>23</v>
      </c>
      <c r="AC31" s="83"/>
      <c r="AD31" s="36">
        <v>4</v>
      </c>
      <c r="AE31" s="36">
        <v>0</v>
      </c>
      <c r="AF31" s="36">
        <f>1.35+5.9</f>
        <v>7.25</v>
      </c>
      <c r="AG31" s="36">
        <f t="shared" si="0"/>
        <v>7.25</v>
      </c>
    </row>
    <row r="32" spans="19:34" x14ac:dyDescent="0.25">
      <c r="S32" s="110"/>
      <c r="T32" s="100">
        <v>7</v>
      </c>
      <c r="U32" s="41">
        <v>4.5</v>
      </c>
      <c r="V32" s="36">
        <v>2</v>
      </c>
      <c r="W32" s="36">
        <f t="shared" si="5"/>
        <v>6.5</v>
      </c>
      <c r="X32">
        <f>SUM(W26:W34)</f>
        <v>64.2</v>
      </c>
      <c r="AC32" s="83"/>
      <c r="AD32" s="36">
        <v>5</v>
      </c>
      <c r="AE32" s="36">
        <v>0</v>
      </c>
      <c r="AF32" s="36">
        <f>1.35+3.9</f>
        <v>5.25</v>
      </c>
      <c r="AG32" s="36">
        <f t="shared" si="0"/>
        <v>5.25</v>
      </c>
    </row>
    <row r="33" spans="10:34" x14ac:dyDescent="0.25">
      <c r="S33" s="110"/>
      <c r="T33" s="101">
        <v>8</v>
      </c>
      <c r="U33" s="41">
        <v>4.5</v>
      </c>
      <c r="V33" s="36">
        <v>3.6</v>
      </c>
      <c r="W33" s="36">
        <f t="shared" si="5"/>
        <v>8.1</v>
      </c>
      <c r="AC33" s="83"/>
      <c r="AD33" s="36">
        <v>6</v>
      </c>
      <c r="AE33" s="36">
        <v>0</v>
      </c>
      <c r="AF33" s="36">
        <f>1.35+1.6</f>
        <v>2.95</v>
      </c>
      <c r="AG33" s="36">
        <f t="shared" si="0"/>
        <v>2.95</v>
      </c>
      <c r="AH33" t="s">
        <v>23</v>
      </c>
    </row>
    <row r="34" spans="10:34" x14ac:dyDescent="0.25">
      <c r="S34" s="110"/>
      <c r="T34" s="102" t="s">
        <v>27</v>
      </c>
      <c r="U34" s="36">
        <f>2.6+5</f>
        <v>7.6</v>
      </c>
      <c r="V34" s="36">
        <f>3.5+4</f>
        <v>7.5</v>
      </c>
      <c r="W34" s="36">
        <f t="shared" si="2"/>
        <v>15.1</v>
      </c>
      <c r="AC34" s="83"/>
      <c r="AD34" s="36">
        <v>7</v>
      </c>
      <c r="AE34" s="36">
        <v>0</v>
      </c>
      <c r="AF34" s="36">
        <v>2</v>
      </c>
      <c r="AG34" s="36">
        <f t="shared" si="0"/>
        <v>2</v>
      </c>
      <c r="AH34">
        <f>SUM(AG28:AG40)</f>
        <v>95.600000000000009</v>
      </c>
    </row>
    <row r="35" spans="10:34" x14ac:dyDescent="0.25">
      <c r="S35" s="97" t="s">
        <v>35</v>
      </c>
      <c r="T35" s="101">
        <v>1</v>
      </c>
      <c r="U35" s="101">
        <v>4.9000000000000004</v>
      </c>
      <c r="V35" s="41">
        <v>4.0999999999999996</v>
      </c>
      <c r="W35" s="36">
        <f>U35+V35</f>
        <v>9</v>
      </c>
      <c r="AC35" s="83"/>
      <c r="AD35" s="36">
        <v>8</v>
      </c>
      <c r="AE35" s="36">
        <v>0</v>
      </c>
      <c r="AF35" s="36">
        <v>2.7</v>
      </c>
      <c r="AG35" s="36">
        <f t="shared" si="0"/>
        <v>2.7</v>
      </c>
    </row>
    <row r="36" spans="10:34" x14ac:dyDescent="0.25">
      <c r="S36" s="97"/>
      <c r="T36" s="101">
        <v>2</v>
      </c>
      <c r="U36" s="101">
        <v>4.9000000000000004</v>
      </c>
      <c r="V36" s="41">
        <v>2</v>
      </c>
      <c r="W36" s="36">
        <f>U36+V36</f>
        <v>6.9</v>
      </c>
      <c r="AC36" s="83"/>
      <c r="AD36" s="36">
        <v>9</v>
      </c>
      <c r="AE36" s="36">
        <v>0</v>
      </c>
      <c r="AF36" s="36">
        <v>4.2</v>
      </c>
      <c r="AG36" s="36">
        <f t="shared" si="0"/>
        <v>4.2</v>
      </c>
    </row>
    <row r="37" spans="10:34" x14ac:dyDescent="0.25">
      <c r="S37" s="97"/>
      <c r="T37" s="101">
        <v>3</v>
      </c>
      <c r="U37" s="101">
        <v>4.9000000000000004</v>
      </c>
      <c r="V37" s="41">
        <v>1.4</v>
      </c>
      <c r="W37" s="36">
        <f>U37+V37</f>
        <v>6.3000000000000007</v>
      </c>
      <c r="X37" t="s">
        <v>23</v>
      </c>
      <c r="AC37" s="83"/>
      <c r="AD37" s="36">
        <v>10</v>
      </c>
      <c r="AE37" s="36">
        <v>0</v>
      </c>
      <c r="AF37" s="36">
        <f>5.4+1.5</f>
        <v>6.9</v>
      </c>
      <c r="AG37" s="36">
        <f t="shared" si="0"/>
        <v>6.9</v>
      </c>
    </row>
    <row r="38" spans="10:34" x14ac:dyDescent="0.25">
      <c r="S38" s="97"/>
      <c r="T38" s="101">
        <v>4</v>
      </c>
      <c r="U38" s="101">
        <v>4.9000000000000004</v>
      </c>
      <c r="V38" s="41">
        <v>2.8</v>
      </c>
      <c r="W38" s="36">
        <f>U38+V38</f>
        <v>7.7</v>
      </c>
      <c r="X38">
        <f>SUM(W35:W40)</f>
        <v>54.6</v>
      </c>
      <c r="AC38" s="83"/>
      <c r="AD38" s="36">
        <v>11</v>
      </c>
      <c r="AE38" s="36">
        <v>0</v>
      </c>
      <c r="AF38" s="36">
        <f>5.4+3.2</f>
        <v>8.6000000000000014</v>
      </c>
      <c r="AG38" s="36">
        <f t="shared" si="0"/>
        <v>8.6000000000000014</v>
      </c>
    </row>
    <row r="39" spans="10:34" x14ac:dyDescent="0.25">
      <c r="J39" s="34" t="s">
        <v>1</v>
      </c>
      <c r="K39" s="35"/>
      <c r="L39" s="35"/>
      <c r="M39" s="35"/>
      <c r="N39" s="35"/>
      <c r="S39" s="97"/>
      <c r="T39" s="101">
        <v>5</v>
      </c>
      <c r="U39" s="101">
        <v>4.9000000000000004</v>
      </c>
      <c r="V39" s="41">
        <f>4.4+2</f>
        <v>6.4</v>
      </c>
      <c r="W39" s="36">
        <f>U39+V39</f>
        <v>11.3</v>
      </c>
      <c r="AC39" s="83"/>
      <c r="AD39" s="36">
        <v>12</v>
      </c>
      <c r="AE39" s="36">
        <v>0</v>
      </c>
      <c r="AF39" s="36">
        <f>5.4+5</f>
        <v>10.4</v>
      </c>
      <c r="AG39" s="36">
        <f t="shared" si="0"/>
        <v>10.4</v>
      </c>
    </row>
    <row r="40" spans="10:34" x14ac:dyDescent="0.25">
      <c r="J40" s="4" t="s">
        <v>2</v>
      </c>
      <c r="S40" s="104"/>
      <c r="T40" s="101">
        <v>6</v>
      </c>
      <c r="U40" s="101">
        <v>4.9000000000000004</v>
      </c>
      <c r="V40" s="41">
        <f>4.4+4.1</f>
        <v>8.5</v>
      </c>
      <c r="W40" s="36">
        <f>U40+V40</f>
        <v>13.4</v>
      </c>
      <c r="AC40" s="84"/>
      <c r="AD40" s="38" t="s">
        <v>27</v>
      </c>
      <c r="AE40" s="36">
        <f>4.6+3.2</f>
        <v>7.8</v>
      </c>
      <c r="AF40" s="36">
        <v>0</v>
      </c>
      <c r="AG40" s="36">
        <f t="shared" si="0"/>
        <v>7.8</v>
      </c>
    </row>
    <row r="41" spans="10:34" x14ac:dyDescent="0.25">
      <c r="S41" s="104" t="s">
        <v>42</v>
      </c>
      <c r="T41" s="103">
        <v>1</v>
      </c>
      <c r="U41" s="101">
        <v>9.5</v>
      </c>
      <c r="V41" s="41">
        <v>2</v>
      </c>
      <c r="W41" s="36">
        <f t="shared" si="2"/>
        <v>11.5</v>
      </c>
      <c r="AC41" s="82" t="s">
        <v>36</v>
      </c>
      <c r="AD41" s="36">
        <v>1</v>
      </c>
      <c r="AE41" s="36">
        <f>5.6</f>
        <v>5.6</v>
      </c>
      <c r="AF41" s="36">
        <f>4.2+2.5</f>
        <v>6.7</v>
      </c>
      <c r="AG41" s="36">
        <f t="shared" ref="AG41:AG72" si="6">AE41+AF41</f>
        <v>12.3</v>
      </c>
    </row>
    <row r="42" spans="10:34" x14ac:dyDescent="0.25">
      <c r="J42" s="54"/>
      <c r="K42" s="54" t="s">
        <v>13</v>
      </c>
      <c r="L42" s="54" t="s">
        <v>14</v>
      </c>
      <c r="M42" s="54" t="s">
        <v>15</v>
      </c>
      <c r="N42" s="54" t="s">
        <v>16</v>
      </c>
      <c r="S42" s="110"/>
      <c r="T42" s="103">
        <v>2</v>
      </c>
      <c r="U42" s="101">
        <v>9.5</v>
      </c>
      <c r="V42" s="41">
        <v>4.0999999999999996</v>
      </c>
      <c r="W42" s="36">
        <f t="shared" si="2"/>
        <v>13.6</v>
      </c>
      <c r="AC42" s="83"/>
      <c r="AD42" s="36">
        <v>2</v>
      </c>
      <c r="AE42" s="36">
        <f>5.6</f>
        <v>5.6</v>
      </c>
      <c r="AF42" s="36">
        <f>2+2.5</f>
        <v>4.5</v>
      </c>
      <c r="AG42" s="36">
        <f t="shared" si="6"/>
        <v>10.1</v>
      </c>
      <c r="AH42" t="s">
        <v>23</v>
      </c>
    </row>
    <row r="43" spans="10:34" x14ac:dyDescent="0.25">
      <c r="J43" s="52" t="s">
        <v>37</v>
      </c>
      <c r="K43" s="52">
        <v>3.6</v>
      </c>
      <c r="L43" s="52">
        <v>7.2</v>
      </c>
      <c r="M43" s="55">
        <f t="shared" ref="M43:M49" si="7">K43*L43</f>
        <v>25.92</v>
      </c>
      <c r="N43" s="52">
        <v>6</v>
      </c>
      <c r="Q43" s="9"/>
      <c r="S43" s="110"/>
      <c r="T43" s="103">
        <v>3</v>
      </c>
      <c r="U43" s="101">
        <v>9.5</v>
      </c>
      <c r="V43" s="41">
        <v>1.25</v>
      </c>
      <c r="W43" s="36">
        <f t="shared" si="2"/>
        <v>10.75</v>
      </c>
      <c r="AC43" s="83"/>
      <c r="AD43" s="36">
        <v>3</v>
      </c>
      <c r="AE43" s="36">
        <f>5.6</f>
        <v>5.6</v>
      </c>
      <c r="AF43" s="36">
        <f>1.35+2.5</f>
        <v>3.85</v>
      </c>
      <c r="AG43" s="36">
        <f t="shared" si="6"/>
        <v>9.4499999999999993</v>
      </c>
      <c r="AH43">
        <f>SUM(AG41:AG46)</f>
        <v>74.349999999999994</v>
      </c>
    </row>
    <row r="44" spans="10:34" x14ac:dyDescent="0.25">
      <c r="J44" s="52" t="s">
        <v>38</v>
      </c>
      <c r="K44" s="52">
        <v>3.6</v>
      </c>
      <c r="L44" s="52">
        <v>7.2</v>
      </c>
      <c r="M44" s="55">
        <f t="shared" si="7"/>
        <v>25.92</v>
      </c>
      <c r="N44" s="52">
        <v>6</v>
      </c>
      <c r="S44" s="110"/>
      <c r="T44" s="103">
        <v>4</v>
      </c>
      <c r="U44" s="101">
        <v>9.5</v>
      </c>
      <c r="V44" s="41">
        <v>2.9</v>
      </c>
      <c r="W44" s="36">
        <f t="shared" si="2"/>
        <v>12.4</v>
      </c>
      <c r="AC44" s="83"/>
      <c r="AD44" s="36">
        <v>4</v>
      </c>
      <c r="AE44" s="36">
        <f>5.6</f>
        <v>5.6</v>
      </c>
      <c r="AF44" s="36">
        <f>3.2+2.5</f>
        <v>5.7</v>
      </c>
      <c r="AG44" s="36">
        <f t="shared" si="6"/>
        <v>11.3</v>
      </c>
    </row>
    <row r="45" spans="10:34" x14ac:dyDescent="0.25">
      <c r="J45" s="52" t="s">
        <v>39</v>
      </c>
      <c r="K45" s="52">
        <v>3.6</v>
      </c>
      <c r="L45" s="52">
        <v>7.2</v>
      </c>
      <c r="M45" s="55">
        <f t="shared" si="7"/>
        <v>25.92</v>
      </c>
      <c r="N45" s="52">
        <v>6</v>
      </c>
      <c r="S45" s="110"/>
      <c r="T45" s="103">
        <v>5</v>
      </c>
      <c r="U45" s="101">
        <v>9.5</v>
      </c>
      <c r="V45" s="41">
        <v>5.5</v>
      </c>
      <c r="W45" s="36">
        <f t="shared" si="2"/>
        <v>15</v>
      </c>
      <c r="X45" t="s">
        <v>23</v>
      </c>
      <c r="AC45" s="83"/>
      <c r="AD45" s="36">
        <v>5</v>
      </c>
      <c r="AE45" s="36">
        <f>10</f>
        <v>10</v>
      </c>
      <c r="AF45" s="36">
        <f>4.2+2.5</f>
        <v>6.7</v>
      </c>
      <c r="AG45" s="36">
        <f t="shared" si="6"/>
        <v>16.7</v>
      </c>
    </row>
    <row r="46" spans="10:34" x14ac:dyDescent="0.25">
      <c r="J46" s="52" t="s">
        <v>40</v>
      </c>
      <c r="K46" s="52">
        <v>7.8</v>
      </c>
      <c r="L46" s="52">
        <v>7.2</v>
      </c>
      <c r="M46" s="55">
        <f t="shared" si="7"/>
        <v>56.16</v>
      </c>
      <c r="N46" s="52">
        <v>12</v>
      </c>
      <c r="S46" s="110"/>
      <c r="T46" s="103">
        <v>6</v>
      </c>
      <c r="U46" s="101">
        <v>16.5</v>
      </c>
      <c r="V46" s="41">
        <v>2</v>
      </c>
      <c r="W46" s="36">
        <f>U46+V46</f>
        <v>18.5</v>
      </c>
      <c r="X46">
        <f>SUM(W41:W51)</f>
        <v>209.45000000000002</v>
      </c>
      <c r="AC46" s="84"/>
      <c r="AD46" s="36">
        <v>6</v>
      </c>
      <c r="AE46" s="36">
        <f>10</f>
        <v>10</v>
      </c>
      <c r="AF46" s="36">
        <f>2+2.5</f>
        <v>4.5</v>
      </c>
      <c r="AG46" s="36">
        <f t="shared" si="6"/>
        <v>14.5</v>
      </c>
    </row>
    <row r="47" spans="10:34" x14ac:dyDescent="0.25">
      <c r="J47" s="52" t="s">
        <v>41</v>
      </c>
      <c r="K47" s="52">
        <v>5.6</v>
      </c>
      <c r="L47" s="52">
        <v>4.4000000000000004</v>
      </c>
      <c r="M47" s="55">
        <f t="shared" si="7"/>
        <v>24.64</v>
      </c>
      <c r="N47" s="52">
        <v>6</v>
      </c>
      <c r="S47" s="110"/>
      <c r="T47" s="103">
        <v>7</v>
      </c>
      <c r="U47" s="101">
        <v>16.5</v>
      </c>
      <c r="V47" s="41">
        <v>4.0999999999999996</v>
      </c>
      <c r="W47" s="36">
        <f>U47+V47</f>
        <v>20.6</v>
      </c>
      <c r="AC47" s="85" t="s">
        <v>43</v>
      </c>
      <c r="AD47" s="36">
        <v>1</v>
      </c>
      <c r="AE47" s="36">
        <f t="shared" ref="AE47:AE56" si="8">10.3</f>
        <v>10.3</v>
      </c>
      <c r="AF47" s="36">
        <f>4.2+2.5</f>
        <v>6.7</v>
      </c>
      <c r="AG47" s="36">
        <f t="shared" si="6"/>
        <v>17</v>
      </c>
    </row>
    <row r="48" spans="10:34" x14ac:dyDescent="0.25">
      <c r="J48" s="53" t="s">
        <v>44</v>
      </c>
      <c r="K48" s="52">
        <v>5.9</v>
      </c>
      <c r="L48" s="52">
        <v>7.2</v>
      </c>
      <c r="M48" s="55">
        <f t="shared" si="7"/>
        <v>42.480000000000004</v>
      </c>
      <c r="N48" s="52">
        <v>10</v>
      </c>
      <c r="S48" s="110"/>
      <c r="T48" s="103">
        <v>8</v>
      </c>
      <c r="U48" s="101">
        <v>16.5</v>
      </c>
      <c r="V48" s="36">
        <f>6+1.4</f>
        <v>7.4</v>
      </c>
      <c r="W48" s="36">
        <f t="shared" si="2"/>
        <v>23.9</v>
      </c>
      <c r="AC48" s="85"/>
      <c r="AD48" s="36">
        <v>2</v>
      </c>
      <c r="AE48" s="36">
        <f t="shared" si="8"/>
        <v>10.3</v>
      </c>
      <c r="AF48" s="36">
        <f>2+2.5</f>
        <v>4.5</v>
      </c>
      <c r="AG48" s="36">
        <f t="shared" si="6"/>
        <v>14.8</v>
      </c>
    </row>
    <row r="49" spans="10:34" x14ac:dyDescent="0.25">
      <c r="J49" s="53" t="s">
        <v>45</v>
      </c>
      <c r="K49" s="52">
        <v>5.9</v>
      </c>
      <c r="L49" s="52">
        <v>4.7</v>
      </c>
      <c r="M49" s="55">
        <f t="shared" si="7"/>
        <v>27.730000000000004</v>
      </c>
      <c r="N49" s="52">
        <v>6</v>
      </c>
      <c r="S49" s="110"/>
      <c r="T49" s="103">
        <v>9</v>
      </c>
      <c r="U49" s="101">
        <v>16.5</v>
      </c>
      <c r="V49" s="36">
        <f>6+2.9</f>
        <v>8.9</v>
      </c>
      <c r="W49" s="36">
        <f t="shared" si="2"/>
        <v>25.4</v>
      </c>
      <c r="AC49" s="85"/>
      <c r="AD49" s="36">
        <v>3</v>
      </c>
      <c r="AE49" s="36">
        <f t="shared" si="8"/>
        <v>10.3</v>
      </c>
      <c r="AF49" s="36">
        <f>2.5+1.2</f>
        <v>3.7</v>
      </c>
      <c r="AG49" s="36">
        <f t="shared" si="6"/>
        <v>14</v>
      </c>
    </row>
    <row r="50" spans="10:34" x14ac:dyDescent="0.25">
      <c r="J50" s="40" t="s">
        <v>29</v>
      </c>
      <c r="K50" s="36"/>
      <c r="L50" s="36"/>
      <c r="M50" s="36">
        <f>SUM(M43:M49)</f>
        <v>228.77000000000004</v>
      </c>
      <c r="N50" s="36">
        <f>SUM(N43:N49)</f>
        <v>52</v>
      </c>
      <c r="S50" s="110"/>
      <c r="T50" s="105">
        <v>10</v>
      </c>
      <c r="U50" s="101">
        <v>16.5</v>
      </c>
      <c r="V50" s="36">
        <f>6+4.4</f>
        <v>10.4</v>
      </c>
      <c r="W50" s="99">
        <f t="shared" si="2"/>
        <v>26.9</v>
      </c>
      <c r="AC50" s="85"/>
      <c r="AD50" s="36">
        <v>4</v>
      </c>
      <c r="AE50" s="36">
        <f t="shared" si="8"/>
        <v>10.3</v>
      </c>
      <c r="AF50" s="36">
        <f>2.5+2.8</f>
        <v>5.3</v>
      </c>
      <c r="AG50" s="36">
        <f t="shared" si="6"/>
        <v>15.600000000000001</v>
      </c>
      <c r="AH50" t="s">
        <v>23</v>
      </c>
    </row>
    <row r="51" spans="10:34" x14ac:dyDescent="0.25">
      <c r="S51" s="111"/>
      <c r="T51" s="100" t="s">
        <v>27</v>
      </c>
      <c r="U51" s="101">
        <v>16.5</v>
      </c>
      <c r="V51" s="36">
        <f>6+4.4+4</f>
        <v>14.4</v>
      </c>
      <c r="W51" s="99">
        <f>U51+V51</f>
        <v>30.9</v>
      </c>
      <c r="AC51" s="85"/>
      <c r="AD51" s="36">
        <v>5</v>
      </c>
      <c r="AE51" s="36">
        <f t="shared" si="8"/>
        <v>10.3</v>
      </c>
      <c r="AF51" s="36">
        <f>2.5+4.3</f>
        <v>6.8</v>
      </c>
      <c r="AG51" s="36">
        <f t="shared" si="6"/>
        <v>17.100000000000001</v>
      </c>
      <c r="AH51">
        <f>SUM(AG47:AG57)</f>
        <v>219.20000000000005</v>
      </c>
    </row>
    <row r="52" spans="10:34" x14ac:dyDescent="0.25">
      <c r="S52" s="106" t="s">
        <v>27</v>
      </c>
      <c r="T52" s="101"/>
      <c r="U52" s="36">
        <f>19.5+2.6</f>
        <v>22.1</v>
      </c>
      <c r="V52" s="112">
        <f>4+14.7+3.7</f>
        <v>22.4</v>
      </c>
      <c r="W52" s="101">
        <f>U52+V52</f>
        <v>44.5</v>
      </c>
      <c r="AC52" s="85"/>
      <c r="AD52" s="36">
        <v>6</v>
      </c>
      <c r="AE52" s="36">
        <f t="shared" si="8"/>
        <v>10.3</v>
      </c>
      <c r="AF52" s="36">
        <f>2.5+5.8</f>
        <v>8.3000000000000007</v>
      </c>
      <c r="AG52" s="36">
        <f t="shared" si="6"/>
        <v>18.600000000000001</v>
      </c>
    </row>
    <row r="53" spans="10:34" x14ac:dyDescent="0.25">
      <c r="AC53" s="85"/>
      <c r="AD53" s="36">
        <v>7</v>
      </c>
      <c r="AE53" s="36">
        <f t="shared" si="8"/>
        <v>10.3</v>
      </c>
      <c r="AF53" s="36">
        <f>4.2+2.5+7.2</f>
        <v>13.9</v>
      </c>
      <c r="AG53" s="36">
        <f t="shared" si="6"/>
        <v>24.200000000000003</v>
      </c>
    </row>
    <row r="54" spans="10:34" x14ac:dyDescent="0.25">
      <c r="V54" t="s">
        <v>29</v>
      </c>
      <c r="W54">
        <f>SUM(W9:W52)</f>
        <v>701.9</v>
      </c>
      <c r="AC54" s="85"/>
      <c r="AD54" s="36">
        <v>8</v>
      </c>
      <c r="AE54" s="36">
        <f t="shared" si="8"/>
        <v>10.3</v>
      </c>
      <c r="AF54" s="36">
        <f>2+2.5+7.2</f>
        <v>11.7</v>
      </c>
      <c r="AG54" s="36">
        <f t="shared" si="6"/>
        <v>22</v>
      </c>
    </row>
    <row r="55" spans="10:34" x14ac:dyDescent="0.25">
      <c r="AC55" s="85"/>
      <c r="AD55" s="36">
        <v>9</v>
      </c>
      <c r="AE55" s="36">
        <f t="shared" si="8"/>
        <v>10.3</v>
      </c>
      <c r="AF55" s="36">
        <f>2.5+7.2+5.9+1.9</f>
        <v>17.5</v>
      </c>
      <c r="AG55" s="36">
        <f t="shared" si="6"/>
        <v>27.8</v>
      </c>
    </row>
    <row r="56" spans="10:34" x14ac:dyDescent="0.25">
      <c r="AC56" s="85"/>
      <c r="AD56" s="36">
        <v>10</v>
      </c>
      <c r="AE56" s="36">
        <f t="shared" si="8"/>
        <v>10.3</v>
      </c>
      <c r="AF56" s="36">
        <f>2.5+7.2+5.9+3.9</f>
        <v>19.5</v>
      </c>
      <c r="AG56" s="36">
        <f t="shared" si="6"/>
        <v>29.8</v>
      </c>
    </row>
    <row r="57" spans="10:34" x14ac:dyDescent="0.25">
      <c r="AC57" s="85"/>
      <c r="AD57" s="38" t="s">
        <v>27</v>
      </c>
      <c r="AE57" s="36">
        <f>13.3+5</f>
        <v>18.3</v>
      </c>
      <c r="AF57" s="36">
        <v>0</v>
      </c>
      <c r="AG57" s="36">
        <f t="shared" si="6"/>
        <v>18.3</v>
      </c>
    </row>
    <row r="58" spans="10:34" x14ac:dyDescent="0.25">
      <c r="J58" s="138" t="s">
        <v>247</v>
      </c>
      <c r="K58" s="138" t="s">
        <v>0</v>
      </c>
      <c r="L58" s="139" t="s">
        <v>1</v>
      </c>
      <c r="M58" s="139" t="s">
        <v>254</v>
      </c>
      <c r="S58" s="138" t="s">
        <v>255</v>
      </c>
      <c r="T58" s="138" t="s">
        <v>256</v>
      </c>
      <c r="U58" s="138" t="s">
        <v>257</v>
      </c>
      <c r="V58" s="138" t="s">
        <v>20</v>
      </c>
      <c r="AC58" s="82" t="s">
        <v>46</v>
      </c>
      <c r="AD58" s="36">
        <v>1</v>
      </c>
      <c r="AE58" s="36">
        <f t="shared" ref="AE58:AE63" si="9">1.35+19.3+9.3</f>
        <v>29.950000000000003</v>
      </c>
      <c r="AF58" s="36">
        <f>4.6+2.5</f>
        <v>7.1</v>
      </c>
      <c r="AG58" s="36">
        <f t="shared" si="6"/>
        <v>37.050000000000004</v>
      </c>
    </row>
    <row r="59" spans="10:34" x14ac:dyDescent="0.25">
      <c r="J59" s="101" t="s">
        <v>16</v>
      </c>
      <c r="K59" s="101">
        <v>40</v>
      </c>
      <c r="L59" s="112">
        <v>52</v>
      </c>
      <c r="M59" s="101">
        <f>SUM(K59:L59)</f>
        <v>92</v>
      </c>
      <c r="S59" s="101">
        <v>2</v>
      </c>
      <c r="T59" s="101">
        <v>41.1</v>
      </c>
      <c r="U59" s="101">
        <f>56.7+182.2+7.8+143.3+6.7+60+182.2</f>
        <v>638.9</v>
      </c>
      <c r="V59" s="101">
        <f>SUM(T59:U59)</f>
        <v>680</v>
      </c>
      <c r="AC59" s="83"/>
      <c r="AD59" s="36">
        <v>2</v>
      </c>
      <c r="AE59" s="36">
        <f t="shared" si="9"/>
        <v>29.950000000000003</v>
      </c>
      <c r="AF59" s="36">
        <f>2.5+2</f>
        <v>4.5</v>
      </c>
      <c r="AG59" s="36">
        <f t="shared" si="6"/>
        <v>34.450000000000003</v>
      </c>
    </row>
    <row r="60" spans="10:34" x14ac:dyDescent="0.25">
      <c r="J60" s="101" t="s">
        <v>249</v>
      </c>
      <c r="K60" s="101">
        <v>0</v>
      </c>
      <c r="L60" s="112">
        <v>1</v>
      </c>
      <c r="M60" s="101">
        <f>SUM(K60:L60)</f>
        <v>1</v>
      </c>
      <c r="S60" s="101">
        <v>3</v>
      </c>
      <c r="T60" s="101">
        <f>41.1+60+182.2+6.7</f>
        <v>289.99999999999994</v>
      </c>
      <c r="U60" s="101">
        <f>56.7+182.2+7.8+143.3</f>
        <v>390</v>
      </c>
      <c r="V60" s="101">
        <f>SUM(T60:U60)</f>
        <v>680</v>
      </c>
      <c r="AC60" s="83"/>
      <c r="AD60" s="36">
        <v>3</v>
      </c>
      <c r="AE60" s="36">
        <f t="shared" si="9"/>
        <v>29.950000000000003</v>
      </c>
      <c r="AF60" s="36">
        <f>2.5+1.35</f>
        <v>3.85</v>
      </c>
      <c r="AG60" s="36">
        <f t="shared" si="6"/>
        <v>33.800000000000004</v>
      </c>
      <c r="AH60" t="s">
        <v>23</v>
      </c>
    </row>
    <row r="61" spans="10:34" x14ac:dyDescent="0.25">
      <c r="J61" s="101" t="s">
        <v>250</v>
      </c>
      <c r="K61" s="101">
        <v>1</v>
      </c>
      <c r="L61" s="112">
        <v>1</v>
      </c>
      <c r="M61" s="101">
        <f>SUM(K61:L61)</f>
        <v>2</v>
      </c>
      <c r="S61" s="101">
        <v>4</v>
      </c>
      <c r="T61" s="101">
        <f>56.7+182+7.6</f>
        <v>246.29999999999998</v>
      </c>
      <c r="U61" s="101">
        <f>41.1+60+182.2+6.7+143.3</f>
        <v>433.29999999999995</v>
      </c>
      <c r="V61" s="101">
        <f>SUM(T61:U61)</f>
        <v>679.59999999999991</v>
      </c>
      <c r="AC61" s="83"/>
      <c r="AD61" s="36">
        <v>4</v>
      </c>
      <c r="AE61" s="36">
        <f t="shared" si="9"/>
        <v>29.950000000000003</v>
      </c>
      <c r="AF61" s="36">
        <f>2.5+3.2</f>
        <v>5.7</v>
      </c>
      <c r="AG61" s="36">
        <f t="shared" si="6"/>
        <v>35.650000000000006</v>
      </c>
      <c r="AH61">
        <f>SUM(AG58:AG64)</f>
        <v>260</v>
      </c>
    </row>
    <row r="62" spans="10:34" x14ac:dyDescent="0.25">
      <c r="J62" s="101" t="s">
        <v>251</v>
      </c>
      <c r="K62" s="101">
        <v>0</v>
      </c>
      <c r="L62" s="112">
        <v>1</v>
      </c>
      <c r="M62" s="101">
        <f>SUM(K62:L62)</f>
        <v>1</v>
      </c>
      <c r="U62" s="143" t="s">
        <v>29</v>
      </c>
      <c r="V62" s="138">
        <f>SUM(V59:V61)</f>
        <v>2039.6</v>
      </c>
      <c r="AC62" s="83"/>
      <c r="AD62" s="36">
        <v>5</v>
      </c>
      <c r="AE62" s="36">
        <f t="shared" si="9"/>
        <v>29.950000000000003</v>
      </c>
      <c r="AF62" s="36">
        <f>2.5+4.7+1.9</f>
        <v>9.1</v>
      </c>
      <c r="AG62" s="36">
        <f t="shared" si="6"/>
        <v>39.050000000000004</v>
      </c>
    </row>
    <row r="63" spans="10:34" x14ac:dyDescent="0.25">
      <c r="J63" s="101" t="s">
        <v>248</v>
      </c>
      <c r="K63" s="101">
        <v>4</v>
      </c>
      <c r="L63" s="112">
        <v>4</v>
      </c>
      <c r="M63" s="101">
        <f>SUM(K63:L63)</f>
        <v>8</v>
      </c>
      <c r="AC63" s="83"/>
      <c r="AD63" s="36">
        <v>6</v>
      </c>
      <c r="AE63" s="36">
        <f t="shared" si="9"/>
        <v>29.950000000000003</v>
      </c>
      <c r="AF63" s="36">
        <f>2.5+4.7+4.2</f>
        <v>11.4</v>
      </c>
      <c r="AG63" s="36">
        <f t="shared" si="6"/>
        <v>41.35</v>
      </c>
    </row>
    <row r="64" spans="10:34" x14ac:dyDescent="0.25">
      <c r="J64" s="101" t="s">
        <v>252</v>
      </c>
      <c r="K64" s="101">
        <v>701.9</v>
      </c>
      <c r="L64" s="112">
        <v>1051.2</v>
      </c>
      <c r="M64" s="101">
        <f>SUM(K64:L64)</f>
        <v>1753.1</v>
      </c>
      <c r="AC64" s="84"/>
      <c r="AD64" s="38" t="s">
        <v>27</v>
      </c>
      <c r="AE64" s="36">
        <f>1.35+19.3+9.3+4.7+4</f>
        <v>38.650000000000006</v>
      </c>
      <c r="AF64" s="36">
        <v>0</v>
      </c>
      <c r="AG64" s="36">
        <f t="shared" si="6"/>
        <v>38.650000000000006</v>
      </c>
    </row>
    <row r="65" spans="10:33" x14ac:dyDescent="0.25">
      <c r="J65" s="101" t="s">
        <v>253</v>
      </c>
      <c r="K65" s="101">
        <v>6</v>
      </c>
      <c r="L65" s="112">
        <v>1.7</v>
      </c>
      <c r="M65" s="101">
        <f>SUM(K65:L65)</f>
        <v>7.7</v>
      </c>
    </row>
    <row r="66" spans="10:33" x14ac:dyDescent="0.25">
      <c r="AF66" t="s">
        <v>29</v>
      </c>
      <c r="AG66">
        <f>SUM(AG9:AG64)</f>
        <v>1051.1999999999998</v>
      </c>
    </row>
  </sheetData>
  <mergeCells count="19">
    <mergeCell ref="S41:S51"/>
    <mergeCell ref="AC22:AC27"/>
    <mergeCell ref="AC28:AC40"/>
    <mergeCell ref="AC41:AC46"/>
    <mergeCell ref="AC47:AC57"/>
    <mergeCell ref="AC58:AC64"/>
    <mergeCell ref="AC6:AI6"/>
    <mergeCell ref="AC7:AG7"/>
    <mergeCell ref="AH7:AI7"/>
    <mergeCell ref="AC9:AC14"/>
    <mergeCell ref="AC15:AC21"/>
    <mergeCell ref="S6:Y6"/>
    <mergeCell ref="S7:W7"/>
    <mergeCell ref="X7:Y7"/>
    <mergeCell ref="S9:S15"/>
    <mergeCell ref="S16:S19"/>
    <mergeCell ref="S20:S25"/>
    <mergeCell ref="S26:S34"/>
    <mergeCell ref="S35:S40"/>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53DB5-50A9-45FC-89F3-2637E9ACF724}">
  <dimension ref="F3:AB104"/>
  <sheetViews>
    <sheetView topLeftCell="A33" zoomScale="70" zoomScaleNormal="70" workbookViewId="0">
      <selection activeCell="J88" sqref="J88"/>
    </sheetView>
  </sheetViews>
  <sheetFormatPr defaultColWidth="8.85546875" defaultRowHeight="15" x14ac:dyDescent="0.25"/>
  <cols>
    <col min="10" max="10" width="18.85546875" customWidth="1"/>
    <col min="11" max="11" width="18" customWidth="1"/>
    <col min="12" max="13" width="9.85546875" customWidth="1"/>
    <col min="14" max="14" width="12.7109375" customWidth="1"/>
    <col min="15" max="15" width="14" customWidth="1"/>
    <col min="16" max="16" width="9.85546875" customWidth="1"/>
    <col min="17" max="17" width="14.140625" customWidth="1"/>
    <col min="18" max="18" width="14.28515625" customWidth="1"/>
    <col min="19" max="19" width="9.85546875" customWidth="1"/>
  </cols>
  <sheetData>
    <row r="3" spans="6:28" ht="15.75" x14ac:dyDescent="0.25">
      <c r="F3" s="5" t="s">
        <v>47</v>
      </c>
    </row>
    <row r="5" spans="6:28" x14ac:dyDescent="0.25">
      <c r="U5" s="27" t="s">
        <v>48</v>
      </c>
      <c r="V5" s="27" t="s">
        <v>49</v>
      </c>
      <c r="W5" s="27"/>
      <c r="X5" s="27"/>
      <c r="Y5" s="27"/>
    </row>
    <row r="6" spans="6:28" x14ac:dyDescent="0.25">
      <c r="M6" s="6"/>
      <c r="N6" s="6"/>
      <c r="O6" s="6"/>
      <c r="P6" s="6"/>
      <c r="Q6" s="6"/>
      <c r="R6" s="6"/>
      <c r="S6" s="6"/>
    </row>
    <row r="7" spans="6:28" x14ac:dyDescent="0.25">
      <c r="L7" s="4"/>
      <c r="M7" s="6"/>
      <c r="N7" s="7" t="s">
        <v>50</v>
      </c>
      <c r="O7" s="6">
        <v>900</v>
      </c>
      <c r="P7" s="6"/>
      <c r="Q7" s="6"/>
      <c r="R7" s="6"/>
      <c r="S7" s="6"/>
      <c r="U7" s="27" t="s">
        <v>51</v>
      </c>
      <c r="V7" s="27"/>
      <c r="W7" s="27"/>
      <c r="X7" s="27"/>
      <c r="Y7" s="27"/>
      <c r="Z7" s="27"/>
      <c r="AA7" s="27"/>
      <c r="AB7" s="27"/>
    </row>
    <row r="8" spans="6:28" x14ac:dyDescent="0.25">
      <c r="M8" s="6"/>
      <c r="N8" s="6"/>
      <c r="O8" s="6"/>
      <c r="P8" s="6"/>
      <c r="Q8" s="6"/>
      <c r="R8" s="6"/>
      <c r="S8" s="6"/>
    </row>
    <row r="9" spans="6:28" x14ac:dyDescent="0.25">
      <c r="L9" s="4"/>
      <c r="M9" s="6"/>
      <c r="N9" s="7" t="s">
        <v>52</v>
      </c>
      <c r="O9" s="7" t="s">
        <v>53</v>
      </c>
      <c r="P9" s="7" t="s">
        <v>54</v>
      </c>
      <c r="Q9" s="7" t="s">
        <v>55</v>
      </c>
    </row>
    <row r="10" spans="6:28" x14ac:dyDescent="0.25">
      <c r="M10" s="6"/>
      <c r="N10" s="6"/>
      <c r="O10" s="6"/>
      <c r="P10" s="6"/>
      <c r="Q10" s="6"/>
      <c r="S10" s="29" t="s">
        <v>56</v>
      </c>
      <c r="T10" s="29"/>
      <c r="U10" s="29"/>
      <c r="V10" s="29"/>
    </row>
    <row r="11" spans="6:28" x14ac:dyDescent="0.25">
      <c r="M11" s="6"/>
      <c r="N11" s="8" t="s">
        <v>57</v>
      </c>
      <c r="O11" s="8" t="s">
        <v>58</v>
      </c>
      <c r="P11" s="8" t="s">
        <v>59</v>
      </c>
      <c r="Q11" s="8" t="s">
        <v>60</v>
      </c>
    </row>
    <row r="12" spans="6:28" x14ac:dyDescent="0.25">
      <c r="M12" s="6"/>
      <c r="N12" s="8" t="s">
        <v>61</v>
      </c>
      <c r="O12" s="8" t="s">
        <v>58</v>
      </c>
      <c r="P12" s="8" t="s">
        <v>59</v>
      </c>
      <c r="Q12" s="8" t="s">
        <v>60</v>
      </c>
    </row>
    <row r="13" spans="6:28" x14ac:dyDescent="0.25">
      <c r="M13" s="6"/>
      <c r="N13" s="8" t="s">
        <v>62</v>
      </c>
      <c r="O13" s="8" t="s">
        <v>58</v>
      </c>
      <c r="P13" s="8" t="s">
        <v>59</v>
      </c>
      <c r="Q13" s="8" t="s">
        <v>60</v>
      </c>
      <c r="S13" s="29" t="s">
        <v>63</v>
      </c>
      <c r="T13" s="29"/>
      <c r="U13" s="31">
        <f>4</f>
        <v>4</v>
      </c>
    </row>
    <row r="14" spans="6:28" x14ac:dyDescent="0.25">
      <c r="M14" s="6"/>
      <c r="N14" s="8" t="s">
        <v>64</v>
      </c>
      <c r="O14" s="8" t="s">
        <v>58</v>
      </c>
      <c r="P14" s="8" t="s">
        <v>59</v>
      </c>
      <c r="Q14" s="8" t="s">
        <v>60</v>
      </c>
    </row>
    <row r="15" spans="6:28" x14ac:dyDescent="0.25">
      <c r="M15" s="6"/>
      <c r="N15" s="8" t="s">
        <v>65</v>
      </c>
      <c r="O15" s="65">
        <v>43</v>
      </c>
      <c r="P15" s="8">
        <v>5</v>
      </c>
      <c r="Q15" s="8" t="s">
        <v>66</v>
      </c>
    </row>
    <row r="16" spans="6:28" x14ac:dyDescent="0.25">
      <c r="M16" s="6"/>
      <c r="N16" s="8" t="s">
        <v>67</v>
      </c>
      <c r="O16" s="8" t="s">
        <v>68</v>
      </c>
      <c r="P16" s="8">
        <v>11</v>
      </c>
      <c r="Q16" s="8" t="s">
        <v>69</v>
      </c>
    </row>
    <row r="17" spans="10:19" x14ac:dyDescent="0.25">
      <c r="M17" s="6"/>
      <c r="N17" s="8" t="s">
        <v>70</v>
      </c>
      <c r="O17" s="8" t="s">
        <v>68</v>
      </c>
      <c r="P17" s="8">
        <v>11</v>
      </c>
      <c r="Q17" s="8" t="s">
        <v>69</v>
      </c>
    </row>
    <row r="18" spans="10:19" x14ac:dyDescent="0.25">
      <c r="M18" s="6"/>
      <c r="N18" s="8" t="s">
        <v>71</v>
      </c>
      <c r="O18" s="8" t="s">
        <v>72</v>
      </c>
      <c r="P18" s="8" t="s">
        <v>66</v>
      </c>
      <c r="Q18" s="8" t="s">
        <v>59</v>
      </c>
    </row>
    <row r="19" spans="10:19" x14ac:dyDescent="0.25">
      <c r="M19" s="6"/>
      <c r="N19" s="8" t="s">
        <v>73</v>
      </c>
      <c r="O19" s="8" t="s">
        <v>72</v>
      </c>
      <c r="P19" s="8" t="s">
        <v>66</v>
      </c>
      <c r="Q19" s="8" t="s">
        <v>59</v>
      </c>
    </row>
    <row r="20" spans="10:19" x14ac:dyDescent="0.25">
      <c r="M20" s="6"/>
      <c r="N20" s="8" t="s">
        <v>74</v>
      </c>
      <c r="O20" s="8" t="s">
        <v>75</v>
      </c>
      <c r="P20" s="8" t="s">
        <v>76</v>
      </c>
      <c r="Q20" s="8" t="s">
        <v>59</v>
      </c>
    </row>
    <row r="21" spans="10:19" x14ac:dyDescent="0.25">
      <c r="M21" s="6"/>
      <c r="N21" s="28" t="s">
        <v>77</v>
      </c>
      <c r="O21" s="28" t="s">
        <v>78</v>
      </c>
      <c r="P21" s="28" t="s">
        <v>79</v>
      </c>
      <c r="Q21" s="28" t="s">
        <v>59</v>
      </c>
    </row>
    <row r="22" spans="10:19" x14ac:dyDescent="0.25">
      <c r="M22" s="6"/>
      <c r="N22" s="6"/>
      <c r="O22" s="6"/>
      <c r="P22" s="6"/>
      <c r="Q22" s="6"/>
      <c r="R22" s="6"/>
      <c r="S22" s="6"/>
    </row>
    <row r="23" spans="10:19" x14ac:dyDescent="0.25">
      <c r="M23" s="6"/>
      <c r="N23" s="6" t="s">
        <v>80</v>
      </c>
      <c r="O23" s="6"/>
      <c r="P23" s="6">
        <f>SUM(P11:P21)</f>
        <v>27</v>
      </c>
      <c r="Q23" s="6" t="s">
        <v>81</v>
      </c>
      <c r="R23" s="67">
        <f>P24+P23+4</f>
        <v>113.99999999999999</v>
      </c>
      <c r="S23" s="6"/>
    </row>
    <row r="24" spans="10:19" x14ac:dyDescent="0.25">
      <c r="J24" t="s">
        <v>5</v>
      </c>
      <c r="K24" t="s">
        <v>82</v>
      </c>
      <c r="P24" cm="1">
        <f t="array" ref="P24">SUM((Q11:Q14)/2)+Q15+Q16+10.5+9+(P18*2)+Q20+P19+4.5</f>
        <v>82.999999999999986</v>
      </c>
    </row>
    <row r="25" spans="10:19" x14ac:dyDescent="0.25">
      <c r="J25" t="s">
        <v>57</v>
      </c>
      <c r="K25">
        <v>4</v>
      </c>
    </row>
    <row r="26" spans="10:19" x14ac:dyDescent="0.25">
      <c r="J26" t="s">
        <v>61</v>
      </c>
      <c r="K26">
        <v>4</v>
      </c>
    </row>
    <row r="27" spans="10:19" x14ac:dyDescent="0.25">
      <c r="J27" t="s">
        <v>62</v>
      </c>
      <c r="K27">
        <v>4</v>
      </c>
    </row>
    <row r="28" spans="10:19" ht="23.25" x14ac:dyDescent="0.35">
      <c r="J28" t="s">
        <v>64</v>
      </c>
      <c r="K28">
        <v>4</v>
      </c>
      <c r="N28" s="114" t="s">
        <v>238</v>
      </c>
      <c r="P28" s="114">
        <f>61+62+58+59+57+58+55+56+54+55+52+53+51+52+49+50+40+40+36+37+34+34+31+29+27+25+23+20+18+16+14+12+11+12+13+9+10+11+8+9+10+5+6+7+5+6+7</f>
        <v>1447</v>
      </c>
    </row>
    <row r="29" spans="10:19" x14ac:dyDescent="0.25">
      <c r="J29" t="s">
        <v>65</v>
      </c>
      <c r="K29">
        <v>5</v>
      </c>
    </row>
    <row r="30" spans="10:19" x14ac:dyDescent="0.25">
      <c r="J30" t="s">
        <v>67</v>
      </c>
      <c r="K30">
        <v>5</v>
      </c>
    </row>
    <row r="31" spans="10:19" x14ac:dyDescent="0.25">
      <c r="J31" t="s">
        <v>70</v>
      </c>
      <c r="K31">
        <v>5</v>
      </c>
    </row>
    <row r="32" spans="10:19" x14ac:dyDescent="0.25">
      <c r="J32" t="s">
        <v>71</v>
      </c>
      <c r="K32">
        <v>6</v>
      </c>
    </row>
    <row r="33" spans="6:21" x14ac:dyDescent="0.25">
      <c r="J33" t="s">
        <v>73</v>
      </c>
      <c r="K33">
        <v>6</v>
      </c>
    </row>
    <row r="34" spans="6:21" x14ac:dyDescent="0.25">
      <c r="J34" t="s">
        <v>74</v>
      </c>
      <c r="K34">
        <v>3</v>
      </c>
    </row>
    <row r="35" spans="6:21" x14ac:dyDescent="0.25">
      <c r="J35" s="27" t="s">
        <v>77</v>
      </c>
      <c r="K35" s="27">
        <v>1</v>
      </c>
    </row>
    <row r="36" spans="6:21" x14ac:dyDescent="0.25">
      <c r="M36" s="66"/>
      <c r="N36" s="27"/>
      <c r="O36" s="27"/>
      <c r="P36" s="27"/>
    </row>
    <row r="37" spans="6:21" x14ac:dyDescent="0.25">
      <c r="J37" s="6" t="s">
        <v>83</v>
      </c>
      <c r="K37" s="6">
        <f>SUM(Tabela4[Outlets per room])</f>
        <v>47</v>
      </c>
      <c r="L37" s="30" t="s">
        <v>84</v>
      </c>
      <c r="M37" s="29"/>
      <c r="N37" s="29"/>
      <c r="O37" s="6"/>
      <c r="P37" s="6"/>
      <c r="Q37" s="6"/>
    </row>
    <row r="38" spans="6:21" x14ac:dyDescent="0.25">
      <c r="M38" s="6"/>
      <c r="N38" s="6"/>
      <c r="O38" s="6"/>
      <c r="P38" s="6"/>
      <c r="Q38" s="6" t="s">
        <v>83</v>
      </c>
      <c r="R38" s="6">
        <f>SUM(P26:P35)</f>
        <v>1447</v>
      </c>
      <c r="S38" s="30" t="s">
        <v>84</v>
      </c>
      <c r="T38" s="29"/>
      <c r="U38" s="29"/>
    </row>
    <row r="39" spans="6:21" x14ac:dyDescent="0.25">
      <c r="M39" s="6"/>
      <c r="N39" s="6"/>
      <c r="O39" s="6"/>
      <c r="P39" s="6"/>
      <c r="Q39" s="6"/>
      <c r="R39" s="6"/>
      <c r="S39" s="6"/>
    </row>
    <row r="40" spans="6:21" x14ac:dyDescent="0.25">
      <c r="M40" s="6"/>
      <c r="N40" s="6"/>
      <c r="O40" s="6"/>
      <c r="P40" s="6"/>
      <c r="Q40" s="6"/>
      <c r="R40" s="6"/>
      <c r="S40" s="6"/>
    </row>
    <row r="41" spans="6:21" x14ac:dyDescent="0.25">
      <c r="J41">
        <f xml:space="preserve"> 24 + 24</f>
        <v>48</v>
      </c>
      <c r="M41" s="6"/>
      <c r="N41" s="6"/>
      <c r="O41" s="6"/>
      <c r="P41" s="6"/>
      <c r="Q41" s="6"/>
      <c r="R41" s="6"/>
      <c r="S41" s="6"/>
    </row>
    <row r="42" spans="6:21" x14ac:dyDescent="0.25">
      <c r="M42" s="6"/>
      <c r="N42" s="6"/>
      <c r="O42" s="6"/>
      <c r="P42" s="6"/>
      <c r="Q42" s="6"/>
      <c r="R42" s="6"/>
      <c r="S42" s="6"/>
    </row>
    <row r="43" spans="6:21" x14ac:dyDescent="0.25">
      <c r="M43" s="6"/>
      <c r="N43" s="6"/>
      <c r="O43" s="6"/>
      <c r="P43" s="6"/>
      <c r="Q43" s="6"/>
      <c r="R43" s="6"/>
      <c r="S43" s="6"/>
    </row>
    <row r="44" spans="6:21" ht="15.75" x14ac:dyDescent="0.25">
      <c r="F44" s="5" t="s">
        <v>85</v>
      </c>
      <c r="M44" s="6"/>
      <c r="N44" s="6"/>
      <c r="O44" s="6"/>
      <c r="P44" s="6"/>
      <c r="Q44" s="6"/>
      <c r="R44" s="6"/>
      <c r="S44" s="6"/>
    </row>
    <row r="45" spans="6:21" x14ac:dyDescent="0.25">
      <c r="M45" s="6"/>
      <c r="N45" s="6"/>
      <c r="O45" s="6"/>
      <c r="P45" s="6"/>
      <c r="Q45" s="6"/>
      <c r="R45" s="6"/>
      <c r="S45" s="6"/>
    </row>
    <row r="46" spans="6:21" x14ac:dyDescent="0.25">
      <c r="M46" s="6"/>
      <c r="N46" s="6"/>
      <c r="O46" s="6"/>
      <c r="P46" s="6"/>
      <c r="Q46" s="6"/>
      <c r="R46" s="6"/>
      <c r="S46" s="6"/>
    </row>
    <row r="47" spans="6:21" x14ac:dyDescent="0.25">
      <c r="L47" s="4"/>
      <c r="M47" s="6"/>
      <c r="N47" s="7"/>
      <c r="O47" s="6"/>
      <c r="P47" s="6"/>
      <c r="Q47" s="6"/>
      <c r="R47" s="6"/>
      <c r="S47" s="6"/>
    </row>
    <row r="48" spans="6:21" x14ac:dyDescent="0.25">
      <c r="M48" s="6"/>
      <c r="N48" s="6"/>
      <c r="O48" s="6"/>
      <c r="P48" s="6"/>
      <c r="Q48" s="6"/>
      <c r="R48" s="6"/>
      <c r="S48" s="6"/>
    </row>
    <row r="49" spans="12:21" x14ac:dyDescent="0.25">
      <c r="L49" s="4"/>
      <c r="M49" s="6"/>
      <c r="N49" s="7" t="s">
        <v>52</v>
      </c>
      <c r="O49" s="7" t="s">
        <v>86</v>
      </c>
      <c r="P49" s="7" t="s">
        <v>54</v>
      </c>
      <c r="Q49" s="7" t="s">
        <v>55</v>
      </c>
    </row>
    <row r="50" spans="12:21" x14ac:dyDescent="0.25">
      <c r="M50" s="6"/>
      <c r="N50" s="8" t="s">
        <v>87</v>
      </c>
      <c r="O50" s="8">
        <v>28.4</v>
      </c>
      <c r="P50" s="8">
        <v>4</v>
      </c>
      <c r="Q50" s="8" t="s">
        <v>88</v>
      </c>
    </row>
    <row r="51" spans="12:21" x14ac:dyDescent="0.25">
      <c r="M51" s="6"/>
      <c r="N51" s="8" t="s">
        <v>89</v>
      </c>
      <c r="O51" s="8">
        <v>28.4</v>
      </c>
      <c r="P51" s="8">
        <v>4</v>
      </c>
      <c r="Q51" s="8" t="s">
        <v>88</v>
      </c>
      <c r="S51" t="s">
        <v>63</v>
      </c>
      <c r="U51" s="3">
        <f>3</f>
        <v>3</v>
      </c>
    </row>
    <row r="52" spans="12:21" x14ac:dyDescent="0.25">
      <c r="M52" s="6"/>
      <c r="N52" s="8" t="s">
        <v>90</v>
      </c>
      <c r="O52" s="8">
        <v>28.4</v>
      </c>
      <c r="P52" s="8">
        <v>4</v>
      </c>
      <c r="Q52" s="8" t="s">
        <v>88</v>
      </c>
    </row>
    <row r="53" spans="12:21" x14ac:dyDescent="0.25">
      <c r="M53" s="6"/>
      <c r="N53" s="8" t="s">
        <v>91</v>
      </c>
      <c r="O53" s="8">
        <v>28.4</v>
      </c>
      <c r="P53" s="8">
        <v>4</v>
      </c>
      <c r="Q53" s="8" t="s">
        <v>88</v>
      </c>
      <c r="S53" t="s">
        <v>92</v>
      </c>
    </row>
    <row r="54" spans="12:21" x14ac:dyDescent="0.25">
      <c r="M54" s="6"/>
      <c r="N54" s="8" t="s">
        <v>93</v>
      </c>
      <c r="O54" s="8">
        <v>28.4</v>
      </c>
      <c r="P54" s="8">
        <v>4</v>
      </c>
      <c r="Q54" s="8" t="s">
        <v>88</v>
      </c>
    </row>
    <row r="55" spans="12:21" x14ac:dyDescent="0.25">
      <c r="M55" s="6"/>
      <c r="N55" s="8" t="s">
        <v>94</v>
      </c>
      <c r="O55" s="8">
        <v>32.659999999999997</v>
      </c>
      <c r="P55" s="8" t="s">
        <v>88</v>
      </c>
      <c r="Q55" s="8" t="s">
        <v>95</v>
      </c>
      <c r="S55" t="s">
        <v>96</v>
      </c>
    </row>
    <row r="56" spans="12:21" x14ac:dyDescent="0.25">
      <c r="M56" s="6"/>
      <c r="N56" s="8" t="s">
        <v>97</v>
      </c>
      <c r="O56" s="8">
        <v>32.659999999999997</v>
      </c>
      <c r="P56" s="8" t="s">
        <v>88</v>
      </c>
      <c r="Q56" s="8" t="s">
        <v>95</v>
      </c>
    </row>
    <row r="57" spans="12:21" x14ac:dyDescent="0.25">
      <c r="M57" s="6"/>
      <c r="N57" s="8" t="s">
        <v>98</v>
      </c>
      <c r="O57" s="8" t="s">
        <v>99</v>
      </c>
      <c r="P57" s="8" t="s">
        <v>88</v>
      </c>
      <c r="Q57" s="8" t="s">
        <v>95</v>
      </c>
    </row>
    <row r="58" spans="12:21" x14ac:dyDescent="0.25">
      <c r="M58" s="6"/>
      <c r="N58" s="8" t="s">
        <v>100</v>
      </c>
      <c r="O58" s="8" t="s">
        <v>99</v>
      </c>
      <c r="P58" s="8" t="s">
        <v>88</v>
      </c>
      <c r="Q58" s="8" t="s">
        <v>95</v>
      </c>
    </row>
    <row r="59" spans="12:21" x14ac:dyDescent="0.25">
      <c r="M59" s="6"/>
      <c r="N59" s="8" t="s">
        <v>101</v>
      </c>
      <c r="O59" s="8" t="s">
        <v>99</v>
      </c>
      <c r="P59" s="8" t="s">
        <v>88</v>
      </c>
      <c r="Q59" s="8" t="s">
        <v>95</v>
      </c>
    </row>
    <row r="60" spans="12:21" x14ac:dyDescent="0.25">
      <c r="M60" s="6"/>
      <c r="N60" s="8" t="s">
        <v>102</v>
      </c>
      <c r="O60" s="8" t="s">
        <v>99</v>
      </c>
      <c r="P60" s="8" t="s">
        <v>88</v>
      </c>
      <c r="Q60" s="8" t="s">
        <v>95</v>
      </c>
    </row>
    <row r="61" spans="12:21" x14ac:dyDescent="0.25">
      <c r="M61" s="6"/>
      <c r="N61" s="8" t="s">
        <v>103</v>
      </c>
      <c r="O61" s="8" t="s">
        <v>104</v>
      </c>
      <c r="P61" s="8" t="s">
        <v>88</v>
      </c>
      <c r="Q61" s="8" t="s">
        <v>105</v>
      </c>
    </row>
    <row r="62" spans="12:21" x14ac:dyDescent="0.25">
      <c r="M62" s="6"/>
      <c r="N62" s="8" t="s">
        <v>106</v>
      </c>
      <c r="O62" s="8" t="s">
        <v>99</v>
      </c>
      <c r="P62" s="8" t="s">
        <v>88</v>
      </c>
      <c r="Q62" s="8" t="s">
        <v>95</v>
      </c>
    </row>
    <row r="63" spans="12:21" x14ac:dyDescent="0.25">
      <c r="M63" s="6"/>
      <c r="N63" s="8" t="s">
        <v>107</v>
      </c>
      <c r="O63" s="8" t="s">
        <v>99</v>
      </c>
      <c r="P63" s="8" t="s">
        <v>88</v>
      </c>
      <c r="Q63" s="8" t="s">
        <v>95</v>
      </c>
    </row>
    <row r="64" spans="12:21" x14ac:dyDescent="0.25">
      <c r="M64" s="6"/>
      <c r="N64" s="8" t="s">
        <v>108</v>
      </c>
      <c r="O64" s="8" t="s">
        <v>99</v>
      </c>
      <c r="P64" s="8" t="s">
        <v>88</v>
      </c>
      <c r="Q64" s="8" t="s">
        <v>95</v>
      </c>
    </row>
    <row r="65" spans="10:28" x14ac:dyDescent="0.25">
      <c r="M65" s="6"/>
    </row>
    <row r="67" spans="10:28" x14ac:dyDescent="0.25">
      <c r="J67" t="s">
        <v>82</v>
      </c>
      <c r="K67" t="s">
        <v>109</v>
      </c>
      <c r="N67" t="s">
        <v>110</v>
      </c>
      <c r="P67" s="1">
        <f>20+(3*7.1)+2+(40-7.1)+7.1+2.3+3+5+(3*Q55)</f>
        <v>107.39999999999998</v>
      </c>
      <c r="Q67" t="s">
        <v>111</v>
      </c>
      <c r="R67" s="3">
        <f>P67+45</f>
        <v>152.39999999999998</v>
      </c>
      <c r="S67" s="29">
        <f>R67+Q68</f>
        <v>458.4</v>
      </c>
    </row>
    <row r="68" spans="10:28" x14ac:dyDescent="0.25">
      <c r="J68" t="s">
        <v>87</v>
      </c>
      <c r="K68">
        <v>6</v>
      </c>
      <c r="O68" t="s">
        <v>112</v>
      </c>
      <c r="Q68">
        <f>3*K84</f>
        <v>306</v>
      </c>
    </row>
    <row r="69" spans="10:28" x14ac:dyDescent="0.25">
      <c r="J69" t="s">
        <v>89</v>
      </c>
      <c r="K69">
        <v>6</v>
      </c>
      <c r="U69" s="27" t="s">
        <v>113</v>
      </c>
      <c r="V69" s="27" t="s">
        <v>49</v>
      </c>
      <c r="W69" s="27"/>
      <c r="X69" s="27"/>
      <c r="Y69" s="27"/>
    </row>
    <row r="70" spans="10:28" x14ac:dyDescent="0.25">
      <c r="J70" t="s">
        <v>90</v>
      </c>
      <c r="K70">
        <v>6</v>
      </c>
    </row>
    <row r="71" spans="10:28" x14ac:dyDescent="0.25">
      <c r="J71" t="s">
        <v>91</v>
      </c>
      <c r="K71">
        <v>6</v>
      </c>
      <c r="U71" s="27" t="s">
        <v>114</v>
      </c>
      <c r="V71" s="27"/>
      <c r="W71" s="27"/>
      <c r="X71" s="27"/>
      <c r="Y71" s="27"/>
      <c r="Z71" s="27"/>
      <c r="AA71" s="27"/>
      <c r="AB71" s="27"/>
    </row>
    <row r="72" spans="10:28" x14ac:dyDescent="0.25">
      <c r="J72" t="s">
        <v>93</v>
      </c>
      <c r="K72">
        <v>6</v>
      </c>
    </row>
    <row r="73" spans="10:28" x14ac:dyDescent="0.25">
      <c r="J73" t="s">
        <v>94</v>
      </c>
      <c r="K73">
        <v>8</v>
      </c>
    </row>
    <row r="74" spans="10:28" x14ac:dyDescent="0.25">
      <c r="J74" t="s">
        <v>97</v>
      </c>
      <c r="K74">
        <v>8</v>
      </c>
    </row>
    <row r="75" spans="10:28" x14ac:dyDescent="0.25">
      <c r="J75" t="s">
        <v>98</v>
      </c>
      <c r="K75">
        <v>8</v>
      </c>
    </row>
    <row r="76" spans="10:28" x14ac:dyDescent="0.25">
      <c r="J76" t="s">
        <v>100</v>
      </c>
      <c r="K76">
        <v>8</v>
      </c>
    </row>
    <row r="77" spans="10:28" x14ac:dyDescent="0.25">
      <c r="J77" t="s">
        <v>101</v>
      </c>
      <c r="K77">
        <v>8</v>
      </c>
    </row>
    <row r="78" spans="10:28" x14ac:dyDescent="0.25">
      <c r="J78" t="s">
        <v>102</v>
      </c>
      <c r="K78">
        <v>8</v>
      </c>
    </row>
    <row r="79" spans="10:28" x14ac:dyDescent="0.25">
      <c r="J79" s="27" t="s">
        <v>103</v>
      </c>
      <c r="K79" s="27">
        <v>0</v>
      </c>
      <c r="P79" s="113" t="s">
        <v>239</v>
      </c>
      <c r="Q79" s="113"/>
      <c r="R79" s="113">
        <f>Q85</f>
        <v>4029</v>
      </c>
    </row>
    <row r="80" spans="10:28" x14ac:dyDescent="0.25">
      <c r="J80" t="s">
        <v>106</v>
      </c>
      <c r="K80">
        <v>8</v>
      </c>
    </row>
    <row r="81" spans="10:20" x14ac:dyDescent="0.25">
      <c r="J81" t="s">
        <v>107</v>
      </c>
      <c r="K81">
        <v>8</v>
      </c>
    </row>
    <row r="82" spans="10:20" x14ac:dyDescent="0.25">
      <c r="J82" t="s">
        <v>108</v>
      </c>
      <c r="K82">
        <v>8</v>
      </c>
    </row>
    <row r="84" spans="10:20" x14ac:dyDescent="0.25">
      <c r="J84" t="s">
        <v>115</v>
      </c>
      <c r="K84">
        <f>SUM(Tabela1[Arredondamento])</f>
        <v>102</v>
      </c>
    </row>
    <row r="85" spans="10:20" x14ac:dyDescent="0.25">
      <c r="P85" t="s">
        <v>115</v>
      </c>
      <c r="Q85">
        <f>58+60+59+62+61+68+54+54+58+56+60+60+50+50+54+52+56+56+48+48+50+50+52+54+42+42+46+44+48+48+39+50+42+39+44+41+46+43+33+37+39+41+33+35+37+12+14+16+12+14+16+18+8+12+14+16+12+14+16+18+4+8+10+12+4+6+8+12+57+57+59+61+63+61+63+65+61+61+63+65+67+65+67+69+65+65+67+69+71+69+71+73</f>
        <v>4029</v>
      </c>
    </row>
    <row r="87" spans="10:20" x14ac:dyDescent="0.25">
      <c r="J87">
        <f xml:space="preserve"> 24 + 24 + 24 + 24 + 24</f>
        <v>120</v>
      </c>
      <c r="R87" s="27" t="s">
        <v>116</v>
      </c>
      <c r="S87" s="27"/>
      <c r="T87" s="27"/>
    </row>
    <row r="96" spans="10:20" x14ac:dyDescent="0.25">
      <c r="M96" s="27" t="s">
        <v>245</v>
      </c>
    </row>
    <row r="98" spans="13:16" x14ac:dyDescent="0.25">
      <c r="M98" s="27" t="s">
        <v>240</v>
      </c>
      <c r="N98" s="27"/>
      <c r="O98" s="27">
        <f>R79+R38</f>
        <v>5476</v>
      </c>
    </row>
    <row r="99" spans="13:16" x14ac:dyDescent="0.25">
      <c r="M99" s="27"/>
      <c r="N99" s="27"/>
      <c r="O99" s="27"/>
    </row>
    <row r="100" spans="13:16" x14ac:dyDescent="0.25">
      <c r="M100" s="27" t="s">
        <v>241</v>
      </c>
      <c r="N100" s="27"/>
      <c r="O100" s="27">
        <f>K84+K37</f>
        <v>149</v>
      </c>
    </row>
    <row r="101" spans="13:16" x14ac:dyDescent="0.25">
      <c r="M101" s="27"/>
      <c r="N101" s="27"/>
      <c r="O101" s="27"/>
    </row>
    <row r="102" spans="13:16" x14ac:dyDescent="0.25">
      <c r="M102" s="27" t="s">
        <v>242</v>
      </c>
      <c r="N102" s="27"/>
      <c r="O102" s="27">
        <f>8</f>
        <v>8</v>
      </c>
    </row>
    <row r="104" spans="13:16" x14ac:dyDescent="0.25">
      <c r="M104" t="s">
        <v>263</v>
      </c>
      <c r="O104">
        <v>1</v>
      </c>
      <c r="P104" t="s">
        <v>264</v>
      </c>
    </row>
  </sheetData>
  <pageMargins left="0.7" right="0.7" top="0.75" bottom="0.75" header="0.3" footer="0.3"/>
  <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C654E-9BB6-48EA-972B-AE933C26A801}">
  <dimension ref="B1:BF86"/>
  <sheetViews>
    <sheetView topLeftCell="A7" zoomScale="70" zoomScaleNormal="70" workbookViewId="0">
      <selection activeCell="U23" sqref="U23"/>
    </sheetView>
  </sheetViews>
  <sheetFormatPr defaultColWidth="8.85546875" defaultRowHeight="15" x14ac:dyDescent="0.25"/>
  <cols>
    <col min="10" max="10" width="8.85546875" bestFit="1" customWidth="1"/>
    <col min="12" max="12" width="11.85546875" bestFit="1" customWidth="1"/>
    <col min="13" max="13" width="6" bestFit="1" customWidth="1"/>
    <col min="14" max="14" width="6.85546875" customWidth="1"/>
    <col min="15" max="15" width="9" bestFit="1" customWidth="1"/>
    <col min="16" max="16" width="6.42578125" bestFit="1" customWidth="1"/>
    <col min="18" max="18" width="9.85546875" customWidth="1"/>
    <col min="19" max="19" width="10.5703125" customWidth="1"/>
    <col min="20" max="20" width="11" customWidth="1"/>
    <col min="21" max="21" width="11.5703125" bestFit="1" customWidth="1"/>
    <col min="22" max="22" width="9" customWidth="1"/>
    <col min="28" max="28" width="10.42578125" customWidth="1"/>
    <col min="29" max="29" width="6.140625" bestFit="1" customWidth="1"/>
    <col min="30" max="30" width="7.28515625" customWidth="1"/>
    <col min="31" max="31" width="13.5703125" customWidth="1"/>
    <col min="32" max="32" width="16.42578125" customWidth="1"/>
    <col min="33" max="33" width="8" customWidth="1"/>
    <col min="34" max="34" width="13.85546875" bestFit="1" customWidth="1"/>
    <col min="35" max="35" width="15" bestFit="1" customWidth="1"/>
    <col min="36" max="36" width="16" customWidth="1"/>
    <col min="37" max="37" width="15.42578125" customWidth="1"/>
    <col min="38" max="38" width="6.7109375" customWidth="1"/>
    <col min="41" max="41" width="12.5703125" bestFit="1" customWidth="1"/>
    <col min="43" max="43" width="9.5703125" bestFit="1" customWidth="1"/>
    <col min="46" max="46" width="11.7109375" bestFit="1" customWidth="1"/>
    <col min="47" max="47" width="13.140625" bestFit="1" customWidth="1"/>
    <col min="48" max="48" width="14.42578125" bestFit="1" customWidth="1"/>
    <col min="49" max="49" width="15" bestFit="1" customWidth="1"/>
    <col min="50" max="50" width="6" bestFit="1" customWidth="1"/>
  </cols>
  <sheetData>
    <row r="1" spans="2:58" x14ac:dyDescent="0.25">
      <c r="AD1" s="71"/>
      <c r="AE1" s="71"/>
      <c r="AF1" s="71"/>
      <c r="AG1" s="71"/>
      <c r="AH1" s="71"/>
      <c r="AI1" s="71"/>
      <c r="AJ1" s="71"/>
    </row>
    <row r="2" spans="2:58" ht="14.45" customHeight="1" x14ac:dyDescent="0.25">
      <c r="B2" t="s">
        <v>117</v>
      </c>
      <c r="J2" t="s">
        <v>118</v>
      </c>
      <c r="AC2" s="119" t="s">
        <v>119</v>
      </c>
      <c r="AD2" s="119"/>
      <c r="AE2" s="119"/>
      <c r="AF2" s="119"/>
      <c r="AG2" s="119"/>
      <c r="AH2" s="119"/>
      <c r="AI2" s="119"/>
      <c r="AJ2" s="119"/>
      <c r="AK2" s="119"/>
      <c r="AO2" s="119" t="s">
        <v>233</v>
      </c>
      <c r="AP2" s="119"/>
      <c r="AQ2" s="119"/>
      <c r="AR2" s="119"/>
      <c r="AS2" s="119"/>
      <c r="AT2" s="119"/>
    </row>
    <row r="3" spans="2:58" ht="14.45" customHeight="1" x14ac:dyDescent="0.25">
      <c r="L3" t="s">
        <v>120</v>
      </c>
      <c r="AC3" s="132" t="s">
        <v>3</v>
      </c>
      <c r="AD3" s="132"/>
      <c r="AE3" s="132"/>
      <c r="AF3" s="132"/>
      <c r="AG3" s="132"/>
      <c r="AH3" s="120" t="s">
        <v>4</v>
      </c>
      <c r="AI3" s="120"/>
      <c r="AJ3" s="120"/>
      <c r="AK3" s="120"/>
      <c r="AO3" s="119" t="s">
        <v>3</v>
      </c>
      <c r="AP3" s="119"/>
      <c r="AQ3" s="119"/>
      <c r="AR3" s="119"/>
      <c r="AS3" s="119"/>
      <c r="AT3" s="121" t="s">
        <v>246</v>
      </c>
    </row>
    <row r="4" spans="2:58" x14ac:dyDescent="0.25">
      <c r="B4" t="s">
        <v>123</v>
      </c>
      <c r="L4" t="s">
        <v>124</v>
      </c>
      <c r="M4" t="s">
        <v>125</v>
      </c>
      <c r="R4" s="56" t="s">
        <v>126</v>
      </c>
      <c r="S4" s="56" t="s">
        <v>127</v>
      </c>
      <c r="T4" s="56" t="s">
        <v>128</v>
      </c>
      <c r="U4" s="56" t="s">
        <v>155</v>
      </c>
      <c r="V4" s="56" t="s">
        <v>16</v>
      </c>
      <c r="AC4" s="121" t="s">
        <v>5</v>
      </c>
      <c r="AD4" s="121" t="s">
        <v>6</v>
      </c>
      <c r="AE4" s="121" t="s">
        <v>129</v>
      </c>
      <c r="AF4" s="121" t="s">
        <v>8</v>
      </c>
      <c r="AG4" s="121" t="s">
        <v>9</v>
      </c>
      <c r="AH4" s="121" t="s">
        <v>129</v>
      </c>
      <c r="AI4" s="121" t="s">
        <v>11</v>
      </c>
      <c r="AJ4" s="121" t="s">
        <v>231</v>
      </c>
      <c r="AK4" s="121" t="s">
        <v>9</v>
      </c>
      <c r="AO4" s="121" t="s">
        <v>5</v>
      </c>
      <c r="AP4" s="121" t="s">
        <v>180</v>
      </c>
      <c r="AQ4" s="121" t="s">
        <v>234</v>
      </c>
      <c r="AR4" s="121" t="s">
        <v>235</v>
      </c>
      <c r="AS4" s="121" t="s">
        <v>236</v>
      </c>
      <c r="AT4" s="121" t="s">
        <v>235</v>
      </c>
      <c r="AV4" s="74"/>
      <c r="BF4" t="s">
        <v>237</v>
      </c>
    </row>
    <row r="5" spans="2:58" x14ac:dyDescent="0.25">
      <c r="R5" s="59" t="s">
        <v>130</v>
      </c>
      <c r="S5" s="59">
        <v>8.6</v>
      </c>
      <c r="T5" s="59">
        <v>7.5</v>
      </c>
      <c r="U5" s="59">
        <f t="shared" ref="U5:U19" si="0">S5*T5</f>
        <v>64.5</v>
      </c>
      <c r="V5" s="59">
        <v>2</v>
      </c>
      <c r="W5" t="s">
        <v>131</v>
      </c>
      <c r="AC5" s="122" t="s">
        <v>130</v>
      </c>
      <c r="AD5" s="123">
        <v>1</v>
      </c>
      <c r="AE5" s="124">
        <f>8.6+9 + 3.3+3.3+7.2+7.5 + 9 + 4.3</f>
        <v>52.2</v>
      </c>
      <c r="AF5" s="124">
        <v>2.2999999999999998</v>
      </c>
      <c r="AG5" s="124">
        <f>AE5+AF5</f>
        <v>54.5</v>
      </c>
      <c r="AH5" s="133">
        <f>8.6+9 + 7.5+7.2+3.3+3.3 + 9+8.6</f>
        <v>56.5</v>
      </c>
      <c r="AI5" s="133">
        <v>1</v>
      </c>
      <c r="AJ5" s="134">
        <f>4+2.5</f>
        <v>6.5</v>
      </c>
      <c r="AK5" s="124">
        <f>AH5+AI5+AJ5</f>
        <v>64</v>
      </c>
      <c r="AL5" s="74"/>
      <c r="AO5" s="122" t="s">
        <v>157</v>
      </c>
      <c r="AP5" s="125">
        <v>1</v>
      </c>
      <c r="AQ5" s="124">
        <f>30 + 3.3+3.3+3.3+3.3 + 7.8 + 5.3</f>
        <v>56.299999999999983</v>
      </c>
      <c r="AR5" s="124">
        <f>2.5</f>
        <v>2.5</v>
      </c>
      <c r="AS5" s="124">
        <f>AQ5+AR5</f>
        <v>58.799999999999983</v>
      </c>
      <c r="AT5" s="124">
        <v>2.5</v>
      </c>
      <c r="AV5" s="74"/>
    </row>
    <row r="6" spans="2:58" x14ac:dyDescent="0.25">
      <c r="L6" s="87"/>
      <c r="M6" s="87"/>
      <c r="N6" s="87"/>
      <c r="O6" s="87"/>
      <c r="P6" s="87"/>
      <c r="R6" s="59" t="s">
        <v>132</v>
      </c>
      <c r="S6" s="59">
        <v>9</v>
      </c>
      <c r="T6" s="59">
        <v>7.5</v>
      </c>
      <c r="U6" s="59">
        <f t="shared" si="0"/>
        <v>67.5</v>
      </c>
      <c r="V6" s="59">
        <v>2</v>
      </c>
      <c r="W6" t="s">
        <v>131</v>
      </c>
      <c r="AC6" s="122"/>
      <c r="AD6" s="123">
        <v>2</v>
      </c>
      <c r="AE6" s="124">
        <f>8.6+9 + 3.3+3.3+7.2+7.5 + 9</f>
        <v>47.900000000000006</v>
      </c>
      <c r="AF6" s="124">
        <v>2.2999999999999998</v>
      </c>
      <c r="AG6" s="124">
        <f t="shared" ref="AG6:AG69" si="1">AE6+AF6</f>
        <v>50.2</v>
      </c>
      <c r="AH6" s="74"/>
      <c r="AI6" s="74"/>
      <c r="AJ6" s="74"/>
      <c r="AK6" s="74"/>
      <c r="AL6" s="74"/>
      <c r="AO6" s="122"/>
      <c r="AP6" s="125">
        <v>2</v>
      </c>
      <c r="AQ6" s="124">
        <f>30 + 3.3+3.3+3.3+3.3 + 7.8 + 4.5</f>
        <v>55.499999999999986</v>
      </c>
      <c r="AR6" s="124">
        <f>2.5</f>
        <v>2.5</v>
      </c>
      <c r="AS6" s="124">
        <f t="shared" ref="AS6:AS69" si="2">AQ6+AR6</f>
        <v>57.999999999999986</v>
      </c>
      <c r="AT6" s="115"/>
      <c r="AV6" s="74"/>
    </row>
    <row r="7" spans="2:58" ht="14.45" customHeight="1" x14ac:dyDescent="0.25">
      <c r="L7" s="88" t="s">
        <v>133</v>
      </c>
      <c r="M7" s="88"/>
      <c r="N7" s="88"/>
      <c r="O7" s="88"/>
      <c r="P7" s="88"/>
      <c r="R7" s="59" t="s">
        <v>134</v>
      </c>
      <c r="S7" s="59">
        <v>11.4</v>
      </c>
      <c r="T7" s="59">
        <v>7.5</v>
      </c>
      <c r="U7" s="59">
        <f t="shared" si="0"/>
        <v>85.5</v>
      </c>
      <c r="V7" s="59">
        <v>2</v>
      </c>
      <c r="W7" t="s">
        <v>131</v>
      </c>
      <c r="AC7" s="122" t="s">
        <v>132</v>
      </c>
      <c r="AD7" s="123">
        <v>1</v>
      </c>
      <c r="AE7" s="124">
        <f>8.6+9 + 3.3+3.3+7.2+7.5 + 4.5</f>
        <v>43.400000000000006</v>
      </c>
      <c r="AF7" s="124">
        <v>2.25</v>
      </c>
      <c r="AG7" s="124">
        <f t="shared" si="1"/>
        <v>45.650000000000006</v>
      </c>
      <c r="AH7" s="74"/>
      <c r="AI7" s="74"/>
      <c r="AJ7" s="74"/>
      <c r="AK7" s="74"/>
      <c r="AL7" s="74"/>
      <c r="AO7" s="122"/>
      <c r="AP7" s="125">
        <v>3</v>
      </c>
      <c r="AQ7" s="124">
        <f>30 + 3.3+3.3+3.3+3.3 + 7.8 + 5.3/3</f>
        <v>52.766666666666652</v>
      </c>
      <c r="AR7" s="124">
        <f>2.5</f>
        <v>2.5</v>
      </c>
      <c r="AS7" s="124">
        <f t="shared" si="2"/>
        <v>55.266666666666652</v>
      </c>
      <c r="AT7" s="115"/>
      <c r="AU7" s="115"/>
      <c r="AV7" s="74"/>
    </row>
    <row r="8" spans="2:58" ht="14.45" customHeight="1" x14ac:dyDescent="0.25">
      <c r="L8" s="88"/>
      <c r="M8" s="88"/>
      <c r="N8" s="88"/>
      <c r="O8" s="88"/>
      <c r="P8" s="88"/>
      <c r="R8" s="59" t="s">
        <v>135</v>
      </c>
      <c r="S8" s="59">
        <v>8.1</v>
      </c>
      <c r="T8" s="59">
        <v>7.2</v>
      </c>
      <c r="U8" s="59">
        <f t="shared" si="0"/>
        <v>58.32</v>
      </c>
      <c r="V8" s="59">
        <v>12</v>
      </c>
      <c r="AC8" s="122"/>
      <c r="AD8" s="123">
        <v>2</v>
      </c>
      <c r="AE8" s="124">
        <f>8.6+9 + 3.3+3.3+7.2+7.5</f>
        <v>38.900000000000006</v>
      </c>
      <c r="AF8" s="124">
        <v>2.25</v>
      </c>
      <c r="AG8" s="124">
        <f t="shared" si="1"/>
        <v>41.150000000000006</v>
      </c>
      <c r="AH8" s="74"/>
      <c r="AI8" s="119" t="s">
        <v>248</v>
      </c>
      <c r="AJ8" s="119"/>
      <c r="AK8" s="119"/>
      <c r="AL8" s="119"/>
      <c r="AO8" s="122"/>
      <c r="AP8" s="125">
        <v>4</v>
      </c>
      <c r="AQ8" s="124">
        <f>30 + 3.3+3.3+3.3+3.3 + 7</f>
        <v>50.199999999999989</v>
      </c>
      <c r="AR8" s="124">
        <f>2.5</f>
        <v>2.5</v>
      </c>
      <c r="AS8" s="124">
        <f t="shared" si="2"/>
        <v>52.699999999999989</v>
      </c>
      <c r="AT8" s="115"/>
      <c r="AU8" s="126" t="s">
        <v>248</v>
      </c>
      <c r="AV8" s="127"/>
    </row>
    <row r="9" spans="2:58" ht="14.45" customHeight="1" x14ac:dyDescent="0.25">
      <c r="L9" s="88"/>
      <c r="M9" s="88"/>
      <c r="N9" s="88"/>
      <c r="O9" s="88"/>
      <c r="P9" s="88"/>
      <c r="R9" s="59" t="s">
        <v>136</v>
      </c>
      <c r="S9" s="59">
        <v>6.6</v>
      </c>
      <c r="T9" s="59">
        <v>3.3</v>
      </c>
      <c r="U9" s="59">
        <f t="shared" si="0"/>
        <v>21.779999999999998</v>
      </c>
      <c r="V9" s="59">
        <v>6</v>
      </c>
      <c r="AC9" s="122" t="s">
        <v>134</v>
      </c>
      <c r="AD9" s="123">
        <v>1</v>
      </c>
      <c r="AE9" s="124">
        <f>8.6+9 + 3.3+3.3+7.2+7.5</f>
        <v>38.900000000000006</v>
      </c>
      <c r="AF9" s="124">
        <v>3.35</v>
      </c>
      <c r="AG9" s="124">
        <f t="shared" si="1"/>
        <v>42.250000000000007</v>
      </c>
      <c r="AH9" s="74"/>
      <c r="AI9" s="128" t="s">
        <v>137</v>
      </c>
      <c r="AJ9" s="128" t="s">
        <v>138</v>
      </c>
      <c r="AK9" s="129" t="s">
        <v>11</v>
      </c>
      <c r="AL9" s="121" t="s">
        <v>9</v>
      </c>
      <c r="AO9" s="122"/>
      <c r="AP9" s="125">
        <v>5</v>
      </c>
      <c r="AQ9" s="124">
        <f>30 + 3.3+3.3+3.3+3.3 + 6</f>
        <v>49.199999999999989</v>
      </c>
      <c r="AR9" s="124">
        <f>2.5</f>
        <v>2.5</v>
      </c>
      <c r="AS9" s="124">
        <f t="shared" si="2"/>
        <v>51.699999999999989</v>
      </c>
      <c r="AT9" s="115"/>
      <c r="AU9" s="129" t="s">
        <v>137</v>
      </c>
      <c r="AV9" s="129" t="s">
        <v>234</v>
      </c>
      <c r="AW9" s="74"/>
    </row>
    <row r="10" spans="2:58" ht="14.45" customHeight="1" x14ac:dyDescent="0.25">
      <c r="L10" s="88"/>
      <c r="M10" s="88"/>
      <c r="N10" s="88"/>
      <c r="O10" s="88"/>
      <c r="P10" s="88"/>
      <c r="R10" s="59" t="s">
        <v>139</v>
      </c>
      <c r="S10" s="59">
        <v>6.6</v>
      </c>
      <c r="T10" s="59">
        <v>3.3</v>
      </c>
      <c r="U10" s="59">
        <f t="shared" si="0"/>
        <v>21.779999999999998</v>
      </c>
      <c r="V10" s="59">
        <v>6</v>
      </c>
      <c r="AC10" s="122"/>
      <c r="AD10" s="123">
        <v>2</v>
      </c>
      <c r="AE10" s="124">
        <f>8.6+9 + 3.3+3.3+7.2+7.5 + 5.7</f>
        <v>44.600000000000009</v>
      </c>
      <c r="AF10" s="124">
        <v>3.35</v>
      </c>
      <c r="AG10" s="124">
        <f t="shared" si="1"/>
        <v>47.95000000000001</v>
      </c>
      <c r="AH10" s="74"/>
      <c r="AI10" s="125">
        <v>1</v>
      </c>
      <c r="AJ10" s="124">
        <f>8.6+9 + 3.3+3.3+7.2+7.5 + 9 + 4.3</f>
        <v>52.2</v>
      </c>
      <c r="AK10" s="125">
        <f>7.5/2 + 4</f>
        <v>7.75</v>
      </c>
      <c r="AL10" s="124">
        <f>AJ10+AK10</f>
        <v>59.95</v>
      </c>
      <c r="AO10" s="122"/>
      <c r="AP10" s="125">
        <v>6</v>
      </c>
      <c r="AQ10" s="124">
        <f>30 + 3.3+3.3+3.3+3.3 + 5</f>
        <v>48.199999999999989</v>
      </c>
      <c r="AR10" s="124">
        <v>2.5</v>
      </c>
      <c r="AS10" s="124">
        <f t="shared" si="2"/>
        <v>50.699999999999989</v>
      </c>
      <c r="AT10" s="115"/>
      <c r="AU10" s="125">
        <v>1</v>
      </c>
      <c r="AV10" s="124">
        <f>2 + 6</f>
        <v>8</v>
      </c>
      <c r="AW10" s="74"/>
    </row>
    <row r="11" spans="2:58" ht="14.45" customHeight="1" x14ac:dyDescent="0.25">
      <c r="L11" s="88"/>
      <c r="M11" s="88"/>
      <c r="N11" s="88"/>
      <c r="O11" s="88"/>
      <c r="P11" s="88"/>
      <c r="R11" s="59" t="s">
        <v>140</v>
      </c>
      <c r="S11" s="59">
        <v>6.6</v>
      </c>
      <c r="T11" s="59">
        <v>3.3</v>
      </c>
      <c r="U11" s="59">
        <f t="shared" si="0"/>
        <v>21.779999999999998</v>
      </c>
      <c r="V11" s="59">
        <v>6</v>
      </c>
      <c r="AC11" s="122" t="s">
        <v>135</v>
      </c>
      <c r="AD11" s="123">
        <v>1</v>
      </c>
      <c r="AE11" s="124">
        <f>30 + 3.3+3.3+3.6</f>
        <v>40.199999999999996</v>
      </c>
      <c r="AF11" s="124">
        <v>3</v>
      </c>
      <c r="AG11" s="124">
        <f t="shared" si="1"/>
        <v>43.199999999999996</v>
      </c>
      <c r="AH11" s="74"/>
      <c r="AI11" s="125">
        <v>2</v>
      </c>
      <c r="AJ11" s="124">
        <f>8.6+9 + 3.3+3.3+7.2+7.5 + 4.5</f>
        <v>43.400000000000006</v>
      </c>
      <c r="AK11" s="125">
        <f>7.5/2 + 4</f>
        <v>7.75</v>
      </c>
      <c r="AL11" s="124">
        <f t="shared" ref="AL11:AL18" si="3">AJ11+AK11</f>
        <v>51.150000000000006</v>
      </c>
      <c r="AO11" s="122"/>
      <c r="AP11" s="125">
        <v>7</v>
      </c>
      <c r="AQ11" s="124">
        <f>30 + 3.3+3.3+3.3+3.3 + 4</f>
        <v>47.199999999999989</v>
      </c>
      <c r="AR11" s="124">
        <v>2.5</v>
      </c>
      <c r="AS11" s="124">
        <f t="shared" si="2"/>
        <v>49.699999999999989</v>
      </c>
      <c r="AT11" s="115"/>
      <c r="AU11" s="125">
        <v>2</v>
      </c>
      <c r="AV11" s="124">
        <f>8 + 3.3 + 3.3 + 3.3 + 3.3 + 5.3 + 1 + 2</f>
        <v>29.500000000000004</v>
      </c>
      <c r="AW11" s="74"/>
    </row>
    <row r="12" spans="2:58" ht="14.45" customHeight="1" x14ac:dyDescent="0.25">
      <c r="L12" s="88"/>
      <c r="M12" s="88"/>
      <c r="N12" s="88"/>
      <c r="O12" s="88"/>
      <c r="P12" s="88"/>
      <c r="R12" s="59" t="s">
        <v>141</v>
      </c>
      <c r="S12" s="59">
        <v>6.6</v>
      </c>
      <c r="T12" s="59">
        <v>3.3</v>
      </c>
      <c r="U12" s="59">
        <f t="shared" si="0"/>
        <v>21.779999999999998</v>
      </c>
      <c r="V12" s="59">
        <v>6</v>
      </c>
      <c r="AC12" s="122"/>
      <c r="AD12" s="123">
        <v>2</v>
      </c>
      <c r="AE12" s="124">
        <f>30 + 3.3+3.3+3.6</f>
        <v>40.199999999999996</v>
      </c>
      <c r="AF12" s="124">
        <v>2</v>
      </c>
      <c r="AG12" s="124">
        <f t="shared" si="1"/>
        <v>42.199999999999996</v>
      </c>
      <c r="AH12" s="74"/>
      <c r="AI12" s="125">
        <v>3</v>
      </c>
      <c r="AJ12" s="124">
        <f>8.6+9 + 3.3+3.3+7.2+7.5 + 5.7</f>
        <v>44.600000000000009</v>
      </c>
      <c r="AK12" s="125">
        <f>7.5/2 + 4</f>
        <v>7.75</v>
      </c>
      <c r="AL12" s="124">
        <f t="shared" si="3"/>
        <v>52.350000000000009</v>
      </c>
      <c r="AO12" s="122"/>
      <c r="AP12" s="125">
        <v>8</v>
      </c>
      <c r="AQ12" s="124">
        <f>30 + 3.3+3.3+3.3+3.3 + 3</f>
        <v>46.199999999999989</v>
      </c>
      <c r="AR12" s="124">
        <v>2.5</v>
      </c>
      <c r="AS12" s="124">
        <f t="shared" si="2"/>
        <v>48.699999999999989</v>
      </c>
      <c r="AT12" s="115"/>
      <c r="AU12" s="125">
        <v>3</v>
      </c>
      <c r="AV12" s="124">
        <f>8 + 3.3 + 3.3 + 3.3 + 3.3 + 5.3 + 1 + 2</f>
        <v>29.500000000000004</v>
      </c>
      <c r="AW12" s="74"/>
    </row>
    <row r="13" spans="2:58" ht="14.45" customHeight="1" x14ac:dyDescent="0.25">
      <c r="R13" s="59" t="s">
        <v>142</v>
      </c>
      <c r="S13" s="59">
        <v>6.6</v>
      </c>
      <c r="T13" s="59">
        <v>3.3</v>
      </c>
      <c r="U13" s="59">
        <f t="shared" si="0"/>
        <v>21.779999999999998</v>
      </c>
      <c r="V13" s="59">
        <v>6</v>
      </c>
      <c r="AC13" s="122"/>
      <c r="AD13" s="123">
        <v>3</v>
      </c>
      <c r="AE13" s="124">
        <f>30 + 3.3+3.3+3.6</f>
        <v>40.199999999999996</v>
      </c>
      <c r="AF13" s="124">
        <v>1</v>
      </c>
      <c r="AG13" s="124">
        <f t="shared" si="1"/>
        <v>41.199999999999996</v>
      </c>
      <c r="AH13" s="74"/>
      <c r="AI13" s="125">
        <v>4</v>
      </c>
      <c r="AJ13" s="124">
        <f>30 + 3.3+3.3+7.2</f>
        <v>43.8</v>
      </c>
      <c r="AK13" s="125">
        <f>7.2/2 + 4</f>
        <v>7.6</v>
      </c>
      <c r="AL13" s="124">
        <f t="shared" si="3"/>
        <v>51.4</v>
      </c>
      <c r="AO13" s="122"/>
      <c r="AP13" s="125">
        <v>9</v>
      </c>
      <c r="AQ13" s="124">
        <f>30 + 3.3+3.3+3.3+3.3 + 2</f>
        <v>45.199999999999989</v>
      </c>
      <c r="AR13" s="124">
        <v>2.5</v>
      </c>
      <c r="AS13" s="124">
        <f t="shared" si="2"/>
        <v>47.699999999999989</v>
      </c>
      <c r="AT13" s="115"/>
      <c r="AU13" s="125">
        <v>4</v>
      </c>
      <c r="AV13" s="124">
        <f xml:space="preserve"> 8 + 5.3 + 5.3 + 4</f>
        <v>22.6</v>
      </c>
      <c r="AW13" s="74"/>
    </row>
    <row r="14" spans="2:58" ht="14.45" customHeight="1" x14ac:dyDescent="0.25">
      <c r="L14" s="88" t="s">
        <v>143</v>
      </c>
      <c r="M14" s="88"/>
      <c r="N14" s="88"/>
      <c r="O14" s="88"/>
      <c r="P14" s="88"/>
      <c r="R14" s="59" t="s">
        <v>144</v>
      </c>
      <c r="S14" s="59">
        <v>6.6</v>
      </c>
      <c r="T14" s="59">
        <v>3.3</v>
      </c>
      <c r="U14" s="59">
        <f t="shared" si="0"/>
        <v>21.779999999999998</v>
      </c>
      <c r="V14" s="59">
        <v>6</v>
      </c>
      <c r="AC14" s="122"/>
      <c r="AD14" s="123">
        <v>4</v>
      </c>
      <c r="AE14" s="124">
        <f>30 + 3.3+3.3+3.6</f>
        <v>40.199999999999996</v>
      </c>
      <c r="AF14" s="124">
        <v>3</v>
      </c>
      <c r="AG14" s="124">
        <f t="shared" si="1"/>
        <v>43.199999999999996</v>
      </c>
      <c r="AH14" s="74"/>
      <c r="AI14" s="125">
        <v>5</v>
      </c>
      <c r="AJ14" s="125">
        <f>30</f>
        <v>30</v>
      </c>
      <c r="AK14" s="125">
        <f xml:space="preserve"> 6 + 4</f>
        <v>10</v>
      </c>
      <c r="AL14" s="124">
        <f t="shared" si="3"/>
        <v>40</v>
      </c>
      <c r="AO14" s="122"/>
      <c r="AP14" s="125">
        <v>10</v>
      </c>
      <c r="AQ14" s="124">
        <f>30 + 3.3+3.3+3.3+3.3 + 4</f>
        <v>47.199999999999989</v>
      </c>
      <c r="AR14" s="124">
        <v>2.5</v>
      </c>
      <c r="AS14" s="124">
        <f t="shared" si="2"/>
        <v>49.699999999999989</v>
      </c>
      <c r="AT14" s="115"/>
      <c r="AU14" s="74"/>
      <c r="AV14" s="74"/>
      <c r="AW14" s="74"/>
    </row>
    <row r="15" spans="2:58" ht="14.45" customHeight="1" x14ac:dyDescent="0.25">
      <c r="L15" s="88"/>
      <c r="M15" s="88"/>
      <c r="N15" s="88"/>
      <c r="O15" s="88"/>
      <c r="P15" s="88"/>
      <c r="R15" s="59" t="s">
        <v>145</v>
      </c>
      <c r="S15" s="59">
        <v>6.6</v>
      </c>
      <c r="T15" s="59">
        <v>3.3</v>
      </c>
      <c r="U15" s="59">
        <f t="shared" si="0"/>
        <v>21.779999999999998</v>
      </c>
      <c r="V15" s="59">
        <v>6</v>
      </c>
      <c r="AC15" s="122"/>
      <c r="AD15" s="123">
        <v>5</v>
      </c>
      <c r="AE15" s="124">
        <f>30 + 3.3+3.3</f>
        <v>36.599999999999994</v>
      </c>
      <c r="AF15" s="124">
        <v>2</v>
      </c>
      <c r="AG15" s="124">
        <f t="shared" si="1"/>
        <v>38.599999999999994</v>
      </c>
      <c r="AH15" s="74"/>
      <c r="AI15" s="125">
        <v>6</v>
      </c>
      <c r="AJ15" s="125">
        <f>8.6+9</f>
        <v>17.600000000000001</v>
      </c>
      <c r="AK15" s="125">
        <f>3.3+6 + 4</f>
        <v>13.3</v>
      </c>
      <c r="AL15" s="124">
        <f t="shared" si="3"/>
        <v>30.900000000000002</v>
      </c>
      <c r="AO15" s="122" t="s">
        <v>158</v>
      </c>
      <c r="AP15" s="125">
        <v>1</v>
      </c>
      <c r="AQ15" s="124">
        <f>30 + 3.3+3.3+3.3+3.3 + 4</f>
        <v>47.199999999999989</v>
      </c>
      <c r="AR15" s="124">
        <v>2.5</v>
      </c>
      <c r="AS15" s="124">
        <f t="shared" si="2"/>
        <v>49.699999999999989</v>
      </c>
      <c r="AT15" s="115"/>
      <c r="AU15" s="74"/>
      <c r="AV15" s="74"/>
      <c r="AW15" s="74"/>
      <c r="AX15" s="74"/>
    </row>
    <row r="16" spans="2:58" ht="14.45" customHeight="1" x14ac:dyDescent="0.25">
      <c r="L16" s="88"/>
      <c r="M16" s="88"/>
      <c r="N16" s="88"/>
      <c r="O16" s="88"/>
      <c r="P16" s="88"/>
      <c r="R16" s="59" t="s">
        <v>146</v>
      </c>
      <c r="S16" s="59">
        <v>6.6</v>
      </c>
      <c r="T16" s="59">
        <v>3.3</v>
      </c>
      <c r="U16" s="59">
        <f t="shared" si="0"/>
        <v>21.779999999999998</v>
      </c>
      <c r="V16" s="59">
        <v>6</v>
      </c>
      <c r="AC16" s="122"/>
      <c r="AD16" s="123">
        <v>6</v>
      </c>
      <c r="AE16" s="124">
        <f>30 + 3.3+3.3</f>
        <v>36.599999999999994</v>
      </c>
      <c r="AF16" s="124">
        <v>1</v>
      </c>
      <c r="AG16" s="124">
        <f t="shared" si="1"/>
        <v>37.599999999999994</v>
      </c>
      <c r="AH16" s="74"/>
      <c r="AI16" s="125">
        <v>7</v>
      </c>
      <c r="AJ16" s="125">
        <f>8.6+9 + 3.3+3.3</f>
        <v>24.200000000000003</v>
      </c>
      <c r="AK16" s="125">
        <f>1+2.5 + 4</f>
        <v>7.5</v>
      </c>
      <c r="AL16" s="124">
        <f t="shared" si="3"/>
        <v>31.700000000000003</v>
      </c>
      <c r="AO16" s="122"/>
      <c r="AP16" s="125">
        <v>2</v>
      </c>
      <c r="AQ16" s="124">
        <f>30 + 3.3+3.3+3.3 + 3</f>
        <v>42.899999999999991</v>
      </c>
      <c r="AR16" s="124">
        <v>2.5</v>
      </c>
      <c r="AS16" s="124">
        <f t="shared" si="2"/>
        <v>45.399999999999991</v>
      </c>
      <c r="AT16" s="115"/>
      <c r="AU16" s="74"/>
      <c r="AV16" s="74"/>
      <c r="AW16" s="74"/>
      <c r="AX16" s="74"/>
    </row>
    <row r="17" spans="12:50" ht="14.45" customHeight="1" x14ac:dyDescent="0.25">
      <c r="L17" s="88"/>
      <c r="M17" s="88"/>
      <c r="N17" s="88"/>
      <c r="O17" s="88"/>
      <c r="P17" s="88"/>
      <c r="R17" s="59" t="s">
        <v>147</v>
      </c>
      <c r="S17" s="59">
        <v>6.6</v>
      </c>
      <c r="T17" s="59">
        <v>3.3</v>
      </c>
      <c r="U17" s="59">
        <f t="shared" si="0"/>
        <v>21.779999999999998</v>
      </c>
      <c r="V17" s="59">
        <v>6</v>
      </c>
      <c r="AC17" s="122"/>
      <c r="AD17" s="123">
        <v>7</v>
      </c>
      <c r="AE17" s="124">
        <v>36.599999999999994</v>
      </c>
      <c r="AF17" s="124">
        <v>0</v>
      </c>
      <c r="AG17" s="124">
        <f t="shared" si="1"/>
        <v>36.599999999999994</v>
      </c>
      <c r="AH17" s="74"/>
      <c r="AI17" s="125">
        <v>8</v>
      </c>
      <c r="AJ17" s="125">
        <f>8.6+9 + 3.3+3.3</f>
        <v>24.200000000000003</v>
      </c>
      <c r="AK17" s="125">
        <f>3.3 + 1 + 2.5 + 4</f>
        <v>10.8</v>
      </c>
      <c r="AL17" s="124">
        <f t="shared" si="3"/>
        <v>35</v>
      </c>
      <c r="AO17" s="122"/>
      <c r="AP17" s="125">
        <v>3</v>
      </c>
      <c r="AQ17" s="124">
        <f>30 + 3.3+3.3+3.3 + 2</f>
        <v>41.899999999999991</v>
      </c>
      <c r="AR17" s="124">
        <v>2.5</v>
      </c>
      <c r="AS17" s="124">
        <f t="shared" si="2"/>
        <v>44.399999999999991</v>
      </c>
      <c r="AT17" s="115"/>
      <c r="AU17" s="74"/>
      <c r="AV17" s="74"/>
      <c r="AW17" s="74"/>
      <c r="AX17" s="74"/>
    </row>
    <row r="18" spans="12:50" ht="14.45" customHeight="1" x14ac:dyDescent="0.25">
      <c r="L18" s="88"/>
      <c r="M18" s="88"/>
      <c r="N18" s="88"/>
      <c r="O18" s="88"/>
      <c r="P18" s="88"/>
      <c r="R18" s="59" t="s">
        <v>148</v>
      </c>
      <c r="S18" s="59">
        <v>3.3</v>
      </c>
      <c r="T18" s="59">
        <v>2.5</v>
      </c>
      <c r="U18" s="59">
        <f t="shared" si="0"/>
        <v>8.25</v>
      </c>
      <c r="V18" s="59">
        <v>0</v>
      </c>
      <c r="W18" t="s">
        <v>149</v>
      </c>
      <c r="AC18" s="122"/>
      <c r="AD18" s="123">
        <v>8</v>
      </c>
      <c r="AE18" s="124">
        <f>30 + 3.3+3.3</f>
        <v>36.599999999999994</v>
      </c>
      <c r="AF18" s="124">
        <v>1</v>
      </c>
      <c r="AG18" s="124">
        <f t="shared" si="1"/>
        <v>37.599999999999994</v>
      </c>
      <c r="AH18" s="74"/>
      <c r="AI18" s="125">
        <v>9</v>
      </c>
      <c r="AJ18" s="125">
        <v>2.5</v>
      </c>
      <c r="AK18" s="125">
        <f>2.5 + 4</f>
        <v>6.5</v>
      </c>
      <c r="AL18" s="124">
        <f t="shared" si="3"/>
        <v>9</v>
      </c>
      <c r="AO18" s="122"/>
      <c r="AP18" s="125">
        <v>4</v>
      </c>
      <c r="AQ18" s="124">
        <f>30 + 3.3+3.3+3.3 + 1</f>
        <v>40.899999999999991</v>
      </c>
      <c r="AR18" s="124">
        <v>2.5</v>
      </c>
      <c r="AS18" s="124">
        <f t="shared" si="2"/>
        <v>43.399999999999991</v>
      </c>
      <c r="AT18" s="115"/>
      <c r="AU18" s="74"/>
      <c r="AV18" s="74"/>
      <c r="AW18" s="74"/>
      <c r="AX18" s="74"/>
    </row>
    <row r="19" spans="12:50" ht="14.45" customHeight="1" x14ac:dyDescent="0.25">
      <c r="L19" s="88"/>
      <c r="M19" s="88"/>
      <c r="N19" s="88"/>
      <c r="O19" s="88"/>
      <c r="P19" s="88"/>
      <c r="R19" s="59" t="s">
        <v>150</v>
      </c>
      <c r="S19" s="59">
        <v>3.3</v>
      </c>
      <c r="T19" s="59">
        <v>4.2</v>
      </c>
      <c r="U19" s="60">
        <f t="shared" si="0"/>
        <v>13.86</v>
      </c>
      <c r="V19" s="60">
        <v>4</v>
      </c>
      <c r="AC19" s="122"/>
      <c r="AD19" s="123">
        <v>9</v>
      </c>
      <c r="AE19" s="124">
        <f>30 + 3.3+3.3</f>
        <v>36.599999999999994</v>
      </c>
      <c r="AF19" s="124">
        <v>2</v>
      </c>
      <c r="AG19" s="124">
        <f t="shared" si="1"/>
        <v>38.599999999999994</v>
      </c>
      <c r="AH19" s="74"/>
      <c r="AI19" s="74"/>
      <c r="AJ19" s="74"/>
      <c r="AK19" s="74"/>
      <c r="AL19" s="74"/>
      <c r="AO19" s="122" t="s">
        <v>159</v>
      </c>
      <c r="AP19" s="125">
        <v>1</v>
      </c>
      <c r="AQ19" s="124">
        <f>30 + 3.3+3.3+3.3 + 4</f>
        <v>43.899999999999991</v>
      </c>
      <c r="AR19" s="124">
        <v>2.5</v>
      </c>
      <c r="AS19" s="124">
        <f t="shared" si="2"/>
        <v>46.399999999999991</v>
      </c>
      <c r="AT19" s="115"/>
      <c r="AU19" s="115"/>
      <c r="AV19" s="74"/>
    </row>
    <row r="20" spans="12:50" ht="14.45" customHeight="1" x14ac:dyDescent="0.25">
      <c r="L20" s="88"/>
      <c r="M20" s="88"/>
      <c r="N20" s="88"/>
      <c r="O20" s="88"/>
      <c r="P20" s="88"/>
      <c r="U20" s="59">
        <f>SUM(U5:U18)</f>
        <v>480.08999999999975</v>
      </c>
      <c r="V20" s="59">
        <f>SUM(V5:V19)</f>
        <v>76</v>
      </c>
      <c r="W20" s="56" t="s">
        <v>20</v>
      </c>
      <c r="AC20" s="122"/>
      <c r="AD20" s="123">
        <v>10</v>
      </c>
      <c r="AE20" s="124">
        <f>30 + 3.3+3.3</f>
        <v>36.599999999999994</v>
      </c>
      <c r="AF20" s="124">
        <v>3</v>
      </c>
      <c r="AG20" s="124">
        <f t="shared" si="1"/>
        <v>39.599999999999994</v>
      </c>
      <c r="AH20" s="74"/>
      <c r="AI20" s="74"/>
      <c r="AJ20" s="74"/>
      <c r="AK20" s="74"/>
      <c r="AL20" s="74"/>
      <c r="AO20" s="122"/>
      <c r="AP20" s="125">
        <v>2</v>
      </c>
      <c r="AQ20" s="124">
        <f>30 + 3.3+3.3 + 3</f>
        <v>39.599999999999994</v>
      </c>
      <c r="AR20" s="124">
        <v>2.5</v>
      </c>
      <c r="AS20" s="124">
        <f t="shared" si="2"/>
        <v>42.099999999999994</v>
      </c>
      <c r="AT20" s="115"/>
      <c r="AU20" s="115"/>
      <c r="AV20" s="74"/>
    </row>
    <row r="21" spans="12:50" x14ac:dyDescent="0.25">
      <c r="L21" s="88"/>
      <c r="M21" s="88"/>
      <c r="N21" s="88"/>
      <c r="O21" s="88"/>
      <c r="P21" s="88"/>
      <c r="AC21" s="122"/>
      <c r="AD21" s="123">
        <v>11</v>
      </c>
      <c r="AE21" s="124">
        <f>30 + 3.3+3.3</f>
        <v>36.599999999999994</v>
      </c>
      <c r="AF21" s="124">
        <v>4</v>
      </c>
      <c r="AG21" s="124">
        <f t="shared" si="1"/>
        <v>40.599999999999994</v>
      </c>
      <c r="AH21" s="74"/>
      <c r="AI21" s="74"/>
      <c r="AJ21" s="74"/>
      <c r="AK21" s="74"/>
      <c r="AL21" s="74"/>
      <c r="AO21" s="122"/>
      <c r="AP21" s="125">
        <v>3</v>
      </c>
      <c r="AQ21" s="124">
        <f>30 + 3.3+3.3 + 2</f>
        <v>38.599999999999994</v>
      </c>
      <c r="AR21" s="124">
        <v>2.5</v>
      </c>
      <c r="AS21" s="124">
        <f t="shared" si="2"/>
        <v>41.099999999999994</v>
      </c>
      <c r="AT21" s="115"/>
      <c r="AU21" s="115"/>
      <c r="AV21" s="74"/>
    </row>
    <row r="22" spans="12:50" x14ac:dyDescent="0.25">
      <c r="L22" s="88"/>
      <c r="M22" s="88"/>
      <c r="N22" s="88"/>
      <c r="O22" s="88"/>
      <c r="P22" s="88"/>
      <c r="AC22" s="122"/>
      <c r="AD22" s="123">
        <v>12</v>
      </c>
      <c r="AE22" s="124">
        <f>30 + 3.3+3.3</f>
        <v>36.599999999999994</v>
      </c>
      <c r="AF22" s="124">
        <v>8</v>
      </c>
      <c r="AG22" s="124">
        <f t="shared" si="1"/>
        <v>44.599999999999994</v>
      </c>
      <c r="AH22" s="74"/>
      <c r="AI22" s="74"/>
      <c r="AJ22" s="74"/>
      <c r="AK22" s="74"/>
      <c r="AL22" s="74"/>
      <c r="AO22" s="122"/>
      <c r="AP22" s="125">
        <v>4</v>
      </c>
      <c r="AQ22" s="124">
        <f>30 + 3.3+3.3 + 1</f>
        <v>37.599999999999994</v>
      </c>
      <c r="AR22" s="124">
        <v>2.5</v>
      </c>
      <c r="AS22" s="124">
        <f t="shared" si="2"/>
        <v>40.099999999999994</v>
      </c>
      <c r="AT22" s="115"/>
      <c r="AU22" s="115"/>
      <c r="AV22" s="74"/>
    </row>
    <row r="23" spans="12:50" ht="20.25" customHeight="1" x14ac:dyDescent="0.25">
      <c r="L23" s="88"/>
      <c r="M23" s="88"/>
      <c r="N23" s="88"/>
      <c r="O23" s="88"/>
      <c r="P23" s="88"/>
      <c r="V23">
        <f xml:space="preserve"> 24 *4</f>
        <v>96</v>
      </c>
      <c r="AC23" s="122" t="s">
        <v>136</v>
      </c>
      <c r="AD23" s="123">
        <v>1</v>
      </c>
      <c r="AE23" s="124">
        <f t="shared" ref="AE23:AE34" si="4">30 + 3.3</f>
        <v>33.299999999999997</v>
      </c>
      <c r="AF23" s="124">
        <v>4</v>
      </c>
      <c r="AG23" s="124">
        <f t="shared" si="1"/>
        <v>37.299999999999997</v>
      </c>
      <c r="AH23" s="74"/>
      <c r="AI23" s="74"/>
      <c r="AJ23" s="74" t="s">
        <v>151</v>
      </c>
      <c r="AK23" s="74"/>
      <c r="AL23" s="74"/>
      <c r="AO23" s="122" t="s">
        <v>160</v>
      </c>
      <c r="AP23" s="125">
        <v>1</v>
      </c>
      <c r="AQ23" s="124">
        <f>30 + 3.3+3.3 + 4</f>
        <v>40.599999999999994</v>
      </c>
      <c r="AR23" s="124">
        <v>2.5</v>
      </c>
      <c r="AS23" s="124">
        <f t="shared" si="2"/>
        <v>43.099999999999994</v>
      </c>
      <c r="AT23" s="115"/>
      <c r="AU23" s="115"/>
      <c r="AV23" s="74"/>
    </row>
    <row r="24" spans="12:50" x14ac:dyDescent="0.25">
      <c r="AC24" s="122"/>
      <c r="AD24" s="123">
        <v>2</v>
      </c>
      <c r="AE24" s="124">
        <f t="shared" si="4"/>
        <v>33.299999999999997</v>
      </c>
      <c r="AF24" s="124">
        <v>3.3</v>
      </c>
      <c r="AG24" s="124">
        <f t="shared" si="1"/>
        <v>36.599999999999994</v>
      </c>
      <c r="AH24" s="74"/>
      <c r="AI24" s="74"/>
      <c r="AJ24" s="74" t="s">
        <v>152</v>
      </c>
      <c r="AK24" s="74"/>
      <c r="AL24" s="74"/>
      <c r="AO24" s="122"/>
      <c r="AP24" s="125">
        <v>2</v>
      </c>
      <c r="AQ24" s="124">
        <f>30 + 3.3 + 3</f>
        <v>36.299999999999997</v>
      </c>
      <c r="AR24" s="124">
        <v>2.5</v>
      </c>
      <c r="AS24" s="124">
        <f t="shared" si="2"/>
        <v>38.799999999999997</v>
      </c>
      <c r="AT24" s="115"/>
      <c r="AU24" s="115"/>
      <c r="AV24" s="74"/>
    </row>
    <row r="25" spans="12:50" x14ac:dyDescent="0.25">
      <c r="AC25" s="122"/>
      <c r="AD25" s="123">
        <v>3</v>
      </c>
      <c r="AE25" s="124">
        <f t="shared" si="4"/>
        <v>33.299999999999997</v>
      </c>
      <c r="AF25" s="124">
        <v>1.6</v>
      </c>
      <c r="AG25" s="124">
        <f t="shared" si="1"/>
        <v>34.9</v>
      </c>
      <c r="AH25" s="74"/>
      <c r="AI25" s="74"/>
      <c r="AJ25" s="74" t="s">
        <v>153</v>
      </c>
      <c r="AK25" s="74"/>
      <c r="AL25" s="74"/>
      <c r="AO25" s="122"/>
      <c r="AP25" s="125">
        <v>3</v>
      </c>
      <c r="AQ25" s="124">
        <f>30 + 3.3 + 2</f>
        <v>35.299999999999997</v>
      </c>
      <c r="AR25" s="124">
        <v>2.5</v>
      </c>
      <c r="AS25" s="124">
        <f t="shared" si="2"/>
        <v>37.799999999999997</v>
      </c>
      <c r="AT25" s="115"/>
      <c r="AU25" s="115"/>
      <c r="AV25" s="74"/>
    </row>
    <row r="26" spans="12:50" x14ac:dyDescent="0.25">
      <c r="AC26" s="122"/>
      <c r="AD26" s="123">
        <v>4</v>
      </c>
      <c r="AE26" s="124">
        <f t="shared" si="4"/>
        <v>33.299999999999997</v>
      </c>
      <c r="AF26" s="124">
        <v>1</v>
      </c>
      <c r="AG26" s="124">
        <f t="shared" si="1"/>
        <v>34.299999999999997</v>
      </c>
      <c r="AH26" s="74"/>
      <c r="AI26" s="74"/>
      <c r="AJ26" s="74"/>
      <c r="AK26" s="74"/>
      <c r="AL26" s="74"/>
      <c r="AO26" s="122"/>
      <c r="AP26" s="125">
        <v>4</v>
      </c>
      <c r="AQ26" s="124">
        <f>30 + 3.3 + 1</f>
        <v>34.299999999999997</v>
      </c>
      <c r="AR26" s="124">
        <v>2.5</v>
      </c>
      <c r="AS26" s="124">
        <f t="shared" si="2"/>
        <v>36.799999999999997</v>
      </c>
      <c r="AT26" s="115"/>
      <c r="AU26" s="115"/>
      <c r="AV26" s="74"/>
    </row>
    <row r="27" spans="12:50" x14ac:dyDescent="0.25">
      <c r="V27">
        <f xml:space="preserve"> 74 / 24</f>
        <v>3.0833333333333335</v>
      </c>
      <c r="AC27" s="122"/>
      <c r="AD27" s="123">
        <v>5</v>
      </c>
      <c r="AE27" s="124">
        <f t="shared" si="4"/>
        <v>33.299999999999997</v>
      </c>
      <c r="AF27" s="124">
        <v>1</v>
      </c>
      <c r="AG27" s="124">
        <f t="shared" si="1"/>
        <v>34.299999999999997</v>
      </c>
      <c r="AH27" s="74"/>
      <c r="AI27" s="74"/>
      <c r="AJ27" s="74"/>
      <c r="AK27" s="74"/>
      <c r="AL27" s="74"/>
      <c r="AO27" s="122" t="s">
        <v>161</v>
      </c>
      <c r="AP27" s="125">
        <v>1</v>
      </c>
      <c r="AQ27" s="124">
        <f>30 + 3.3 + 4</f>
        <v>37.299999999999997</v>
      </c>
      <c r="AR27" s="124">
        <v>2.5</v>
      </c>
      <c r="AS27" s="124">
        <f t="shared" si="2"/>
        <v>39.799999999999997</v>
      </c>
      <c r="AT27" s="115"/>
      <c r="AU27" s="115"/>
      <c r="AV27" s="74"/>
    </row>
    <row r="28" spans="12:50" x14ac:dyDescent="0.25">
      <c r="AC28" s="122"/>
      <c r="AD28" s="123">
        <v>6</v>
      </c>
      <c r="AE28" s="124">
        <f t="shared" si="4"/>
        <v>33.299999999999997</v>
      </c>
      <c r="AF28" s="124">
        <v>3.3</v>
      </c>
      <c r="AG28" s="124">
        <f t="shared" si="1"/>
        <v>36.599999999999994</v>
      </c>
      <c r="AH28" s="74"/>
      <c r="AI28" s="74"/>
      <c r="AJ28" s="74"/>
      <c r="AK28" s="74"/>
      <c r="AL28" s="74"/>
      <c r="AO28" s="122"/>
      <c r="AP28" s="125">
        <v>2</v>
      </c>
      <c r="AQ28" s="124">
        <f>30 + 3</f>
        <v>33</v>
      </c>
      <c r="AR28" s="124">
        <v>2.5</v>
      </c>
      <c r="AS28" s="124">
        <f t="shared" si="2"/>
        <v>35.5</v>
      </c>
      <c r="AT28" s="115"/>
      <c r="AU28" s="115"/>
      <c r="AV28" s="74"/>
    </row>
    <row r="29" spans="12:50" x14ac:dyDescent="0.25">
      <c r="AC29" s="122" t="s">
        <v>139</v>
      </c>
      <c r="AD29" s="123">
        <v>1</v>
      </c>
      <c r="AE29" s="124">
        <f t="shared" si="4"/>
        <v>33.299999999999997</v>
      </c>
      <c r="AF29" s="124">
        <v>4</v>
      </c>
      <c r="AG29" s="124">
        <f t="shared" si="1"/>
        <v>37.299999999999997</v>
      </c>
      <c r="AH29" s="74"/>
      <c r="AI29" s="74"/>
      <c r="AJ29" s="74"/>
      <c r="AK29" s="74"/>
      <c r="AL29" s="74"/>
      <c r="AO29" s="122"/>
      <c r="AP29" s="125">
        <v>3</v>
      </c>
      <c r="AQ29" s="124">
        <f>30 + 2</f>
        <v>32</v>
      </c>
      <c r="AR29" s="124">
        <v>2.5</v>
      </c>
      <c r="AS29" s="124">
        <f t="shared" si="2"/>
        <v>34.5</v>
      </c>
      <c r="AT29" s="115"/>
      <c r="AU29" s="115"/>
      <c r="AV29" s="74"/>
    </row>
    <row r="30" spans="12:50" x14ac:dyDescent="0.25">
      <c r="AC30" s="122"/>
      <c r="AD30" s="123">
        <v>2</v>
      </c>
      <c r="AE30" s="124">
        <f t="shared" si="4"/>
        <v>33.299999999999997</v>
      </c>
      <c r="AF30" s="124">
        <v>3.3</v>
      </c>
      <c r="AG30" s="124">
        <f t="shared" si="1"/>
        <v>36.599999999999994</v>
      </c>
      <c r="AH30" s="74"/>
      <c r="AI30" s="74"/>
      <c r="AJ30" s="74"/>
      <c r="AK30" s="74"/>
      <c r="AL30" s="74"/>
      <c r="AO30" s="122"/>
      <c r="AP30" s="125">
        <v>4</v>
      </c>
      <c r="AQ30" s="124">
        <f>30 + 1</f>
        <v>31</v>
      </c>
      <c r="AR30" s="124">
        <v>2.5</v>
      </c>
      <c r="AS30" s="124">
        <f t="shared" si="2"/>
        <v>33.5</v>
      </c>
      <c r="AT30" s="115"/>
      <c r="AU30" s="115"/>
      <c r="AV30" s="74"/>
    </row>
    <row r="31" spans="12:50" x14ac:dyDescent="0.25">
      <c r="AC31" s="122"/>
      <c r="AD31" s="123">
        <v>3</v>
      </c>
      <c r="AE31" s="124">
        <f t="shared" si="4"/>
        <v>33.299999999999997</v>
      </c>
      <c r="AF31" s="124">
        <v>1.6</v>
      </c>
      <c r="AG31" s="124">
        <f t="shared" si="1"/>
        <v>34.9</v>
      </c>
      <c r="AH31" s="74"/>
      <c r="AI31" s="74"/>
      <c r="AJ31" s="74"/>
      <c r="AK31" s="74"/>
      <c r="AL31" s="74"/>
      <c r="AO31" s="122" t="s">
        <v>162</v>
      </c>
      <c r="AP31" s="125">
        <v>1</v>
      </c>
      <c r="AQ31" s="124">
        <f xml:space="preserve"> 30 - 5.3/2</f>
        <v>27.35</v>
      </c>
      <c r="AR31" s="124">
        <v>2.5</v>
      </c>
      <c r="AS31" s="124">
        <f t="shared" si="2"/>
        <v>29.85</v>
      </c>
      <c r="AT31" s="115"/>
      <c r="AU31" s="115"/>
      <c r="AV31" s="74"/>
    </row>
    <row r="32" spans="12:50" x14ac:dyDescent="0.25">
      <c r="AC32" s="122"/>
      <c r="AD32" s="123">
        <v>4</v>
      </c>
      <c r="AE32" s="124">
        <f t="shared" si="4"/>
        <v>33.299999999999997</v>
      </c>
      <c r="AF32" s="124">
        <v>1</v>
      </c>
      <c r="AG32" s="124">
        <f t="shared" si="1"/>
        <v>34.299999999999997</v>
      </c>
      <c r="AH32" s="74"/>
      <c r="AI32" s="74"/>
      <c r="AJ32" s="74"/>
      <c r="AK32" s="74"/>
      <c r="AL32" s="74"/>
      <c r="AO32" s="122"/>
      <c r="AP32" s="125">
        <v>2</v>
      </c>
      <c r="AQ32" s="124">
        <f>30 + 1</f>
        <v>31</v>
      </c>
      <c r="AR32" s="124">
        <v>2.5</v>
      </c>
      <c r="AS32" s="124">
        <f t="shared" si="2"/>
        <v>33.5</v>
      </c>
      <c r="AT32" s="115"/>
      <c r="AU32" s="115"/>
      <c r="AV32" s="74"/>
    </row>
    <row r="33" spans="2:48" x14ac:dyDescent="0.25">
      <c r="AC33" s="122"/>
      <c r="AD33" s="123">
        <v>5</v>
      </c>
      <c r="AE33" s="124">
        <f t="shared" si="4"/>
        <v>33.299999999999997</v>
      </c>
      <c r="AF33" s="124">
        <v>1</v>
      </c>
      <c r="AG33" s="124">
        <f t="shared" si="1"/>
        <v>34.299999999999997</v>
      </c>
      <c r="AH33" s="74"/>
      <c r="AI33" s="74"/>
      <c r="AJ33" s="74"/>
      <c r="AK33" s="74"/>
      <c r="AL33" s="74"/>
      <c r="AO33" s="122"/>
      <c r="AP33" s="125">
        <v>3</v>
      </c>
      <c r="AQ33" s="124">
        <f>30 + 2</f>
        <v>32</v>
      </c>
      <c r="AR33" s="124">
        <v>2.5</v>
      </c>
      <c r="AS33" s="124">
        <f t="shared" si="2"/>
        <v>34.5</v>
      </c>
      <c r="AT33" s="115"/>
      <c r="AU33" s="115"/>
      <c r="AV33" s="74"/>
    </row>
    <row r="34" spans="2:48" x14ac:dyDescent="0.25">
      <c r="AC34" s="122"/>
      <c r="AD34" s="123">
        <v>6</v>
      </c>
      <c r="AE34" s="124">
        <f t="shared" si="4"/>
        <v>33.299999999999997</v>
      </c>
      <c r="AF34" s="124">
        <v>3.3</v>
      </c>
      <c r="AG34" s="124">
        <f t="shared" si="1"/>
        <v>36.599999999999994</v>
      </c>
      <c r="AH34" s="74"/>
      <c r="AI34" s="74"/>
      <c r="AJ34" s="74"/>
      <c r="AK34" s="74"/>
      <c r="AL34" s="74"/>
      <c r="AO34" s="122"/>
      <c r="AP34" s="125">
        <v>4</v>
      </c>
      <c r="AQ34" s="124">
        <f>30 + 3</f>
        <v>33</v>
      </c>
      <c r="AR34" s="124">
        <v>2.5</v>
      </c>
      <c r="AS34" s="124">
        <f t="shared" si="2"/>
        <v>35.5</v>
      </c>
      <c r="AT34" s="115"/>
      <c r="AU34" s="115"/>
      <c r="AV34" s="74"/>
    </row>
    <row r="35" spans="2:48" x14ac:dyDescent="0.25">
      <c r="AC35" s="122" t="s">
        <v>140</v>
      </c>
      <c r="AD35" s="123">
        <v>1</v>
      </c>
      <c r="AE35" s="124">
        <f>30</f>
        <v>30</v>
      </c>
      <c r="AF35" s="124">
        <v>4</v>
      </c>
      <c r="AG35" s="124">
        <f t="shared" si="1"/>
        <v>34</v>
      </c>
      <c r="AH35" s="74"/>
      <c r="AI35" s="74"/>
      <c r="AJ35" s="74"/>
      <c r="AK35" s="74"/>
      <c r="AL35" s="74"/>
      <c r="AO35" s="122" t="s">
        <v>163</v>
      </c>
      <c r="AP35" s="125">
        <v>1</v>
      </c>
      <c r="AQ35" s="124">
        <f xml:space="preserve"> 30 + 3.3 + 5.3/2</f>
        <v>35.949999999999996</v>
      </c>
      <c r="AR35" s="124">
        <v>2.5</v>
      </c>
      <c r="AS35" s="124">
        <f t="shared" si="2"/>
        <v>38.449999999999996</v>
      </c>
      <c r="AT35" s="115"/>
      <c r="AU35" s="115"/>
      <c r="AV35" s="74"/>
    </row>
    <row r="36" spans="2:48" x14ac:dyDescent="0.25">
      <c r="AC36" s="122"/>
      <c r="AD36" s="123">
        <v>2</v>
      </c>
      <c r="AE36" s="124">
        <f>30</f>
        <v>30</v>
      </c>
      <c r="AF36" s="124">
        <v>3.3</v>
      </c>
      <c r="AG36" s="124">
        <f t="shared" si="1"/>
        <v>33.299999999999997</v>
      </c>
      <c r="AH36" s="74"/>
      <c r="AI36" s="74"/>
      <c r="AJ36" s="74"/>
      <c r="AK36" s="74"/>
      <c r="AL36" s="74"/>
      <c r="AO36" s="122"/>
      <c r="AP36" s="125">
        <v>2</v>
      </c>
      <c r="AQ36" s="124">
        <f>30 + 3.5 + 1</f>
        <v>34.5</v>
      </c>
      <c r="AR36" s="124">
        <v>2.5</v>
      </c>
      <c r="AS36" s="124">
        <f t="shared" si="2"/>
        <v>37</v>
      </c>
      <c r="AT36" s="115"/>
      <c r="AU36" s="115"/>
      <c r="AV36" s="74"/>
    </row>
    <row r="37" spans="2:48" x14ac:dyDescent="0.25">
      <c r="AC37" s="122"/>
      <c r="AD37" s="123">
        <v>3</v>
      </c>
      <c r="AE37" s="124">
        <f>30</f>
        <v>30</v>
      </c>
      <c r="AF37" s="124">
        <v>1.6</v>
      </c>
      <c r="AG37" s="124">
        <f t="shared" si="1"/>
        <v>31.6</v>
      </c>
      <c r="AH37" s="74"/>
      <c r="AI37" s="74"/>
      <c r="AJ37" s="74"/>
      <c r="AK37" s="74"/>
      <c r="AL37" s="74"/>
      <c r="AO37" s="122"/>
      <c r="AP37" s="125">
        <v>3</v>
      </c>
      <c r="AQ37" s="124">
        <f>30 + 3.5 + 2</f>
        <v>35.5</v>
      </c>
      <c r="AR37" s="124">
        <v>2.5</v>
      </c>
      <c r="AS37" s="124">
        <f t="shared" si="2"/>
        <v>38</v>
      </c>
      <c r="AT37" s="115"/>
      <c r="AU37" s="115"/>
      <c r="AV37" s="74"/>
    </row>
    <row r="38" spans="2:48" x14ac:dyDescent="0.25">
      <c r="B38" t="s">
        <v>154</v>
      </c>
      <c r="AC38" s="122"/>
      <c r="AD38" s="123">
        <v>4</v>
      </c>
      <c r="AE38" s="124">
        <f>30</f>
        <v>30</v>
      </c>
      <c r="AF38" s="124">
        <v>1</v>
      </c>
      <c r="AG38" s="124">
        <f t="shared" si="1"/>
        <v>31</v>
      </c>
      <c r="AH38" s="74"/>
      <c r="AI38" s="74"/>
      <c r="AJ38" s="74"/>
      <c r="AK38" s="74"/>
      <c r="AL38" s="74"/>
      <c r="AO38" s="122"/>
      <c r="AP38" s="125">
        <v>4</v>
      </c>
      <c r="AQ38" s="124">
        <f>30 + 3.5 + 3</f>
        <v>36.5</v>
      </c>
      <c r="AR38" s="124">
        <v>2.5</v>
      </c>
      <c r="AS38" s="124">
        <f t="shared" si="2"/>
        <v>39</v>
      </c>
      <c r="AT38" s="115"/>
      <c r="AU38" s="115"/>
      <c r="AV38" s="74"/>
    </row>
    <row r="39" spans="2:48" x14ac:dyDescent="0.25">
      <c r="R39" s="58" t="s">
        <v>126</v>
      </c>
      <c r="S39" s="56" t="s">
        <v>127</v>
      </c>
      <c r="T39" s="56" t="s">
        <v>128</v>
      </c>
      <c r="U39" s="56" t="s">
        <v>155</v>
      </c>
      <c r="V39" s="56" t="s">
        <v>16</v>
      </c>
      <c r="AC39" s="122"/>
      <c r="AD39" s="123">
        <v>5</v>
      </c>
      <c r="AE39" s="124">
        <f>30</f>
        <v>30</v>
      </c>
      <c r="AF39" s="124">
        <v>1</v>
      </c>
      <c r="AG39" s="124">
        <f t="shared" si="1"/>
        <v>31</v>
      </c>
      <c r="AH39" s="74"/>
      <c r="AI39" s="74"/>
      <c r="AJ39" s="74"/>
      <c r="AK39" s="74"/>
      <c r="AL39" s="74"/>
      <c r="AO39" s="122" t="s">
        <v>165</v>
      </c>
      <c r="AP39" s="125">
        <v>1</v>
      </c>
      <c r="AQ39" s="124">
        <f xml:space="preserve"> 17.4 + 3.3 + 3.3 + 3.3 + 3.3 + 4</f>
        <v>34.6</v>
      </c>
      <c r="AR39" s="124">
        <v>2.5</v>
      </c>
      <c r="AS39" s="124">
        <f t="shared" si="2"/>
        <v>37.1</v>
      </c>
      <c r="AT39" s="115"/>
      <c r="AU39" s="115"/>
      <c r="AV39" s="74"/>
    </row>
    <row r="40" spans="2:48" ht="14.45" customHeight="1" x14ac:dyDescent="0.25">
      <c r="L40" s="86" t="s">
        <v>156</v>
      </c>
      <c r="M40" s="86"/>
      <c r="N40" s="86"/>
      <c r="O40" s="86"/>
      <c r="P40" s="86"/>
      <c r="R40" s="59" t="s">
        <v>157</v>
      </c>
      <c r="S40" s="61">
        <v>5.3</v>
      </c>
      <c r="T40" s="61">
        <v>7.8</v>
      </c>
      <c r="U40" s="61">
        <f>S40*T40</f>
        <v>41.339999999999996</v>
      </c>
      <c r="V40" s="61">
        <v>10</v>
      </c>
      <c r="AC40" s="122"/>
      <c r="AD40" s="123">
        <v>6</v>
      </c>
      <c r="AE40" s="124">
        <f>30</f>
        <v>30</v>
      </c>
      <c r="AF40" s="124">
        <v>3.3</v>
      </c>
      <c r="AG40" s="124">
        <f t="shared" si="1"/>
        <v>33.299999999999997</v>
      </c>
      <c r="AH40" s="74"/>
      <c r="AI40" s="74"/>
      <c r="AJ40" s="74"/>
      <c r="AK40" s="74"/>
      <c r="AL40" s="74"/>
      <c r="AO40" s="122"/>
      <c r="AP40" s="125">
        <v>2</v>
      </c>
      <c r="AQ40" s="124">
        <f xml:space="preserve"> 17.4 + 3.3 + 3.3 + 3.3 + 3</f>
        <v>30.3</v>
      </c>
      <c r="AR40" s="124">
        <v>2.5</v>
      </c>
      <c r="AS40" s="124">
        <f t="shared" si="2"/>
        <v>32.799999999999997</v>
      </c>
      <c r="AT40" s="115"/>
      <c r="AU40" s="115"/>
      <c r="AV40" s="74"/>
    </row>
    <row r="41" spans="2:48" ht="14.45" customHeight="1" x14ac:dyDescent="0.25">
      <c r="L41" s="86"/>
      <c r="M41" s="86"/>
      <c r="N41" s="86"/>
      <c r="O41" s="86"/>
      <c r="P41" s="86"/>
      <c r="R41" s="59" t="s">
        <v>158</v>
      </c>
      <c r="S41" s="59">
        <v>5.3</v>
      </c>
      <c r="T41" s="59">
        <v>3.3</v>
      </c>
      <c r="U41" s="59">
        <f t="shared" ref="U41:U59" si="5">S41*T41</f>
        <v>17.489999999999998</v>
      </c>
      <c r="V41" s="59">
        <v>4</v>
      </c>
      <c r="AC41" s="122" t="s">
        <v>141</v>
      </c>
      <c r="AD41" s="123">
        <v>1</v>
      </c>
      <c r="AE41" s="124">
        <f t="shared" ref="AE41:AE46" si="6">30 + 3.3+3.3</f>
        <v>36.599999999999994</v>
      </c>
      <c r="AF41" s="124">
        <v>4</v>
      </c>
      <c r="AG41" s="124">
        <f t="shared" si="1"/>
        <v>40.599999999999994</v>
      </c>
      <c r="AH41" s="74"/>
      <c r="AI41" s="74"/>
      <c r="AJ41" s="74"/>
      <c r="AK41" s="74"/>
      <c r="AL41" s="74"/>
      <c r="AO41" s="122"/>
      <c r="AP41" s="125">
        <v>3</v>
      </c>
      <c r="AQ41" s="124">
        <f xml:space="preserve"> 17.4 + 3.3 + 3.3 + 3.3 + 2</f>
        <v>29.3</v>
      </c>
      <c r="AR41" s="124">
        <v>2.5</v>
      </c>
      <c r="AS41" s="124">
        <f t="shared" si="2"/>
        <v>31.8</v>
      </c>
      <c r="AT41" s="115"/>
      <c r="AU41" s="115"/>
      <c r="AV41" s="74"/>
    </row>
    <row r="42" spans="2:48" ht="14.45" customHeight="1" x14ac:dyDescent="0.25">
      <c r="L42" s="86"/>
      <c r="M42" s="86"/>
      <c r="N42" s="86"/>
      <c r="O42" s="86"/>
      <c r="P42" s="86"/>
      <c r="R42" s="59" t="s">
        <v>159</v>
      </c>
      <c r="S42" s="59">
        <v>5.3</v>
      </c>
      <c r="T42" s="59">
        <v>3.3</v>
      </c>
      <c r="U42" s="59">
        <f t="shared" si="5"/>
        <v>17.489999999999998</v>
      </c>
      <c r="V42" s="59">
        <v>4</v>
      </c>
      <c r="AC42" s="122"/>
      <c r="AD42" s="123">
        <v>2</v>
      </c>
      <c r="AE42" s="124">
        <f t="shared" si="6"/>
        <v>36.599999999999994</v>
      </c>
      <c r="AF42" s="124">
        <v>3.3</v>
      </c>
      <c r="AG42" s="124">
        <f t="shared" si="1"/>
        <v>39.899999999999991</v>
      </c>
      <c r="AH42" s="74"/>
      <c r="AI42" s="74"/>
      <c r="AJ42" s="74"/>
      <c r="AK42" s="74"/>
      <c r="AL42" s="74"/>
      <c r="AO42" s="122"/>
      <c r="AP42" s="125">
        <v>4</v>
      </c>
      <c r="AQ42" s="124">
        <f xml:space="preserve"> 17.4 + 3.3 + 3.3 + 3.3 + 1</f>
        <v>28.3</v>
      </c>
      <c r="AR42" s="124">
        <v>2.5</v>
      </c>
      <c r="AS42" s="124">
        <f t="shared" si="2"/>
        <v>30.8</v>
      </c>
      <c r="AT42" s="115"/>
      <c r="AU42" s="115"/>
      <c r="AV42" s="74"/>
    </row>
    <row r="43" spans="2:48" ht="14.45" customHeight="1" x14ac:dyDescent="0.25">
      <c r="L43" s="86"/>
      <c r="M43" s="86"/>
      <c r="N43" s="86"/>
      <c r="O43" s="86"/>
      <c r="P43" s="86"/>
      <c r="R43" s="59" t="s">
        <v>160</v>
      </c>
      <c r="S43" s="59">
        <v>5.3</v>
      </c>
      <c r="T43" s="59">
        <v>3.3</v>
      </c>
      <c r="U43" s="59">
        <f t="shared" si="5"/>
        <v>17.489999999999998</v>
      </c>
      <c r="V43" s="59">
        <v>4</v>
      </c>
      <c r="AC43" s="122"/>
      <c r="AD43" s="123">
        <v>3</v>
      </c>
      <c r="AE43" s="124">
        <f t="shared" si="6"/>
        <v>36.599999999999994</v>
      </c>
      <c r="AF43" s="124">
        <v>1.6</v>
      </c>
      <c r="AG43" s="124">
        <f t="shared" si="1"/>
        <v>38.199999999999996</v>
      </c>
      <c r="AH43" s="74"/>
      <c r="AI43" s="74"/>
      <c r="AJ43" s="74"/>
      <c r="AK43" s="74"/>
      <c r="AL43" s="74"/>
      <c r="AO43" s="122" t="s">
        <v>166</v>
      </c>
      <c r="AP43" s="125">
        <v>1</v>
      </c>
      <c r="AQ43" s="124">
        <f xml:space="preserve"> 17.4 + 3.3 + 3.3 + 3.3 + 3.3 + 4</f>
        <v>34.6</v>
      </c>
      <c r="AR43" s="124">
        <v>2.5</v>
      </c>
      <c r="AS43" s="124">
        <f t="shared" si="2"/>
        <v>37.1</v>
      </c>
      <c r="AT43" s="115"/>
      <c r="AU43" s="115"/>
      <c r="AV43" s="74"/>
    </row>
    <row r="44" spans="2:48" ht="14.45" customHeight="1" x14ac:dyDescent="0.25">
      <c r="L44" s="86"/>
      <c r="M44" s="86"/>
      <c r="N44" s="86"/>
      <c r="O44" s="86"/>
      <c r="P44" s="86"/>
      <c r="R44" s="59" t="s">
        <v>161</v>
      </c>
      <c r="S44" s="59">
        <v>5.3</v>
      </c>
      <c r="T44" s="59">
        <v>3.3</v>
      </c>
      <c r="U44" s="59">
        <f t="shared" si="5"/>
        <v>17.489999999999998</v>
      </c>
      <c r="V44" s="59">
        <v>4</v>
      </c>
      <c r="AC44" s="122"/>
      <c r="AD44" s="123">
        <v>4</v>
      </c>
      <c r="AE44" s="124">
        <f t="shared" si="6"/>
        <v>36.599999999999994</v>
      </c>
      <c r="AF44" s="124">
        <v>1</v>
      </c>
      <c r="AG44" s="124">
        <f t="shared" si="1"/>
        <v>37.599999999999994</v>
      </c>
      <c r="AH44" s="74"/>
      <c r="AI44" s="74"/>
      <c r="AJ44" s="74"/>
      <c r="AK44" s="74"/>
      <c r="AL44" s="74"/>
      <c r="AO44" s="122"/>
      <c r="AP44" s="125">
        <v>2</v>
      </c>
      <c r="AQ44" s="124">
        <f xml:space="preserve"> 17.4 + 3.3 + 3.3 + 3.3 + 3</f>
        <v>30.3</v>
      </c>
      <c r="AR44" s="124">
        <v>2.5</v>
      </c>
      <c r="AS44" s="124">
        <f t="shared" si="2"/>
        <v>32.799999999999997</v>
      </c>
      <c r="AT44" s="115"/>
      <c r="AU44" s="115"/>
      <c r="AV44" s="74"/>
    </row>
    <row r="45" spans="2:48" ht="14.45" customHeight="1" x14ac:dyDescent="0.25">
      <c r="L45" s="86"/>
      <c r="M45" s="86"/>
      <c r="N45" s="86"/>
      <c r="O45" s="86"/>
      <c r="P45" s="86"/>
      <c r="R45" s="59" t="s">
        <v>162</v>
      </c>
      <c r="S45" s="59">
        <v>5.3</v>
      </c>
      <c r="T45" s="59">
        <v>3.3</v>
      </c>
      <c r="U45" s="59">
        <f t="shared" si="5"/>
        <v>17.489999999999998</v>
      </c>
      <c r="V45" s="59">
        <v>4</v>
      </c>
      <c r="AC45" s="122"/>
      <c r="AD45" s="123">
        <v>5</v>
      </c>
      <c r="AE45" s="124">
        <f t="shared" si="6"/>
        <v>36.599999999999994</v>
      </c>
      <c r="AF45" s="124">
        <v>1</v>
      </c>
      <c r="AG45" s="124">
        <f t="shared" si="1"/>
        <v>37.599999999999994</v>
      </c>
      <c r="AH45" s="74"/>
      <c r="AI45" s="74"/>
      <c r="AJ45" s="74"/>
      <c r="AK45" s="74"/>
      <c r="AL45" s="74"/>
      <c r="AO45" s="122"/>
      <c r="AP45" s="125">
        <v>3</v>
      </c>
      <c r="AQ45" s="124">
        <f xml:space="preserve"> 17.4 + 3.3 + 3.3 + 3.3 + 2</f>
        <v>29.3</v>
      </c>
      <c r="AR45" s="124">
        <v>2.5</v>
      </c>
      <c r="AS45" s="124">
        <f t="shared" si="2"/>
        <v>31.8</v>
      </c>
      <c r="AT45" s="115"/>
      <c r="AU45" s="115"/>
      <c r="AV45" s="74"/>
    </row>
    <row r="46" spans="2:48" ht="14.45" customHeight="1" x14ac:dyDescent="0.25">
      <c r="R46" s="59" t="s">
        <v>163</v>
      </c>
      <c r="S46" s="59">
        <v>5.3</v>
      </c>
      <c r="T46" s="59">
        <v>3.3</v>
      </c>
      <c r="U46" s="59">
        <f t="shared" si="5"/>
        <v>17.489999999999998</v>
      </c>
      <c r="V46" s="59">
        <v>4</v>
      </c>
      <c r="AC46" s="122"/>
      <c r="AD46" s="123">
        <v>6</v>
      </c>
      <c r="AE46" s="124">
        <f t="shared" si="6"/>
        <v>36.599999999999994</v>
      </c>
      <c r="AF46" s="124">
        <v>3.3</v>
      </c>
      <c r="AG46" s="124">
        <f t="shared" si="1"/>
        <v>39.899999999999991</v>
      </c>
      <c r="AH46" s="74"/>
      <c r="AI46" s="74"/>
      <c r="AJ46" s="74"/>
      <c r="AK46" s="74"/>
      <c r="AL46" s="74"/>
      <c r="AO46" s="122"/>
      <c r="AP46" s="125">
        <v>4</v>
      </c>
      <c r="AQ46" s="124">
        <f xml:space="preserve"> 17.4 + 3.3 + 3.3 + 3.3 + 1</f>
        <v>28.3</v>
      </c>
      <c r="AR46" s="124">
        <v>2.5</v>
      </c>
      <c r="AS46" s="124">
        <f t="shared" si="2"/>
        <v>30.8</v>
      </c>
      <c r="AT46" s="115"/>
      <c r="AU46" s="115"/>
      <c r="AV46" s="74"/>
    </row>
    <row r="47" spans="2:48" ht="14.45" customHeight="1" x14ac:dyDescent="0.25">
      <c r="M47" s="57"/>
      <c r="N47" s="57"/>
      <c r="O47" s="57"/>
      <c r="P47" s="57"/>
      <c r="R47" s="59" t="s">
        <v>164</v>
      </c>
      <c r="S47" s="59">
        <v>2</v>
      </c>
      <c r="T47" s="59">
        <v>6.9</v>
      </c>
      <c r="U47" s="59">
        <f t="shared" si="5"/>
        <v>13.8</v>
      </c>
      <c r="V47" s="59">
        <v>4</v>
      </c>
      <c r="AC47" s="122" t="s">
        <v>142</v>
      </c>
      <c r="AD47" s="123">
        <v>1</v>
      </c>
      <c r="AE47" s="124">
        <f t="shared" ref="AE47:AE52" si="7">8.6+9 + 3.3+3.3+3.3</f>
        <v>27.500000000000004</v>
      </c>
      <c r="AF47" s="124">
        <v>4</v>
      </c>
      <c r="AG47" s="124">
        <f t="shared" si="1"/>
        <v>31.500000000000004</v>
      </c>
      <c r="AH47" s="74"/>
      <c r="AI47" s="74"/>
      <c r="AJ47" s="74"/>
      <c r="AK47" s="74"/>
      <c r="AL47" s="74"/>
      <c r="AO47" s="122" t="s">
        <v>167</v>
      </c>
      <c r="AP47" s="125">
        <v>1</v>
      </c>
      <c r="AQ47" s="124">
        <f xml:space="preserve"> 17.4 + 3.3 + 3.3 + 3.3 + 4</f>
        <v>31.3</v>
      </c>
      <c r="AR47" s="124">
        <v>2.5</v>
      </c>
      <c r="AS47" s="124">
        <f t="shared" si="2"/>
        <v>33.799999999999997</v>
      </c>
      <c r="AT47" s="115"/>
      <c r="AU47" s="115"/>
      <c r="AV47" s="74"/>
    </row>
    <row r="48" spans="2:48" ht="14.45" customHeight="1" x14ac:dyDescent="0.25">
      <c r="R48" s="59" t="s">
        <v>165</v>
      </c>
      <c r="S48" s="59">
        <v>5.3</v>
      </c>
      <c r="T48" s="59">
        <v>3.3</v>
      </c>
      <c r="U48" s="59">
        <f t="shared" si="5"/>
        <v>17.489999999999998</v>
      </c>
      <c r="V48" s="59">
        <v>4</v>
      </c>
      <c r="AC48" s="122"/>
      <c r="AD48" s="123">
        <v>2</v>
      </c>
      <c r="AE48" s="124">
        <f t="shared" si="7"/>
        <v>27.500000000000004</v>
      </c>
      <c r="AF48" s="124">
        <v>3.3</v>
      </c>
      <c r="AG48" s="124">
        <f t="shared" si="1"/>
        <v>30.800000000000004</v>
      </c>
      <c r="AH48" s="74"/>
      <c r="AI48" s="74"/>
      <c r="AJ48" s="74"/>
      <c r="AK48" s="74"/>
      <c r="AL48" s="74"/>
      <c r="AO48" s="122"/>
      <c r="AP48" s="125">
        <v>2</v>
      </c>
      <c r="AQ48" s="124">
        <f xml:space="preserve"> 17.4 + 3.3 + 3.3 + 3</f>
        <v>27</v>
      </c>
      <c r="AR48" s="124">
        <v>2.5</v>
      </c>
      <c r="AS48" s="124">
        <f t="shared" si="2"/>
        <v>29.5</v>
      </c>
      <c r="AT48" s="115"/>
      <c r="AU48" s="115"/>
      <c r="AV48" s="74"/>
    </row>
    <row r="49" spans="18:48" x14ac:dyDescent="0.25">
      <c r="R49" s="59" t="s">
        <v>166</v>
      </c>
      <c r="S49" s="59">
        <v>5.3</v>
      </c>
      <c r="T49" s="59">
        <v>3.3</v>
      </c>
      <c r="U49" s="59">
        <f t="shared" si="5"/>
        <v>17.489999999999998</v>
      </c>
      <c r="V49" s="59">
        <v>4</v>
      </c>
      <c r="AC49" s="122"/>
      <c r="AD49" s="123">
        <v>3</v>
      </c>
      <c r="AE49" s="124">
        <f t="shared" si="7"/>
        <v>27.500000000000004</v>
      </c>
      <c r="AF49" s="124">
        <v>1.6</v>
      </c>
      <c r="AG49" s="124">
        <f t="shared" si="1"/>
        <v>29.100000000000005</v>
      </c>
      <c r="AH49" s="74"/>
      <c r="AI49" s="74"/>
      <c r="AJ49" s="74"/>
      <c r="AK49" s="74"/>
      <c r="AL49" s="74"/>
      <c r="AO49" s="122"/>
      <c r="AP49" s="125">
        <v>3</v>
      </c>
      <c r="AQ49" s="124">
        <f xml:space="preserve"> 17.4 + 3.3 + 3.3 + 2</f>
        <v>26</v>
      </c>
      <c r="AR49" s="124">
        <v>2.5</v>
      </c>
      <c r="AS49" s="124">
        <f t="shared" si="2"/>
        <v>28.5</v>
      </c>
      <c r="AT49" s="115"/>
      <c r="AU49" s="115"/>
      <c r="AV49" s="74"/>
    </row>
    <row r="50" spans="18:48" x14ac:dyDescent="0.25">
      <c r="R50" s="59" t="s">
        <v>167</v>
      </c>
      <c r="S50" s="59">
        <v>5.3</v>
      </c>
      <c r="T50" s="59">
        <v>3.3</v>
      </c>
      <c r="U50" s="59">
        <f t="shared" si="5"/>
        <v>17.489999999999998</v>
      </c>
      <c r="V50" s="59">
        <v>4</v>
      </c>
      <c r="AC50" s="122"/>
      <c r="AD50" s="123">
        <v>4</v>
      </c>
      <c r="AE50" s="124">
        <f t="shared" si="7"/>
        <v>27.500000000000004</v>
      </c>
      <c r="AF50" s="124">
        <v>1</v>
      </c>
      <c r="AG50" s="124">
        <f t="shared" si="1"/>
        <v>28.500000000000004</v>
      </c>
      <c r="AH50" s="74"/>
      <c r="AI50" s="74"/>
      <c r="AJ50" s="74"/>
      <c r="AK50" s="74"/>
      <c r="AL50" s="74"/>
      <c r="AO50" s="122"/>
      <c r="AP50" s="125">
        <v>4</v>
      </c>
      <c r="AQ50" s="124">
        <f xml:space="preserve"> 17.4 + 3.3 + 3.3 + 1</f>
        <v>25</v>
      </c>
      <c r="AR50" s="124">
        <v>2.5</v>
      </c>
      <c r="AS50" s="124">
        <f t="shared" si="2"/>
        <v>27.5</v>
      </c>
      <c r="AT50" s="115"/>
      <c r="AU50" s="115"/>
      <c r="AV50" s="74"/>
    </row>
    <row r="51" spans="18:48" x14ac:dyDescent="0.25">
      <c r="R51" s="59" t="s">
        <v>168</v>
      </c>
      <c r="S51" s="59">
        <v>5.3</v>
      </c>
      <c r="T51" s="59">
        <v>3.3</v>
      </c>
      <c r="U51" s="59">
        <f t="shared" si="5"/>
        <v>17.489999999999998</v>
      </c>
      <c r="V51" s="59">
        <v>4</v>
      </c>
      <c r="AC51" s="122"/>
      <c r="AD51" s="123">
        <v>5</v>
      </c>
      <c r="AE51" s="124">
        <f t="shared" si="7"/>
        <v>27.500000000000004</v>
      </c>
      <c r="AF51" s="124">
        <v>1</v>
      </c>
      <c r="AG51" s="124">
        <f t="shared" si="1"/>
        <v>28.500000000000004</v>
      </c>
      <c r="AH51" s="74"/>
      <c r="AI51" s="74"/>
      <c r="AJ51" s="74"/>
      <c r="AK51" s="74"/>
      <c r="AL51" s="74"/>
      <c r="AO51" s="122" t="s">
        <v>168</v>
      </c>
      <c r="AP51" s="125">
        <v>1</v>
      </c>
      <c r="AQ51" s="124">
        <f xml:space="preserve"> 17.4 + 3.3 + 3.3 + 3.3 + 4</f>
        <v>31.3</v>
      </c>
      <c r="AR51" s="124">
        <v>2.5</v>
      </c>
      <c r="AS51" s="124">
        <f t="shared" si="2"/>
        <v>33.799999999999997</v>
      </c>
      <c r="AT51" s="115"/>
      <c r="AU51" s="115"/>
      <c r="AV51" s="74"/>
    </row>
    <row r="52" spans="18:48" x14ac:dyDescent="0.25">
      <c r="R52" s="59" t="s">
        <v>169</v>
      </c>
      <c r="S52" s="59">
        <v>5.3</v>
      </c>
      <c r="T52" s="59">
        <v>3.3</v>
      </c>
      <c r="U52" s="59">
        <f t="shared" si="5"/>
        <v>17.489999999999998</v>
      </c>
      <c r="V52" s="59">
        <v>4</v>
      </c>
      <c r="AC52" s="122"/>
      <c r="AD52" s="123">
        <v>6</v>
      </c>
      <c r="AE52" s="124">
        <f t="shared" si="7"/>
        <v>27.500000000000004</v>
      </c>
      <c r="AF52" s="124">
        <v>3.3</v>
      </c>
      <c r="AG52" s="124">
        <f t="shared" si="1"/>
        <v>30.800000000000004</v>
      </c>
      <c r="AH52" s="74"/>
      <c r="AI52" s="74"/>
      <c r="AJ52" s="74"/>
      <c r="AK52" s="74"/>
      <c r="AL52" s="74"/>
      <c r="AO52" s="122"/>
      <c r="AP52" s="125">
        <v>2</v>
      </c>
      <c r="AQ52" s="124">
        <f xml:space="preserve"> 17.4 + 3.3 + 3.3 + 3</f>
        <v>27</v>
      </c>
      <c r="AR52" s="124">
        <v>2.5</v>
      </c>
      <c r="AS52" s="124">
        <f t="shared" si="2"/>
        <v>29.5</v>
      </c>
      <c r="AT52" s="115"/>
      <c r="AU52" s="115"/>
      <c r="AV52" s="74"/>
    </row>
    <row r="53" spans="18:48" x14ac:dyDescent="0.25">
      <c r="R53" s="59" t="s">
        <v>170</v>
      </c>
      <c r="S53" s="59">
        <v>5.3</v>
      </c>
      <c r="T53" s="59">
        <v>3.3</v>
      </c>
      <c r="U53" s="59">
        <f t="shared" si="5"/>
        <v>17.489999999999998</v>
      </c>
      <c r="V53" s="59">
        <v>4</v>
      </c>
      <c r="AC53" s="122" t="s">
        <v>144</v>
      </c>
      <c r="AD53" s="123">
        <v>1</v>
      </c>
      <c r="AE53" s="124">
        <f t="shared" ref="AE53:AE58" si="8">8.6+9 + 3.3+3.3</f>
        <v>24.200000000000003</v>
      </c>
      <c r="AF53" s="124">
        <v>4</v>
      </c>
      <c r="AG53" s="124">
        <f t="shared" si="1"/>
        <v>28.200000000000003</v>
      </c>
      <c r="AH53" s="74"/>
      <c r="AI53" s="74"/>
      <c r="AJ53" s="74"/>
      <c r="AK53" s="74"/>
      <c r="AL53" s="74"/>
      <c r="AO53" s="122"/>
      <c r="AP53" s="125">
        <v>3</v>
      </c>
      <c r="AQ53" s="124">
        <f xml:space="preserve"> 17.4 + 3.3 + 3.3 + 2</f>
        <v>26</v>
      </c>
      <c r="AR53" s="124">
        <v>2.5</v>
      </c>
      <c r="AS53" s="124">
        <f t="shared" si="2"/>
        <v>28.5</v>
      </c>
      <c r="AT53" s="115"/>
      <c r="AU53" s="115"/>
      <c r="AV53" s="74"/>
    </row>
    <row r="54" spans="18:48" x14ac:dyDescent="0.25">
      <c r="R54" s="59" t="s">
        <v>171</v>
      </c>
      <c r="S54" s="59">
        <v>5.3</v>
      </c>
      <c r="T54" s="59">
        <v>3.3</v>
      </c>
      <c r="U54" s="59">
        <f t="shared" si="5"/>
        <v>17.489999999999998</v>
      </c>
      <c r="V54" s="59">
        <v>4</v>
      </c>
      <c r="AC54" s="122"/>
      <c r="AD54" s="123">
        <v>2</v>
      </c>
      <c r="AE54" s="124">
        <f t="shared" si="8"/>
        <v>24.200000000000003</v>
      </c>
      <c r="AF54" s="124">
        <v>3.3</v>
      </c>
      <c r="AG54" s="124">
        <f t="shared" si="1"/>
        <v>27.500000000000004</v>
      </c>
      <c r="AH54" s="74"/>
      <c r="AI54" s="74"/>
      <c r="AJ54" s="74"/>
      <c r="AK54" s="74"/>
      <c r="AL54" s="74"/>
      <c r="AO54" s="122"/>
      <c r="AP54" s="125">
        <v>4</v>
      </c>
      <c r="AQ54" s="124">
        <f xml:space="preserve"> 17.4 + 3.3 + 3.3 + 1</f>
        <v>25</v>
      </c>
      <c r="AR54" s="124">
        <v>2.5</v>
      </c>
      <c r="AS54" s="124">
        <f t="shared" si="2"/>
        <v>27.5</v>
      </c>
      <c r="AT54" s="115"/>
      <c r="AU54" s="115"/>
      <c r="AV54" s="74"/>
    </row>
    <row r="55" spans="18:48" x14ac:dyDescent="0.25">
      <c r="R55" s="59" t="s">
        <v>172</v>
      </c>
      <c r="S55" s="59">
        <v>5.3</v>
      </c>
      <c r="T55" s="59">
        <v>3.3</v>
      </c>
      <c r="U55" s="59">
        <f t="shared" si="5"/>
        <v>17.489999999999998</v>
      </c>
      <c r="V55" s="59">
        <v>4</v>
      </c>
      <c r="AC55" s="122"/>
      <c r="AD55" s="123">
        <v>3</v>
      </c>
      <c r="AE55" s="124">
        <f t="shared" si="8"/>
        <v>24.200000000000003</v>
      </c>
      <c r="AF55" s="124">
        <v>1.6</v>
      </c>
      <c r="AG55" s="124">
        <f t="shared" si="1"/>
        <v>25.800000000000004</v>
      </c>
      <c r="AH55" s="74"/>
      <c r="AI55" s="74"/>
      <c r="AJ55" s="74"/>
      <c r="AK55" s="74"/>
      <c r="AL55" s="74"/>
      <c r="AO55" s="122" t="s">
        <v>169</v>
      </c>
      <c r="AP55" s="125">
        <v>1</v>
      </c>
      <c r="AQ55" s="124">
        <f xml:space="preserve"> 17.4 + 3.3 + 3.3 + 4</f>
        <v>28</v>
      </c>
      <c r="AR55" s="124">
        <v>2.5</v>
      </c>
      <c r="AS55" s="124">
        <f t="shared" si="2"/>
        <v>30.5</v>
      </c>
      <c r="AT55" s="115"/>
      <c r="AU55" s="115"/>
      <c r="AV55" s="74"/>
    </row>
    <row r="56" spans="18:48" x14ac:dyDescent="0.25">
      <c r="R56" s="59" t="s">
        <v>173</v>
      </c>
      <c r="S56" s="59">
        <v>5.3</v>
      </c>
      <c r="T56" s="59">
        <v>3.3</v>
      </c>
      <c r="U56" s="59">
        <f t="shared" si="5"/>
        <v>17.489999999999998</v>
      </c>
      <c r="V56" s="59">
        <v>4</v>
      </c>
      <c r="AC56" s="122"/>
      <c r="AD56" s="123">
        <v>4</v>
      </c>
      <c r="AE56" s="124">
        <f t="shared" si="8"/>
        <v>24.200000000000003</v>
      </c>
      <c r="AF56" s="124">
        <v>1</v>
      </c>
      <c r="AG56" s="124">
        <f t="shared" si="1"/>
        <v>25.200000000000003</v>
      </c>
      <c r="AH56" s="74"/>
      <c r="AI56" s="74"/>
      <c r="AJ56" s="74"/>
      <c r="AK56" s="74"/>
      <c r="AL56" s="74"/>
      <c r="AO56" s="122"/>
      <c r="AP56" s="125">
        <v>2</v>
      </c>
      <c r="AQ56" s="124">
        <f xml:space="preserve"> 17.4 + 3.3 + 3</f>
        <v>23.7</v>
      </c>
      <c r="AR56" s="124">
        <v>2.5</v>
      </c>
      <c r="AS56" s="124">
        <f t="shared" si="2"/>
        <v>26.2</v>
      </c>
      <c r="AT56" s="115"/>
      <c r="AU56" s="115"/>
      <c r="AV56" s="74"/>
    </row>
    <row r="57" spans="18:48" x14ac:dyDescent="0.25">
      <c r="R57" s="59" t="s">
        <v>174</v>
      </c>
      <c r="S57" s="59">
        <v>5.3</v>
      </c>
      <c r="T57" s="59">
        <v>3.3</v>
      </c>
      <c r="U57" s="59">
        <f t="shared" si="5"/>
        <v>17.489999999999998</v>
      </c>
      <c r="V57" s="59">
        <v>4</v>
      </c>
      <c r="AC57" s="122"/>
      <c r="AD57" s="123">
        <v>5</v>
      </c>
      <c r="AE57" s="124">
        <f t="shared" si="8"/>
        <v>24.200000000000003</v>
      </c>
      <c r="AF57" s="124">
        <v>1</v>
      </c>
      <c r="AG57" s="124">
        <f t="shared" si="1"/>
        <v>25.200000000000003</v>
      </c>
      <c r="AH57" s="74"/>
      <c r="AI57" s="74"/>
      <c r="AJ57" s="74"/>
      <c r="AK57" s="74"/>
      <c r="AL57" s="74"/>
      <c r="AO57" s="122"/>
      <c r="AP57" s="125">
        <v>3</v>
      </c>
      <c r="AQ57" s="124">
        <f xml:space="preserve"> 17.4 + 3.3 + 2</f>
        <v>22.7</v>
      </c>
      <c r="AR57" s="124">
        <v>2.5</v>
      </c>
      <c r="AS57" s="124">
        <f t="shared" si="2"/>
        <v>25.2</v>
      </c>
      <c r="AT57" s="115"/>
      <c r="AU57" s="115"/>
      <c r="AV57" s="74"/>
    </row>
    <row r="58" spans="18:48" x14ac:dyDescent="0.25">
      <c r="R58" s="59" t="s">
        <v>175</v>
      </c>
      <c r="S58" s="60">
        <v>5.3</v>
      </c>
      <c r="T58" s="60">
        <v>3.3</v>
      </c>
      <c r="U58" s="59">
        <f t="shared" si="5"/>
        <v>17.489999999999998</v>
      </c>
      <c r="V58" s="59">
        <v>4</v>
      </c>
      <c r="AC58" s="122"/>
      <c r="AD58" s="123">
        <v>6</v>
      </c>
      <c r="AE58" s="124">
        <f t="shared" si="8"/>
        <v>24.200000000000003</v>
      </c>
      <c r="AF58" s="124">
        <v>3.3</v>
      </c>
      <c r="AG58" s="124">
        <f t="shared" si="1"/>
        <v>27.500000000000004</v>
      </c>
      <c r="AH58" s="74"/>
      <c r="AI58" s="74"/>
      <c r="AJ58" s="74"/>
      <c r="AK58" s="74"/>
      <c r="AL58" s="74"/>
      <c r="AO58" s="122"/>
      <c r="AP58" s="125">
        <v>4</v>
      </c>
      <c r="AQ58" s="124">
        <f xml:space="preserve"> 17.4 + 3.3 + 1</f>
        <v>21.7</v>
      </c>
      <c r="AR58" s="124">
        <v>2.5</v>
      </c>
      <c r="AS58" s="124">
        <f t="shared" si="2"/>
        <v>24.2</v>
      </c>
      <c r="AT58" s="115"/>
      <c r="AU58" s="115"/>
      <c r="AV58" s="74"/>
    </row>
    <row r="59" spans="18:48" x14ac:dyDescent="0.25">
      <c r="R59" s="62" t="s">
        <v>176</v>
      </c>
      <c r="S59" s="59">
        <v>5.3</v>
      </c>
      <c r="T59" s="59">
        <v>3.3</v>
      </c>
      <c r="U59" s="63">
        <f t="shared" si="5"/>
        <v>17.489999999999998</v>
      </c>
      <c r="V59" s="59">
        <v>4</v>
      </c>
      <c r="AC59" s="122" t="s">
        <v>145</v>
      </c>
      <c r="AD59" s="123">
        <v>1</v>
      </c>
      <c r="AE59" s="124">
        <f t="shared" ref="AE59:AE64" si="9">8.6+9 + 3.3</f>
        <v>20.900000000000002</v>
      </c>
      <c r="AF59" s="124">
        <v>4</v>
      </c>
      <c r="AG59" s="124">
        <f t="shared" si="1"/>
        <v>24.900000000000002</v>
      </c>
      <c r="AH59" s="74"/>
      <c r="AI59" s="74"/>
      <c r="AJ59" s="74"/>
      <c r="AK59" s="74"/>
      <c r="AL59" s="74"/>
      <c r="AO59" s="122" t="s">
        <v>170</v>
      </c>
      <c r="AP59" s="125">
        <v>1</v>
      </c>
      <c r="AQ59" s="124">
        <f xml:space="preserve"> 17.4 + 3.3 + 3.3 + 4</f>
        <v>28</v>
      </c>
      <c r="AR59" s="124">
        <v>2.5</v>
      </c>
      <c r="AS59" s="124">
        <f t="shared" si="2"/>
        <v>30.5</v>
      </c>
      <c r="AT59" s="115"/>
      <c r="AU59" s="115"/>
      <c r="AV59" s="74"/>
    </row>
    <row r="60" spans="18:48" x14ac:dyDescent="0.25">
      <c r="R60" s="57"/>
      <c r="S60" s="57"/>
      <c r="T60" s="57"/>
      <c r="U60" s="59">
        <f>SUM(U40:U59)</f>
        <v>369.96000000000009</v>
      </c>
      <c r="V60" s="64">
        <f>SUM(V40:V59)</f>
        <v>86</v>
      </c>
      <c r="W60" s="56" t="s">
        <v>20</v>
      </c>
      <c r="AC60" s="122"/>
      <c r="AD60" s="123">
        <v>2</v>
      </c>
      <c r="AE60" s="124">
        <f t="shared" si="9"/>
        <v>20.900000000000002</v>
      </c>
      <c r="AF60" s="124">
        <v>3.3</v>
      </c>
      <c r="AG60" s="124">
        <f t="shared" si="1"/>
        <v>24.200000000000003</v>
      </c>
      <c r="AH60" s="74"/>
      <c r="AI60" s="74"/>
      <c r="AJ60" s="74"/>
      <c r="AK60" s="74"/>
      <c r="AL60" s="74"/>
      <c r="AO60" s="122"/>
      <c r="AP60" s="125">
        <v>2</v>
      </c>
      <c r="AQ60" s="124">
        <f xml:space="preserve"> 17.4 + 3.3 + 3</f>
        <v>23.7</v>
      </c>
      <c r="AR60" s="124">
        <v>2.5</v>
      </c>
      <c r="AS60" s="124">
        <f t="shared" si="2"/>
        <v>26.2</v>
      </c>
      <c r="AT60" s="115"/>
      <c r="AU60" s="115"/>
      <c r="AV60" s="74"/>
    </row>
    <row r="61" spans="18:48" x14ac:dyDescent="0.25">
      <c r="AC61" s="122"/>
      <c r="AD61" s="123">
        <v>3</v>
      </c>
      <c r="AE61" s="124">
        <f t="shared" si="9"/>
        <v>20.900000000000002</v>
      </c>
      <c r="AF61" s="124">
        <v>1.6</v>
      </c>
      <c r="AG61" s="124">
        <f t="shared" si="1"/>
        <v>22.500000000000004</v>
      </c>
      <c r="AH61" s="74"/>
      <c r="AI61" s="74"/>
      <c r="AJ61" s="74"/>
      <c r="AK61" s="74"/>
      <c r="AL61" s="74"/>
      <c r="AO61" s="122"/>
      <c r="AP61" s="125">
        <v>3</v>
      </c>
      <c r="AQ61" s="124">
        <f xml:space="preserve"> 17.4 + 3.3 + 2</f>
        <v>22.7</v>
      </c>
      <c r="AR61" s="124">
        <v>2.5</v>
      </c>
      <c r="AS61" s="124">
        <f t="shared" si="2"/>
        <v>25.2</v>
      </c>
      <c r="AT61" s="115"/>
      <c r="AU61" s="115"/>
      <c r="AV61" s="74"/>
    </row>
    <row r="62" spans="18:48" x14ac:dyDescent="0.25">
      <c r="V62">
        <f>24*4</f>
        <v>96</v>
      </c>
      <c r="AC62" s="122"/>
      <c r="AD62" s="123">
        <v>4</v>
      </c>
      <c r="AE62" s="124">
        <f t="shared" si="9"/>
        <v>20.900000000000002</v>
      </c>
      <c r="AF62" s="124">
        <v>1</v>
      </c>
      <c r="AG62" s="124">
        <f t="shared" si="1"/>
        <v>21.900000000000002</v>
      </c>
      <c r="AH62" s="74"/>
      <c r="AI62" s="74"/>
      <c r="AJ62" s="74"/>
      <c r="AK62" s="74"/>
      <c r="AL62" s="74"/>
      <c r="AO62" s="122"/>
      <c r="AP62" s="125">
        <v>4</v>
      </c>
      <c r="AQ62" s="124">
        <f xml:space="preserve"> 17.4 + 3.3 + 1</f>
        <v>21.7</v>
      </c>
      <c r="AR62" s="124">
        <v>2.5</v>
      </c>
      <c r="AS62" s="124">
        <f t="shared" si="2"/>
        <v>24.2</v>
      </c>
      <c r="AT62" s="115"/>
      <c r="AU62" s="115"/>
      <c r="AV62" s="74"/>
    </row>
    <row r="63" spans="18:48" x14ac:dyDescent="0.25">
      <c r="AC63" s="122"/>
      <c r="AD63" s="123">
        <v>5</v>
      </c>
      <c r="AE63" s="124">
        <f t="shared" si="9"/>
        <v>20.900000000000002</v>
      </c>
      <c r="AF63" s="124">
        <v>1</v>
      </c>
      <c r="AG63" s="124">
        <f t="shared" si="1"/>
        <v>21.900000000000002</v>
      </c>
      <c r="AH63" s="74"/>
      <c r="AI63" s="74"/>
      <c r="AJ63" s="74"/>
      <c r="AK63" s="74"/>
      <c r="AL63" s="74"/>
      <c r="AO63" s="122" t="s">
        <v>171</v>
      </c>
      <c r="AP63" s="125">
        <v>1</v>
      </c>
      <c r="AQ63" s="124">
        <f xml:space="preserve"> 17.4 + 3.3 + 4</f>
        <v>24.7</v>
      </c>
      <c r="AR63" s="124">
        <v>2.5</v>
      </c>
      <c r="AS63" s="124">
        <f t="shared" si="2"/>
        <v>27.2</v>
      </c>
      <c r="AT63" s="115"/>
      <c r="AU63" s="115"/>
      <c r="AV63" s="74"/>
    </row>
    <row r="64" spans="18:48" x14ac:dyDescent="0.25">
      <c r="AC64" s="122"/>
      <c r="AD64" s="123">
        <v>6</v>
      </c>
      <c r="AE64" s="124">
        <f t="shared" si="9"/>
        <v>20.900000000000002</v>
      </c>
      <c r="AF64" s="124">
        <v>3.3</v>
      </c>
      <c r="AG64" s="124">
        <f t="shared" si="1"/>
        <v>24.200000000000003</v>
      </c>
      <c r="AH64" s="74"/>
      <c r="AI64" s="74"/>
      <c r="AJ64" s="74"/>
      <c r="AK64" s="74"/>
      <c r="AL64" s="74"/>
      <c r="AO64" s="122"/>
      <c r="AP64" s="125">
        <v>2</v>
      </c>
      <c r="AQ64" s="124">
        <f xml:space="preserve"> 17.4 + 3</f>
        <v>20.399999999999999</v>
      </c>
      <c r="AR64" s="124">
        <v>2.5</v>
      </c>
      <c r="AS64" s="124">
        <f t="shared" si="2"/>
        <v>22.9</v>
      </c>
      <c r="AT64" s="115"/>
      <c r="AU64" s="115"/>
      <c r="AV64" s="74"/>
    </row>
    <row r="65" spans="18:48" x14ac:dyDescent="0.25">
      <c r="R65" s="116" t="s">
        <v>177</v>
      </c>
      <c r="S65" s="117"/>
      <c r="T65" s="117"/>
      <c r="U65" s="117"/>
      <c r="V65" s="118"/>
      <c r="AC65" s="122" t="s">
        <v>146</v>
      </c>
      <c r="AD65" s="123">
        <v>1</v>
      </c>
      <c r="AE65" s="124">
        <f t="shared" ref="AE65:AE70" si="10">8.6+9</f>
        <v>17.600000000000001</v>
      </c>
      <c r="AF65" s="124">
        <v>4</v>
      </c>
      <c r="AG65" s="124">
        <f t="shared" si="1"/>
        <v>21.6</v>
      </c>
      <c r="AH65" s="74"/>
      <c r="AI65" s="74"/>
      <c r="AJ65" s="74"/>
      <c r="AK65" s="74"/>
      <c r="AL65" s="74"/>
      <c r="AO65" s="122"/>
      <c r="AP65" s="125">
        <v>3</v>
      </c>
      <c r="AQ65" s="124">
        <f xml:space="preserve"> 17.4 + 2</f>
        <v>19.399999999999999</v>
      </c>
      <c r="AR65" s="124">
        <v>2.5</v>
      </c>
      <c r="AS65" s="124">
        <f t="shared" si="2"/>
        <v>21.9</v>
      </c>
      <c r="AT65" s="115"/>
      <c r="AU65" s="115"/>
      <c r="AV65" s="74"/>
    </row>
    <row r="66" spans="18:48" x14ac:dyDescent="0.25">
      <c r="R66" s="135">
        <f>V20+V60</f>
        <v>162</v>
      </c>
      <c r="S66" s="136"/>
      <c r="T66" s="136"/>
      <c r="U66" s="136"/>
      <c r="V66" s="137"/>
      <c r="AC66" s="122"/>
      <c r="AD66" s="123">
        <v>2</v>
      </c>
      <c r="AE66" s="124">
        <f t="shared" si="10"/>
        <v>17.600000000000001</v>
      </c>
      <c r="AF66" s="124">
        <v>3.3</v>
      </c>
      <c r="AG66" s="124">
        <f t="shared" si="1"/>
        <v>20.900000000000002</v>
      </c>
      <c r="AH66" s="74"/>
      <c r="AI66" s="74"/>
      <c r="AJ66" s="74"/>
      <c r="AK66" s="74"/>
      <c r="AL66" s="74"/>
      <c r="AO66" s="122"/>
      <c r="AP66" s="125">
        <v>4</v>
      </c>
      <c r="AQ66" s="124">
        <f xml:space="preserve"> 17.4 + 1</f>
        <v>18.399999999999999</v>
      </c>
      <c r="AR66" s="124">
        <v>2.5</v>
      </c>
      <c r="AS66" s="124">
        <f t="shared" si="2"/>
        <v>20.9</v>
      </c>
      <c r="AT66" s="115"/>
      <c r="AU66" s="115"/>
      <c r="AV66" s="74"/>
    </row>
    <row r="67" spans="18:48" x14ac:dyDescent="0.25">
      <c r="AC67" s="122"/>
      <c r="AD67" s="123">
        <v>3</v>
      </c>
      <c r="AE67" s="124">
        <f t="shared" si="10"/>
        <v>17.600000000000001</v>
      </c>
      <c r="AF67" s="124">
        <v>1.6</v>
      </c>
      <c r="AG67" s="124">
        <f t="shared" si="1"/>
        <v>19.200000000000003</v>
      </c>
      <c r="AH67" s="74"/>
      <c r="AI67" s="74"/>
      <c r="AJ67" s="74"/>
      <c r="AK67" s="74"/>
      <c r="AL67" s="74"/>
      <c r="AO67" s="122" t="s">
        <v>172</v>
      </c>
      <c r="AP67" s="125">
        <v>1</v>
      </c>
      <c r="AQ67" s="124">
        <f xml:space="preserve"> 17.4 + 3.3 + 4</f>
        <v>24.7</v>
      </c>
      <c r="AR67" s="124">
        <v>2.5</v>
      </c>
      <c r="AS67" s="124">
        <f t="shared" si="2"/>
        <v>27.2</v>
      </c>
      <c r="AT67" s="115"/>
      <c r="AU67" s="115"/>
      <c r="AV67" s="74"/>
    </row>
    <row r="68" spans="18:48" x14ac:dyDescent="0.25">
      <c r="AC68" s="122"/>
      <c r="AD68" s="123">
        <v>4</v>
      </c>
      <c r="AE68" s="124">
        <f t="shared" si="10"/>
        <v>17.600000000000001</v>
      </c>
      <c r="AF68" s="124">
        <v>1</v>
      </c>
      <c r="AG68" s="124">
        <f t="shared" si="1"/>
        <v>18.600000000000001</v>
      </c>
      <c r="AH68" s="74"/>
      <c r="AI68" s="74"/>
      <c r="AJ68" s="74"/>
      <c r="AK68" s="74"/>
      <c r="AL68" s="74"/>
      <c r="AO68" s="122"/>
      <c r="AP68" s="125">
        <v>2</v>
      </c>
      <c r="AQ68" s="124">
        <f xml:space="preserve"> 17.4 + 3</f>
        <v>20.399999999999999</v>
      </c>
      <c r="AR68" s="124">
        <v>2.5</v>
      </c>
      <c r="AS68" s="124">
        <f t="shared" si="2"/>
        <v>22.9</v>
      </c>
      <c r="AT68" s="115"/>
      <c r="AU68" s="115"/>
      <c r="AV68" s="74"/>
    </row>
    <row r="69" spans="18:48" x14ac:dyDescent="0.25">
      <c r="R69" s="119" t="s">
        <v>244</v>
      </c>
      <c r="S69" s="119"/>
      <c r="T69" s="119"/>
      <c r="U69" s="119"/>
      <c r="AC69" s="122"/>
      <c r="AD69" s="123">
        <v>5</v>
      </c>
      <c r="AE69" s="124">
        <f t="shared" si="10"/>
        <v>17.600000000000001</v>
      </c>
      <c r="AF69" s="124">
        <v>1</v>
      </c>
      <c r="AG69" s="124">
        <f t="shared" si="1"/>
        <v>18.600000000000001</v>
      </c>
      <c r="AH69" s="74"/>
      <c r="AI69" s="74"/>
      <c r="AJ69" s="74"/>
      <c r="AK69" s="74"/>
      <c r="AL69" s="74"/>
      <c r="AO69" s="122"/>
      <c r="AP69" s="125">
        <v>3</v>
      </c>
      <c r="AQ69" s="124">
        <f xml:space="preserve"> 17.4 + 2</f>
        <v>19.399999999999999</v>
      </c>
      <c r="AR69" s="124">
        <v>2.5</v>
      </c>
      <c r="AS69" s="124">
        <f t="shared" si="2"/>
        <v>21.9</v>
      </c>
      <c r="AT69" s="115"/>
      <c r="AU69" s="115"/>
      <c r="AV69" s="74"/>
    </row>
    <row r="70" spans="18:48" x14ac:dyDescent="0.25">
      <c r="R70" s="126" t="s">
        <v>119</v>
      </c>
      <c r="S70" s="127"/>
      <c r="T70" s="119" t="s">
        <v>233</v>
      </c>
      <c r="U70" s="119"/>
      <c r="AC70" s="122"/>
      <c r="AD70" s="123">
        <v>6</v>
      </c>
      <c r="AE70" s="124">
        <f t="shared" si="10"/>
        <v>17.600000000000001</v>
      </c>
      <c r="AF70" s="124">
        <v>3.3</v>
      </c>
      <c r="AG70" s="124">
        <f t="shared" ref="AG70:AG75" si="11">AE70+AF70</f>
        <v>20.900000000000002</v>
      </c>
      <c r="AH70" s="74"/>
      <c r="AI70" s="74"/>
      <c r="AJ70" s="74"/>
      <c r="AK70" s="74"/>
      <c r="AL70" s="74"/>
      <c r="AO70" s="122"/>
      <c r="AP70" s="125">
        <v>4</v>
      </c>
      <c r="AQ70" s="124">
        <f xml:space="preserve"> 17.4 + 1</f>
        <v>18.399999999999999</v>
      </c>
      <c r="AR70" s="124">
        <v>2.5</v>
      </c>
      <c r="AS70" s="124">
        <f t="shared" ref="AS70:AS86" si="12">AQ70+AR70</f>
        <v>20.9</v>
      </c>
      <c r="AT70" s="115"/>
      <c r="AU70" s="115"/>
      <c r="AV70" s="74"/>
    </row>
    <row r="71" spans="18:48" x14ac:dyDescent="0.25">
      <c r="R71" s="121" t="s">
        <v>121</v>
      </c>
      <c r="S71" s="121" t="s">
        <v>122</v>
      </c>
      <c r="T71" s="121" t="s">
        <v>232</v>
      </c>
      <c r="U71" s="121" t="s">
        <v>122</v>
      </c>
      <c r="AC71" s="122" t="s">
        <v>147</v>
      </c>
      <c r="AD71" s="123">
        <v>1</v>
      </c>
      <c r="AE71" s="124">
        <f t="shared" ref="AE71:AE76" si="13">8.6+9 + 3.3</f>
        <v>20.900000000000002</v>
      </c>
      <c r="AF71" s="124">
        <v>4</v>
      </c>
      <c r="AG71" s="124">
        <f t="shared" si="11"/>
        <v>24.900000000000002</v>
      </c>
      <c r="AH71" s="74"/>
      <c r="AI71" s="74"/>
      <c r="AJ71" s="74"/>
      <c r="AK71" s="74"/>
      <c r="AL71" s="74"/>
      <c r="AO71" s="122" t="s">
        <v>173</v>
      </c>
      <c r="AP71" s="125">
        <v>1</v>
      </c>
      <c r="AQ71" s="124">
        <f xml:space="preserve"> 17.4 + 4</f>
        <v>21.4</v>
      </c>
      <c r="AR71" s="124">
        <v>2.5</v>
      </c>
      <c r="AS71" s="124">
        <f t="shared" si="12"/>
        <v>23.9</v>
      </c>
      <c r="AT71" s="115"/>
      <c r="AU71" s="115"/>
      <c r="AV71" s="74"/>
    </row>
    <row r="72" spans="18:48" x14ac:dyDescent="0.25">
      <c r="R72" s="124">
        <f>SUM(AG5:AG81)+SUM(AL10:AL18)</f>
        <v>2737.349999999999</v>
      </c>
      <c r="S72" s="124">
        <f>AK5</f>
        <v>64</v>
      </c>
      <c r="T72" s="124">
        <f>SUM(AS5:AS86) + SUM(AX10:AX13)</f>
        <v>2747.5666666666648</v>
      </c>
      <c r="U72" s="125">
        <f>AT5</f>
        <v>2.5</v>
      </c>
      <c r="AC72" s="122"/>
      <c r="AD72" s="123">
        <v>2</v>
      </c>
      <c r="AE72" s="124">
        <f t="shared" si="13"/>
        <v>20.900000000000002</v>
      </c>
      <c r="AF72" s="124">
        <v>3.3</v>
      </c>
      <c r="AG72" s="124">
        <f t="shared" si="11"/>
        <v>24.200000000000003</v>
      </c>
      <c r="AH72" s="74"/>
      <c r="AI72" s="74"/>
      <c r="AJ72" s="74"/>
      <c r="AK72" s="74"/>
      <c r="AL72" s="74"/>
      <c r="AO72" s="122"/>
      <c r="AP72" s="125">
        <v>2</v>
      </c>
      <c r="AQ72" s="124">
        <f xml:space="preserve"> 17.4 + 3</f>
        <v>20.399999999999999</v>
      </c>
      <c r="AR72" s="124">
        <v>2.5</v>
      </c>
      <c r="AS72" s="124">
        <f t="shared" si="12"/>
        <v>22.9</v>
      </c>
      <c r="AT72" s="115"/>
      <c r="AU72" s="115"/>
      <c r="AV72" s="74"/>
    </row>
    <row r="73" spans="18:48" x14ac:dyDescent="0.25">
      <c r="AC73" s="122"/>
      <c r="AD73" s="123">
        <v>3</v>
      </c>
      <c r="AE73" s="124">
        <f t="shared" si="13"/>
        <v>20.900000000000002</v>
      </c>
      <c r="AF73" s="124">
        <v>1.6</v>
      </c>
      <c r="AG73" s="124">
        <f t="shared" si="11"/>
        <v>22.500000000000004</v>
      </c>
      <c r="AH73" s="74"/>
      <c r="AI73" s="74"/>
      <c r="AJ73" s="74"/>
      <c r="AK73" s="74"/>
      <c r="AL73" s="74"/>
      <c r="AO73" s="122"/>
      <c r="AP73" s="125">
        <v>3</v>
      </c>
      <c r="AQ73" s="124">
        <f xml:space="preserve"> 17.4 + 2</f>
        <v>19.399999999999999</v>
      </c>
      <c r="AR73" s="124">
        <v>2.5</v>
      </c>
      <c r="AS73" s="124">
        <f t="shared" si="12"/>
        <v>21.9</v>
      </c>
      <c r="AT73" s="115"/>
      <c r="AU73" s="115"/>
      <c r="AV73" s="74"/>
    </row>
    <row r="74" spans="18:48" x14ac:dyDescent="0.25">
      <c r="AC74" s="122"/>
      <c r="AD74" s="123">
        <v>4</v>
      </c>
      <c r="AE74" s="124">
        <f t="shared" si="13"/>
        <v>20.900000000000002</v>
      </c>
      <c r="AF74" s="124">
        <v>1</v>
      </c>
      <c r="AG74" s="124">
        <f t="shared" si="11"/>
        <v>21.900000000000002</v>
      </c>
      <c r="AH74" s="74"/>
      <c r="AI74" s="74"/>
      <c r="AJ74" s="74"/>
      <c r="AK74" s="74"/>
      <c r="AL74" s="74"/>
      <c r="AO74" s="122"/>
      <c r="AP74" s="125">
        <v>4</v>
      </c>
      <c r="AQ74" s="124">
        <f xml:space="preserve"> 17.4 + 1</f>
        <v>18.399999999999999</v>
      </c>
      <c r="AR74" s="124">
        <v>2.5</v>
      </c>
      <c r="AS74" s="124">
        <f t="shared" si="12"/>
        <v>20.9</v>
      </c>
      <c r="AT74" s="115"/>
      <c r="AU74" s="115"/>
      <c r="AV74" s="74"/>
    </row>
    <row r="75" spans="18:48" x14ac:dyDescent="0.25">
      <c r="R75" s="119" t="s">
        <v>243</v>
      </c>
      <c r="S75" s="119"/>
      <c r="AC75" s="122"/>
      <c r="AD75" s="123">
        <v>5</v>
      </c>
      <c r="AE75" s="124">
        <f t="shared" si="13"/>
        <v>20.900000000000002</v>
      </c>
      <c r="AF75" s="124">
        <v>1</v>
      </c>
      <c r="AG75" s="124">
        <f t="shared" si="11"/>
        <v>21.900000000000002</v>
      </c>
      <c r="AH75" s="74"/>
      <c r="AI75" s="74"/>
      <c r="AJ75" s="74"/>
      <c r="AK75" s="74"/>
      <c r="AL75" s="74"/>
      <c r="AO75" s="122" t="s">
        <v>174</v>
      </c>
      <c r="AP75" s="125">
        <v>1</v>
      </c>
      <c r="AQ75" s="124">
        <f xml:space="preserve"> 17.4 + 4</f>
        <v>21.4</v>
      </c>
      <c r="AR75" s="124">
        <v>2.5</v>
      </c>
      <c r="AS75" s="124">
        <f t="shared" si="12"/>
        <v>23.9</v>
      </c>
      <c r="AT75" s="115"/>
      <c r="AU75" s="115"/>
      <c r="AV75" s="74"/>
    </row>
    <row r="76" spans="18:48" x14ac:dyDescent="0.25">
      <c r="R76" s="56" t="s">
        <v>121</v>
      </c>
      <c r="S76" s="56" t="s">
        <v>122</v>
      </c>
      <c r="AC76" s="122"/>
      <c r="AD76" s="123">
        <v>6</v>
      </c>
      <c r="AE76" s="124">
        <f t="shared" si="13"/>
        <v>20.900000000000002</v>
      </c>
      <c r="AF76" s="124">
        <v>3.3</v>
      </c>
      <c r="AG76" s="124">
        <f>AE76+AF76</f>
        <v>24.200000000000003</v>
      </c>
      <c r="AH76" s="74"/>
      <c r="AI76" s="74"/>
      <c r="AJ76" s="74"/>
      <c r="AK76" s="74"/>
      <c r="AL76" s="74"/>
      <c r="AO76" s="122"/>
      <c r="AP76" s="125">
        <v>2</v>
      </c>
      <c r="AQ76" s="124">
        <f xml:space="preserve"> 17.4 + 3</f>
        <v>20.399999999999999</v>
      </c>
      <c r="AR76" s="124">
        <v>2.5</v>
      </c>
      <c r="AS76" s="124">
        <f t="shared" si="12"/>
        <v>22.9</v>
      </c>
      <c r="AT76" s="115"/>
      <c r="AU76" s="115"/>
      <c r="AV76" s="74"/>
    </row>
    <row r="77" spans="18:48" x14ac:dyDescent="0.25">
      <c r="R77" s="130">
        <f>R72+T72</f>
        <v>5484.9166666666642</v>
      </c>
      <c r="S77" s="130">
        <f>S72+U72</f>
        <v>66.5</v>
      </c>
      <c r="AC77" s="125" t="s">
        <v>148</v>
      </c>
      <c r="AD77" s="123" t="s">
        <v>178</v>
      </c>
      <c r="AE77" s="124">
        <v>0</v>
      </c>
      <c r="AF77" s="124">
        <v>0</v>
      </c>
      <c r="AG77" s="124">
        <f t="shared" ref="AG77:AG81" si="14">AE77+AF77</f>
        <v>0</v>
      </c>
      <c r="AH77" s="74"/>
      <c r="AI77" s="74"/>
      <c r="AJ77" s="74"/>
      <c r="AK77" s="74"/>
      <c r="AL77" s="74"/>
      <c r="AO77" s="122"/>
      <c r="AP77" s="125">
        <v>3</v>
      </c>
      <c r="AQ77" s="124">
        <f xml:space="preserve"> 17.4 + 2</f>
        <v>19.399999999999999</v>
      </c>
      <c r="AR77" s="124">
        <v>2.5</v>
      </c>
      <c r="AS77" s="124">
        <f t="shared" si="12"/>
        <v>21.9</v>
      </c>
      <c r="AT77" s="115"/>
      <c r="AU77" s="115"/>
      <c r="AV77" s="74"/>
    </row>
    <row r="78" spans="18:48" x14ac:dyDescent="0.25">
      <c r="AC78" s="122" t="s">
        <v>150</v>
      </c>
      <c r="AD78" s="123">
        <v>1</v>
      </c>
      <c r="AE78" s="124">
        <v>2.5</v>
      </c>
      <c r="AF78" s="124">
        <v>0</v>
      </c>
      <c r="AG78" s="124">
        <f t="shared" si="14"/>
        <v>2.5</v>
      </c>
      <c r="AH78" s="74"/>
      <c r="AI78" s="74"/>
      <c r="AJ78" s="74"/>
      <c r="AK78" s="74"/>
      <c r="AL78" s="74"/>
      <c r="AO78" s="122"/>
      <c r="AP78" s="125">
        <v>4</v>
      </c>
      <c r="AQ78" s="124">
        <f xml:space="preserve"> 17.4 + 1</f>
        <v>18.399999999999999</v>
      </c>
      <c r="AR78" s="124">
        <v>2.5</v>
      </c>
      <c r="AS78" s="124">
        <f t="shared" si="12"/>
        <v>20.9</v>
      </c>
      <c r="AT78" s="115"/>
      <c r="AU78" s="115"/>
      <c r="AV78" s="74"/>
    </row>
    <row r="79" spans="18:48" x14ac:dyDescent="0.25">
      <c r="AC79" s="122"/>
      <c r="AD79" s="123">
        <v>2</v>
      </c>
      <c r="AE79" s="124">
        <v>2.5</v>
      </c>
      <c r="AF79" s="124">
        <v>1</v>
      </c>
      <c r="AG79" s="124">
        <f t="shared" si="14"/>
        <v>3.5</v>
      </c>
      <c r="AH79" s="74"/>
      <c r="AI79" s="74"/>
      <c r="AJ79" s="74"/>
      <c r="AK79" s="74"/>
      <c r="AL79" s="74"/>
      <c r="AO79" s="122" t="s">
        <v>175</v>
      </c>
      <c r="AP79" s="125">
        <v>1</v>
      </c>
      <c r="AQ79" s="124">
        <f xml:space="preserve"> 17.4 + 3.3 + 4</f>
        <v>24.7</v>
      </c>
      <c r="AR79" s="124">
        <v>2.5</v>
      </c>
      <c r="AS79" s="124">
        <f t="shared" si="12"/>
        <v>27.2</v>
      </c>
      <c r="AT79" s="115"/>
      <c r="AU79" s="115"/>
      <c r="AV79" s="74"/>
    </row>
    <row r="80" spans="18:48" x14ac:dyDescent="0.25">
      <c r="R80" s="131" t="s">
        <v>269</v>
      </c>
      <c r="S80" s="131"/>
      <c r="AC80" s="122"/>
      <c r="AD80" s="123">
        <v>3</v>
      </c>
      <c r="AE80" s="124">
        <v>2.5</v>
      </c>
      <c r="AF80" s="124">
        <v>2</v>
      </c>
      <c r="AG80" s="124">
        <f t="shared" si="14"/>
        <v>4.5</v>
      </c>
      <c r="AH80" s="74"/>
      <c r="AI80" s="74"/>
      <c r="AJ80" s="74"/>
      <c r="AK80" s="74"/>
      <c r="AL80" s="74"/>
      <c r="AO80" s="122"/>
      <c r="AP80" s="125">
        <v>2</v>
      </c>
      <c r="AQ80" s="124">
        <f xml:space="preserve"> 17.4 + 3.3 + 3</f>
        <v>23.7</v>
      </c>
      <c r="AR80" s="124">
        <v>2.5</v>
      </c>
      <c r="AS80" s="124">
        <f t="shared" si="12"/>
        <v>26.2</v>
      </c>
      <c r="AT80" s="115"/>
      <c r="AU80" s="115"/>
      <c r="AV80" s="74"/>
    </row>
    <row r="81" spans="18:48" x14ac:dyDescent="0.25">
      <c r="R81" s="107">
        <v>13</v>
      </c>
      <c r="S81" s="107"/>
      <c r="AC81" s="122"/>
      <c r="AD81" s="123">
        <v>4</v>
      </c>
      <c r="AE81" s="124">
        <v>2.5</v>
      </c>
      <c r="AF81" s="124">
        <v>4</v>
      </c>
      <c r="AG81" s="124">
        <f t="shared" si="14"/>
        <v>6.5</v>
      </c>
      <c r="AH81" s="74"/>
      <c r="AI81" s="74"/>
      <c r="AJ81" s="74"/>
      <c r="AK81" s="74"/>
      <c r="AL81" s="74"/>
      <c r="AO81" s="122"/>
      <c r="AP81" s="125">
        <v>3</v>
      </c>
      <c r="AQ81" s="124">
        <f xml:space="preserve"> 17.4 + 3.3 + 2</f>
        <v>22.7</v>
      </c>
      <c r="AR81" s="124">
        <v>2.5</v>
      </c>
      <c r="AS81" s="124">
        <f t="shared" si="12"/>
        <v>25.2</v>
      </c>
      <c r="AT81" s="115"/>
      <c r="AU81" s="115"/>
      <c r="AV81" s="74"/>
    </row>
    <row r="82" spans="18:48" x14ac:dyDescent="0.25">
      <c r="AO82" s="122"/>
      <c r="AP82" s="125">
        <v>4</v>
      </c>
      <c r="AQ82" s="124">
        <f xml:space="preserve"> 17.4 + 3.3 + 1</f>
        <v>21.7</v>
      </c>
      <c r="AR82" s="124">
        <v>2.5</v>
      </c>
      <c r="AS82" s="124">
        <f t="shared" si="12"/>
        <v>24.2</v>
      </c>
      <c r="AT82" s="115"/>
      <c r="AU82" s="115"/>
      <c r="AV82" s="74"/>
    </row>
    <row r="83" spans="18:48" x14ac:dyDescent="0.25">
      <c r="R83" s="116" t="s">
        <v>271</v>
      </c>
      <c r="S83" s="118"/>
      <c r="AO83" s="122" t="s">
        <v>176</v>
      </c>
      <c r="AP83" s="125">
        <v>1</v>
      </c>
      <c r="AQ83" s="124">
        <f xml:space="preserve"> 17.4 + 3.3 + 4</f>
        <v>24.7</v>
      </c>
      <c r="AR83" s="124">
        <v>2.5</v>
      </c>
      <c r="AS83" s="124">
        <f t="shared" si="12"/>
        <v>27.2</v>
      </c>
      <c r="AT83" s="115"/>
      <c r="AU83" s="115"/>
      <c r="AV83" s="74"/>
    </row>
    <row r="84" spans="18:48" x14ac:dyDescent="0.25">
      <c r="R84" s="108">
        <v>8</v>
      </c>
      <c r="S84" s="109"/>
      <c r="AO84" s="122"/>
      <c r="AP84" s="125">
        <v>2</v>
      </c>
      <c r="AQ84" s="124">
        <f xml:space="preserve"> 17.4 + 3.3 + 3</f>
        <v>23.7</v>
      </c>
      <c r="AR84" s="124">
        <v>2.5</v>
      </c>
      <c r="AS84" s="124">
        <f t="shared" si="12"/>
        <v>26.2</v>
      </c>
      <c r="AT84" s="115"/>
      <c r="AU84" s="115"/>
      <c r="AV84" s="74"/>
    </row>
    <row r="85" spans="18:48" x14ac:dyDescent="0.25">
      <c r="AO85" s="122"/>
      <c r="AP85" s="125">
        <v>3</v>
      </c>
      <c r="AQ85" s="124">
        <f xml:space="preserve"> 17.4 + 3.3 + 2</f>
        <v>22.7</v>
      </c>
      <c r="AR85" s="124">
        <v>2.5</v>
      </c>
      <c r="AS85" s="124">
        <f t="shared" si="12"/>
        <v>25.2</v>
      </c>
      <c r="AT85" s="115"/>
      <c r="AU85" s="115"/>
      <c r="AV85" s="74"/>
    </row>
    <row r="86" spans="18:48" x14ac:dyDescent="0.25">
      <c r="AO86" s="122"/>
      <c r="AP86" s="125">
        <v>4</v>
      </c>
      <c r="AQ86" s="124">
        <f xml:space="preserve"> 17.4 + 3.3 + 1</f>
        <v>21.7</v>
      </c>
      <c r="AR86" s="124">
        <v>2.5</v>
      </c>
      <c r="AS86" s="124">
        <f t="shared" si="12"/>
        <v>24.2</v>
      </c>
      <c r="AT86" s="115"/>
      <c r="AU86" s="115"/>
      <c r="AV86" s="74"/>
    </row>
  </sheetData>
  <mergeCells count="54">
    <mergeCell ref="R83:S83"/>
    <mergeCell ref="R75:S75"/>
    <mergeCell ref="R65:V65"/>
    <mergeCell ref="AO2:AT2"/>
    <mergeCell ref="AH3:AK3"/>
    <mergeCell ref="AC2:AK2"/>
    <mergeCell ref="AU8:AV8"/>
    <mergeCell ref="R66:V66"/>
    <mergeCell ref="R80:S80"/>
    <mergeCell ref="R81:S81"/>
    <mergeCell ref="R84:S84"/>
    <mergeCell ref="AO71:AO74"/>
    <mergeCell ref="AO75:AO78"/>
    <mergeCell ref="AO79:AO82"/>
    <mergeCell ref="AO83:AO86"/>
    <mergeCell ref="AO51:AO54"/>
    <mergeCell ref="AO55:AO58"/>
    <mergeCell ref="AO59:AO62"/>
    <mergeCell ref="AO63:AO66"/>
    <mergeCell ref="AO67:AO70"/>
    <mergeCell ref="R70:S70"/>
    <mergeCell ref="T70:U70"/>
    <mergeCell ref="R69:U69"/>
    <mergeCell ref="AO3:AS3"/>
    <mergeCell ref="AO5:AO14"/>
    <mergeCell ref="AO15:AO18"/>
    <mergeCell ref="AO19:AO22"/>
    <mergeCell ref="AO23:AO26"/>
    <mergeCell ref="AO27:AO30"/>
    <mergeCell ref="AO31:AO34"/>
    <mergeCell ref="AO35:AO38"/>
    <mergeCell ref="AO39:AO42"/>
    <mergeCell ref="AO43:AO46"/>
    <mergeCell ref="AO47:AO50"/>
    <mergeCell ref="AC78:AC81"/>
    <mergeCell ref="AI8:AL8"/>
    <mergeCell ref="L40:P45"/>
    <mergeCell ref="L6:P6"/>
    <mergeCell ref="L14:P23"/>
    <mergeCell ref="L7:P12"/>
    <mergeCell ref="AC71:AC76"/>
    <mergeCell ref="AC29:AC34"/>
    <mergeCell ref="AC35:AC40"/>
    <mergeCell ref="AC41:AC46"/>
    <mergeCell ref="AC47:AC52"/>
    <mergeCell ref="AC53:AC58"/>
    <mergeCell ref="AC3:AG3"/>
    <mergeCell ref="AC59:AC64"/>
    <mergeCell ref="AC65:AC70"/>
    <mergeCell ref="AC11:AC22"/>
    <mergeCell ref="AC9:AC10"/>
    <mergeCell ref="AC7:AC8"/>
    <mergeCell ref="AC5:AC6"/>
    <mergeCell ref="AC23:AC28"/>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63D5-3F77-4D8A-858F-AB933880D495}">
  <dimension ref="B4:AU128"/>
  <sheetViews>
    <sheetView topLeftCell="A9" zoomScale="70" zoomScaleNormal="70" workbookViewId="0">
      <selection activeCell="AL6" sqref="AL6:AU128"/>
    </sheetView>
  </sheetViews>
  <sheetFormatPr defaultColWidth="8.85546875" defaultRowHeight="15" x14ac:dyDescent="0.25"/>
  <cols>
    <col min="12" max="12" width="4" customWidth="1"/>
    <col min="14" max="14" width="12.42578125" bestFit="1" customWidth="1"/>
    <col min="17" max="17" width="9.28515625" bestFit="1" customWidth="1"/>
    <col min="18" max="18" width="8.85546875" style="1"/>
    <col min="23" max="23" width="8.85546875" style="74"/>
    <col min="24" max="24" width="13.7109375" style="1" bestFit="1" customWidth="1"/>
    <col min="25" max="25" width="17.42578125" style="1" bestFit="1" customWidth="1"/>
    <col min="26" max="26" width="23.5703125" style="1" bestFit="1" customWidth="1"/>
    <col min="27" max="27" width="9.85546875" style="74" bestFit="1" customWidth="1"/>
    <col min="28" max="28" width="8.85546875" style="71"/>
    <col min="29" max="29" width="14.140625" style="1" bestFit="1" customWidth="1"/>
    <col min="30" max="30" width="17.85546875" style="1" bestFit="1" customWidth="1"/>
    <col min="31" max="31" width="24" style="1" bestFit="1" customWidth="1"/>
    <col min="32" max="32" width="11.140625" style="1" bestFit="1" customWidth="1"/>
    <col min="38" max="38" width="8.85546875" style="74"/>
    <col min="39" max="39" width="6.85546875" style="1" bestFit="1" customWidth="1"/>
    <col min="40" max="40" width="17.85546875" style="1" bestFit="1" customWidth="1"/>
    <col min="41" max="41" width="24" style="1" bestFit="1" customWidth="1"/>
    <col min="42" max="42" width="10.28515625" style="1" bestFit="1" customWidth="1"/>
  </cols>
  <sheetData>
    <row r="4" spans="2:47" ht="19.5" x14ac:dyDescent="0.3">
      <c r="B4" s="90" t="s">
        <v>179</v>
      </c>
      <c r="C4" s="90"/>
      <c r="D4" s="90"/>
    </row>
    <row r="5" spans="2:47" ht="14.45" customHeight="1" x14ac:dyDescent="0.25">
      <c r="C5" s="93"/>
      <c r="D5" s="93"/>
    </row>
    <row r="6" spans="2:47" x14ac:dyDescent="0.25">
      <c r="AB6" s="79" t="s">
        <v>5</v>
      </c>
      <c r="AC6" s="10" t="s">
        <v>180</v>
      </c>
      <c r="AD6" s="10" t="s">
        <v>181</v>
      </c>
      <c r="AE6" s="10" t="s">
        <v>182</v>
      </c>
      <c r="AF6" s="75" t="s">
        <v>183</v>
      </c>
      <c r="AG6" s="163" t="s">
        <v>273</v>
      </c>
      <c r="AH6" s="93"/>
      <c r="AI6" s="93"/>
      <c r="AJ6" s="93"/>
      <c r="AL6" s="75" t="s">
        <v>5</v>
      </c>
      <c r="AM6" s="164" t="s">
        <v>180</v>
      </c>
      <c r="AN6" s="10" t="s">
        <v>181</v>
      </c>
      <c r="AO6" s="10" t="s">
        <v>276</v>
      </c>
      <c r="AP6" s="10" t="s">
        <v>277</v>
      </c>
      <c r="AQ6" s="75" t="s">
        <v>183</v>
      </c>
      <c r="AR6" s="163" t="s">
        <v>279</v>
      </c>
      <c r="AS6" s="165"/>
      <c r="AT6" s="165"/>
      <c r="AU6" s="165"/>
    </row>
    <row r="7" spans="2:47" x14ac:dyDescent="0.25">
      <c r="AB7" s="92" t="s">
        <v>184</v>
      </c>
      <c r="AC7" s="1">
        <v>1</v>
      </c>
      <c r="AD7" s="1">
        <v>96.11</v>
      </c>
      <c r="AE7" s="1">
        <v>1</v>
      </c>
      <c r="AF7" s="77">
        <f>SUM(AD7:AE7)</f>
        <v>97.11</v>
      </c>
      <c r="AG7" s="167">
        <f>SUM(AF7:AF82)</f>
        <v>4262.47</v>
      </c>
      <c r="AH7" s="166"/>
      <c r="AI7" s="166"/>
      <c r="AJ7" s="166"/>
      <c r="AL7" s="92" t="s">
        <v>207</v>
      </c>
      <c r="AM7" s="1">
        <v>1</v>
      </c>
      <c r="AN7" s="1">
        <v>31.02</v>
      </c>
      <c r="AO7" s="1">
        <v>101.6</v>
      </c>
      <c r="AP7" s="74">
        <v>2</v>
      </c>
      <c r="AQ7" s="168">
        <f>SUM(AN7:AP7)</f>
        <v>134.62</v>
      </c>
      <c r="AR7" s="166">
        <f>SUM(AQ7:AQ128)</f>
        <v>7027.5200000000059</v>
      </c>
      <c r="AS7" s="166"/>
      <c r="AT7" s="166"/>
      <c r="AU7" s="166"/>
    </row>
    <row r="8" spans="2:47" ht="14.45" customHeight="1" x14ac:dyDescent="0.25">
      <c r="E8" s="1"/>
      <c r="K8" s="2" t="s">
        <v>185</v>
      </c>
      <c r="L8" s="3">
        <v>900</v>
      </c>
      <c r="M8" t="s">
        <v>186</v>
      </c>
      <c r="Z8" s="1">
        <v>130</v>
      </c>
      <c r="AB8" s="92"/>
      <c r="AC8" s="1">
        <v>2</v>
      </c>
      <c r="AD8" s="1">
        <v>98.9</v>
      </c>
      <c r="AE8" s="1">
        <v>1</v>
      </c>
      <c r="AF8" s="77">
        <f t="shared" ref="AF8:AF13" si="0">SUM(AD8:AE8)</f>
        <v>99.9</v>
      </c>
      <c r="AL8" s="92"/>
      <c r="AM8" s="1">
        <v>2</v>
      </c>
      <c r="AN8" s="1">
        <v>27.62</v>
      </c>
      <c r="AO8" s="1">
        <v>101.6</v>
      </c>
      <c r="AP8" s="74">
        <v>2</v>
      </c>
      <c r="AQ8" s="168">
        <f>SUM(AN8:AP8)</f>
        <v>131.22</v>
      </c>
    </row>
    <row r="9" spans="2:47" x14ac:dyDescent="0.25">
      <c r="AB9" s="92"/>
      <c r="AC9" s="1">
        <v>3</v>
      </c>
      <c r="AD9" s="1">
        <v>102.96</v>
      </c>
      <c r="AE9" s="1">
        <v>1</v>
      </c>
      <c r="AF9" s="77">
        <f t="shared" si="0"/>
        <v>103.96</v>
      </c>
      <c r="AG9" s="163" t="s">
        <v>274</v>
      </c>
      <c r="AH9" s="93"/>
      <c r="AL9" s="92"/>
      <c r="AM9" s="1">
        <v>3</v>
      </c>
      <c r="AN9" s="1">
        <v>24.76</v>
      </c>
      <c r="AO9" s="1">
        <v>101.6</v>
      </c>
      <c r="AP9" s="74">
        <v>2</v>
      </c>
      <c r="AQ9" s="168">
        <f>SUM(AN9:AP9)</f>
        <v>128.36000000000001</v>
      </c>
      <c r="AR9" s="93" t="s">
        <v>274</v>
      </c>
      <c r="AS9" s="93"/>
    </row>
    <row r="10" spans="2:47" ht="15" customHeight="1" x14ac:dyDescent="0.25">
      <c r="O10" s="91" t="s">
        <v>187</v>
      </c>
      <c r="P10" s="91"/>
      <c r="Q10" s="91"/>
      <c r="R10" s="91"/>
      <c r="S10" s="91"/>
      <c r="T10" s="91"/>
      <c r="AB10" s="92"/>
      <c r="AC10" s="1">
        <v>4</v>
      </c>
      <c r="AD10" s="1">
        <v>105.52</v>
      </c>
      <c r="AE10" s="1">
        <v>1</v>
      </c>
      <c r="AF10" s="77">
        <f t="shared" si="0"/>
        <v>106.52</v>
      </c>
      <c r="AG10" s="167">
        <v>3.5</v>
      </c>
      <c r="AH10" s="166"/>
      <c r="AL10" s="92"/>
      <c r="AM10" s="1">
        <v>4</v>
      </c>
      <c r="AN10" s="1">
        <v>22.13</v>
      </c>
      <c r="AO10" s="1">
        <v>101.6</v>
      </c>
      <c r="AP10" s="74">
        <v>2</v>
      </c>
      <c r="AQ10" s="168">
        <f>SUM(AN10:AP10)</f>
        <v>125.72999999999999</v>
      </c>
      <c r="AR10" s="166">
        <v>1.5</v>
      </c>
      <c r="AS10" s="166"/>
    </row>
    <row r="11" spans="2:47" ht="14.45" customHeight="1" x14ac:dyDescent="0.25">
      <c r="O11" s="91"/>
      <c r="P11" s="91"/>
      <c r="Q11" s="91"/>
      <c r="R11" s="91"/>
      <c r="S11" s="91"/>
      <c r="T11" s="91"/>
      <c r="W11" s="1"/>
      <c r="AB11" s="92"/>
      <c r="AC11" s="1">
        <v>5</v>
      </c>
      <c r="AD11" s="1">
        <v>95.5</v>
      </c>
      <c r="AE11" s="1">
        <v>1</v>
      </c>
      <c r="AF11" s="77">
        <f t="shared" si="0"/>
        <v>96.5</v>
      </c>
      <c r="AL11" s="92"/>
      <c r="AM11" s="1">
        <v>5</v>
      </c>
      <c r="AN11" s="1">
        <v>19.239999999999998</v>
      </c>
      <c r="AO11" s="1">
        <v>101.6</v>
      </c>
      <c r="AP11" s="74">
        <v>2</v>
      </c>
      <c r="AQ11" s="168">
        <f>SUM(AN11:AP11)</f>
        <v>122.83999999999999</v>
      </c>
    </row>
    <row r="12" spans="2:47" ht="14.45" customHeight="1" x14ac:dyDescent="0.25">
      <c r="O12" s="91"/>
      <c r="P12" s="91"/>
      <c r="Q12" s="91"/>
      <c r="R12" s="91"/>
      <c r="S12" s="91"/>
      <c r="T12" s="91"/>
      <c r="AB12" s="92"/>
      <c r="AC12" s="1">
        <v>6</v>
      </c>
      <c r="AD12" s="1">
        <v>98.07</v>
      </c>
      <c r="AE12" s="1">
        <v>1</v>
      </c>
      <c r="AF12" s="77">
        <f t="shared" si="0"/>
        <v>99.07</v>
      </c>
      <c r="AL12" s="92"/>
      <c r="AM12" s="1">
        <v>6</v>
      </c>
      <c r="AN12" s="1">
        <v>16.45</v>
      </c>
      <c r="AO12" s="1">
        <v>101.6</v>
      </c>
      <c r="AP12" s="74">
        <v>2</v>
      </c>
      <c r="AQ12" s="168">
        <f>SUM(AN12:AP12)</f>
        <v>120.05</v>
      </c>
    </row>
    <row r="13" spans="2:47" ht="14.45" customHeight="1" x14ac:dyDescent="0.25">
      <c r="O13" s="91"/>
      <c r="P13" s="91"/>
      <c r="Q13" s="91"/>
      <c r="R13" s="91"/>
      <c r="S13" s="91"/>
      <c r="T13" s="91"/>
      <c r="AB13" s="92"/>
      <c r="AC13" s="76" t="s">
        <v>188</v>
      </c>
      <c r="AD13" s="76">
        <v>116.65</v>
      </c>
      <c r="AE13" s="76">
        <v>4</v>
      </c>
      <c r="AF13" s="78">
        <f t="shared" si="0"/>
        <v>120.65</v>
      </c>
      <c r="AL13" s="92"/>
      <c r="AM13" s="1">
        <v>7</v>
      </c>
      <c r="AN13" s="1">
        <v>13.77</v>
      </c>
      <c r="AO13" s="1">
        <v>101.6</v>
      </c>
      <c r="AP13" s="74">
        <v>2</v>
      </c>
      <c r="AQ13" s="168">
        <f>SUM(AN13:AP13)</f>
        <v>117.36999999999999</v>
      </c>
    </row>
    <row r="14" spans="2:47" ht="14.45" customHeight="1" x14ac:dyDescent="0.25">
      <c r="O14" s="91"/>
      <c r="P14" s="91"/>
      <c r="Q14" s="91"/>
      <c r="R14" s="91"/>
      <c r="S14" s="91"/>
      <c r="T14" s="91"/>
      <c r="AB14" s="94">
        <v>4.0199999999999996</v>
      </c>
      <c r="AC14" s="1">
        <v>1</v>
      </c>
      <c r="AD14" s="1">
        <v>63.24</v>
      </c>
      <c r="AE14" s="1">
        <v>1</v>
      </c>
      <c r="AF14" s="77">
        <f t="shared" ref="AF14:AF26" si="1">SUM(AD14:AE14)</f>
        <v>64.240000000000009</v>
      </c>
      <c r="AL14" s="92"/>
      <c r="AM14" s="1">
        <v>8</v>
      </c>
      <c r="AN14" s="1">
        <v>11.01</v>
      </c>
      <c r="AO14" s="1">
        <v>101.6</v>
      </c>
      <c r="AP14" s="74">
        <v>2</v>
      </c>
      <c r="AQ14" s="168">
        <f>SUM(AN14:AP14)</f>
        <v>114.61</v>
      </c>
    </row>
    <row r="15" spans="2:47" ht="15" customHeight="1" x14ac:dyDescent="0.25">
      <c r="AB15" s="94"/>
      <c r="AC15" s="1">
        <v>2</v>
      </c>
      <c r="AD15" s="1">
        <v>64.760000000000005</v>
      </c>
      <c r="AE15" s="1">
        <v>1</v>
      </c>
      <c r="AF15" s="77">
        <f t="shared" si="1"/>
        <v>65.760000000000005</v>
      </c>
      <c r="AL15" s="92"/>
      <c r="AM15" s="1">
        <v>9</v>
      </c>
      <c r="AN15" s="1">
        <v>7.65</v>
      </c>
      <c r="AO15" s="1">
        <v>101.6</v>
      </c>
      <c r="AP15" s="74">
        <v>2</v>
      </c>
      <c r="AQ15" s="168">
        <f>SUM(AN15:AP15)</f>
        <v>111.25</v>
      </c>
    </row>
    <row r="16" spans="2:47" ht="14.45" customHeight="1" x14ac:dyDescent="0.25">
      <c r="O16" s="91" t="s">
        <v>189</v>
      </c>
      <c r="P16" s="91"/>
      <c r="Q16" s="91"/>
      <c r="R16" s="91"/>
      <c r="S16" s="91"/>
      <c r="T16" s="91"/>
      <c r="AB16" s="94"/>
      <c r="AC16" s="1">
        <v>3</v>
      </c>
      <c r="AD16" s="1">
        <v>66.28</v>
      </c>
      <c r="AE16" s="1">
        <v>1</v>
      </c>
      <c r="AF16" s="77">
        <f t="shared" si="1"/>
        <v>67.28</v>
      </c>
      <c r="AL16" s="92"/>
      <c r="AM16" s="1">
        <v>10</v>
      </c>
      <c r="AN16" s="1">
        <v>4.75</v>
      </c>
      <c r="AO16" s="1">
        <v>101.6</v>
      </c>
      <c r="AP16" s="74">
        <v>2</v>
      </c>
      <c r="AQ16" s="168">
        <f>SUM(AN16:AP16)</f>
        <v>108.35</v>
      </c>
    </row>
    <row r="17" spans="2:43" ht="14.45" customHeight="1" x14ac:dyDescent="0.25">
      <c r="O17" s="91"/>
      <c r="P17" s="91"/>
      <c r="Q17" s="91"/>
      <c r="R17" s="91"/>
      <c r="S17" s="91"/>
      <c r="T17" s="91"/>
      <c r="AB17" s="94"/>
      <c r="AC17" s="1">
        <v>4</v>
      </c>
      <c r="AD17" s="1">
        <v>68.25</v>
      </c>
      <c r="AE17" s="1">
        <v>1</v>
      </c>
      <c r="AF17" s="77">
        <f t="shared" si="1"/>
        <v>69.25</v>
      </c>
      <c r="AL17" s="92"/>
      <c r="AM17" s="1">
        <v>11</v>
      </c>
      <c r="AN17" s="1">
        <v>2.06</v>
      </c>
      <c r="AO17" s="1">
        <v>101.6</v>
      </c>
      <c r="AP17" s="74">
        <v>2</v>
      </c>
      <c r="AQ17" s="168">
        <f>SUM(AN17:AP17)</f>
        <v>105.66</v>
      </c>
    </row>
    <row r="18" spans="2:43" x14ac:dyDescent="0.25">
      <c r="B18" s="1"/>
      <c r="O18" s="91"/>
      <c r="P18" s="91"/>
      <c r="Q18" s="91"/>
      <c r="R18" s="91"/>
      <c r="S18" s="91"/>
      <c r="T18" s="91"/>
      <c r="AB18" s="94"/>
      <c r="AC18" s="1">
        <v>5</v>
      </c>
      <c r="AD18" s="1">
        <v>69.760000000000005</v>
      </c>
      <c r="AE18" s="1">
        <v>1</v>
      </c>
      <c r="AF18" s="77">
        <f t="shared" si="1"/>
        <v>70.760000000000005</v>
      </c>
      <c r="AL18" s="92"/>
      <c r="AM18" s="1">
        <v>12</v>
      </c>
      <c r="AN18" s="1">
        <v>1.9</v>
      </c>
      <c r="AO18" s="1">
        <v>101.6</v>
      </c>
      <c r="AP18" s="74">
        <v>2</v>
      </c>
      <c r="AQ18" s="168">
        <f>SUM(AN18:AP18)</f>
        <v>105.5</v>
      </c>
    </row>
    <row r="19" spans="2:43" ht="14.45" customHeight="1" x14ac:dyDescent="0.25">
      <c r="O19" s="91"/>
      <c r="P19" s="91"/>
      <c r="Q19" s="91"/>
      <c r="R19" s="91"/>
      <c r="S19" s="91"/>
      <c r="T19" s="91"/>
      <c r="AB19" s="94"/>
      <c r="AC19" s="1">
        <v>6</v>
      </c>
      <c r="AD19" s="1">
        <v>71.290000000000006</v>
      </c>
      <c r="AE19" s="1">
        <v>1</v>
      </c>
      <c r="AF19" s="77">
        <f t="shared" si="1"/>
        <v>72.290000000000006</v>
      </c>
      <c r="AL19" s="92"/>
      <c r="AM19" s="1">
        <v>13</v>
      </c>
      <c r="AN19" s="1">
        <v>4.45</v>
      </c>
      <c r="AO19" s="1">
        <v>101.6</v>
      </c>
      <c r="AP19" s="74">
        <v>2</v>
      </c>
      <c r="AQ19" s="168">
        <f>SUM(AN19:AP19)</f>
        <v>108.05</v>
      </c>
    </row>
    <row r="20" spans="2:43" ht="14.45" customHeight="1" x14ac:dyDescent="0.25">
      <c r="O20" s="91"/>
      <c r="P20" s="91"/>
      <c r="Q20" s="91"/>
      <c r="R20" s="91"/>
      <c r="S20" s="91"/>
      <c r="T20" s="91"/>
      <c r="AB20" s="94"/>
      <c r="AC20" s="1">
        <v>7</v>
      </c>
      <c r="AD20" s="1">
        <v>74.03</v>
      </c>
      <c r="AE20" s="1">
        <v>1</v>
      </c>
      <c r="AF20" s="77">
        <f t="shared" si="1"/>
        <v>75.03</v>
      </c>
      <c r="AL20" s="92"/>
      <c r="AM20" s="1">
        <v>14</v>
      </c>
      <c r="AN20" s="1">
        <v>6.92</v>
      </c>
      <c r="AO20" s="1">
        <v>101.6</v>
      </c>
      <c r="AP20" s="74">
        <v>2</v>
      </c>
      <c r="AQ20" s="168">
        <f>SUM(AN20:AP20)</f>
        <v>110.52</v>
      </c>
    </row>
    <row r="21" spans="2:43" x14ac:dyDescent="0.25">
      <c r="O21" s="91"/>
      <c r="P21" s="91"/>
      <c r="Q21" s="91"/>
      <c r="R21" s="91"/>
      <c r="S21" s="91"/>
      <c r="T21" s="91"/>
      <c r="AB21" s="94"/>
      <c r="AC21" s="1">
        <v>8</v>
      </c>
      <c r="AD21" s="1">
        <v>76.16</v>
      </c>
      <c r="AE21" s="1">
        <v>1</v>
      </c>
      <c r="AF21" s="77">
        <f t="shared" si="1"/>
        <v>77.16</v>
      </c>
      <c r="AL21" s="92"/>
      <c r="AM21" s="76" t="s">
        <v>275</v>
      </c>
      <c r="AN21" s="76" t="s">
        <v>178</v>
      </c>
      <c r="AO21" s="76">
        <v>116.28</v>
      </c>
      <c r="AP21" s="76" t="s">
        <v>178</v>
      </c>
      <c r="AQ21" s="168">
        <f>SUM(AN21:AP21)</f>
        <v>116.28</v>
      </c>
    </row>
    <row r="22" spans="2:43" ht="14.45" customHeight="1" x14ac:dyDescent="0.25">
      <c r="O22" s="91"/>
      <c r="P22" s="91"/>
      <c r="Q22" s="91"/>
      <c r="R22" s="91"/>
      <c r="S22" s="91"/>
      <c r="T22" s="91"/>
      <c r="AB22" s="94"/>
      <c r="AC22" s="1">
        <v>9</v>
      </c>
      <c r="AD22" s="1">
        <v>80.55</v>
      </c>
      <c r="AE22" s="1">
        <v>1</v>
      </c>
      <c r="AF22" s="77">
        <f t="shared" si="1"/>
        <v>81.55</v>
      </c>
      <c r="AL22" s="92" t="s">
        <v>208</v>
      </c>
      <c r="AM22" s="1">
        <v>1</v>
      </c>
      <c r="AN22" s="1">
        <v>12.34</v>
      </c>
      <c r="AO22" s="1">
        <v>94.12</v>
      </c>
      <c r="AP22" s="1">
        <v>2</v>
      </c>
      <c r="AQ22" s="168">
        <f>SUM(AN22:AP22)</f>
        <v>108.46000000000001</v>
      </c>
    </row>
    <row r="23" spans="2:43" ht="14.45" customHeight="1" x14ac:dyDescent="0.25">
      <c r="O23" s="91"/>
      <c r="P23" s="91"/>
      <c r="Q23" s="91"/>
      <c r="R23" s="91"/>
      <c r="S23" s="91"/>
      <c r="T23" s="91"/>
      <c r="AB23" s="94"/>
      <c r="AC23" s="1">
        <v>10</v>
      </c>
      <c r="AD23" s="1">
        <v>83.76</v>
      </c>
      <c r="AE23" s="1">
        <v>1</v>
      </c>
      <c r="AF23" s="77">
        <f t="shared" si="1"/>
        <v>84.76</v>
      </c>
      <c r="AL23" s="92"/>
      <c r="AM23" s="1">
        <v>2</v>
      </c>
      <c r="AN23" s="1">
        <v>9.6999999999999993</v>
      </c>
      <c r="AO23" s="1">
        <v>94.12</v>
      </c>
      <c r="AP23" s="1">
        <v>2</v>
      </c>
      <c r="AQ23" s="168">
        <f>SUM(AN23:AP23)</f>
        <v>105.82000000000001</v>
      </c>
    </row>
    <row r="24" spans="2:43" x14ac:dyDescent="0.25">
      <c r="AB24" s="94"/>
      <c r="AC24" s="1">
        <v>11</v>
      </c>
      <c r="AD24" s="1">
        <v>87.37</v>
      </c>
      <c r="AE24" s="1">
        <v>1</v>
      </c>
      <c r="AF24" s="77">
        <f t="shared" si="1"/>
        <v>88.37</v>
      </c>
      <c r="AL24" s="92"/>
      <c r="AM24" s="1">
        <v>3</v>
      </c>
      <c r="AN24" s="1">
        <v>6.29</v>
      </c>
      <c r="AO24" s="1">
        <v>94.12</v>
      </c>
      <c r="AP24" s="1">
        <v>2</v>
      </c>
      <c r="AQ24" s="168">
        <f>SUM(AN24:AP24)</f>
        <v>102.41000000000001</v>
      </c>
    </row>
    <row r="25" spans="2:43" ht="14.45" customHeight="1" x14ac:dyDescent="0.25">
      <c r="O25" s="91" t="s">
        <v>190</v>
      </c>
      <c r="P25" s="92"/>
      <c r="Q25" s="92"/>
      <c r="R25" s="92"/>
      <c r="S25" s="92"/>
      <c r="T25" s="92"/>
      <c r="AB25" s="94"/>
      <c r="AC25" s="1">
        <v>12</v>
      </c>
      <c r="AD25" s="1">
        <v>90.85</v>
      </c>
      <c r="AE25" s="1">
        <v>1</v>
      </c>
      <c r="AF25" s="77">
        <f t="shared" si="1"/>
        <v>91.85</v>
      </c>
      <c r="AL25" s="92"/>
      <c r="AM25" s="1">
        <v>4</v>
      </c>
      <c r="AN25" s="1">
        <v>2.0699999999999998</v>
      </c>
      <c r="AO25" s="1">
        <v>94.12</v>
      </c>
      <c r="AP25" s="1">
        <v>2</v>
      </c>
      <c r="AQ25" s="168">
        <f>SUM(AN25:AP25)</f>
        <v>98.19</v>
      </c>
    </row>
    <row r="26" spans="2:43" x14ac:dyDescent="0.25">
      <c r="O26" s="92"/>
      <c r="P26" s="92"/>
      <c r="Q26" s="92"/>
      <c r="R26" s="92"/>
      <c r="S26" s="92"/>
      <c r="T26" s="92"/>
      <c r="AB26" s="94"/>
      <c r="AC26" s="76" t="s">
        <v>191</v>
      </c>
      <c r="AD26" s="76">
        <v>79.94</v>
      </c>
      <c r="AE26" s="76">
        <v>4</v>
      </c>
      <c r="AF26" s="78">
        <f t="shared" si="1"/>
        <v>83.94</v>
      </c>
      <c r="AL26" s="92"/>
      <c r="AM26" s="1">
        <v>5</v>
      </c>
      <c r="AN26" s="1">
        <v>4.05</v>
      </c>
      <c r="AO26" s="1">
        <v>94.12</v>
      </c>
      <c r="AP26" s="1">
        <v>2</v>
      </c>
      <c r="AQ26" s="168">
        <f>SUM(AN26:AP26)</f>
        <v>100.17</v>
      </c>
    </row>
    <row r="27" spans="2:43" ht="14.45" customHeight="1" x14ac:dyDescent="0.25">
      <c r="O27" s="92"/>
      <c r="P27" s="92"/>
      <c r="Q27" s="92"/>
      <c r="R27" s="92"/>
      <c r="S27" s="92"/>
      <c r="T27" s="92"/>
      <c r="AB27" s="92">
        <v>4.03</v>
      </c>
      <c r="AC27" s="1">
        <v>1</v>
      </c>
      <c r="AD27" s="1">
        <v>62.77</v>
      </c>
      <c r="AE27" s="1">
        <v>1</v>
      </c>
      <c r="AF27" s="77">
        <f>SUM(AD27:AE27)</f>
        <v>63.77</v>
      </c>
      <c r="AL27" s="92"/>
      <c r="AM27" s="76">
        <v>6</v>
      </c>
      <c r="AN27" s="76">
        <v>1.5</v>
      </c>
      <c r="AO27" s="76">
        <v>94.12</v>
      </c>
      <c r="AP27" s="76">
        <v>2</v>
      </c>
      <c r="AQ27" s="168">
        <f>SUM(AN27:AP27)</f>
        <v>97.62</v>
      </c>
    </row>
    <row r="28" spans="2:43" ht="14.45" customHeight="1" x14ac:dyDescent="0.25">
      <c r="O28" s="92"/>
      <c r="P28" s="92"/>
      <c r="Q28" s="92"/>
      <c r="R28" s="92"/>
      <c r="S28" s="92"/>
      <c r="T28" s="92"/>
      <c r="AB28" s="92"/>
      <c r="AC28" s="1">
        <v>2</v>
      </c>
      <c r="AD28" s="1">
        <v>59.53</v>
      </c>
      <c r="AE28" s="1">
        <v>1</v>
      </c>
      <c r="AF28" s="77">
        <f>SUM(AD28:AE28)</f>
        <v>60.53</v>
      </c>
      <c r="AL28" s="92" t="s">
        <v>209</v>
      </c>
      <c r="AM28" s="1">
        <v>1</v>
      </c>
      <c r="AN28" s="1">
        <v>12.34</v>
      </c>
      <c r="AO28" s="1">
        <v>84.57</v>
      </c>
      <c r="AP28" s="1">
        <v>2</v>
      </c>
      <c r="AQ28" s="168">
        <f>SUM(AN28:AP28)</f>
        <v>98.91</v>
      </c>
    </row>
    <row r="29" spans="2:43" x14ac:dyDescent="0.25">
      <c r="O29" s="92"/>
      <c r="P29" s="92"/>
      <c r="Q29" s="92"/>
      <c r="R29" s="92"/>
      <c r="S29" s="92"/>
      <c r="T29" s="92"/>
      <c r="AB29" s="92"/>
      <c r="AC29" s="1">
        <v>3</v>
      </c>
      <c r="AD29" s="1">
        <v>57.81</v>
      </c>
      <c r="AE29" s="1">
        <v>1</v>
      </c>
      <c r="AF29" s="77">
        <f>SUM(AD29:AE29)</f>
        <v>58.81</v>
      </c>
      <c r="AL29" s="92"/>
      <c r="AM29" s="1">
        <v>2</v>
      </c>
      <c r="AN29" s="1">
        <v>9.6999999999999993</v>
      </c>
      <c r="AO29" s="1">
        <v>84.57</v>
      </c>
      <c r="AP29" s="1">
        <v>2</v>
      </c>
      <c r="AQ29" s="168">
        <f>SUM(AN29:AP29)</f>
        <v>96.27</v>
      </c>
    </row>
    <row r="30" spans="2:43" ht="14.45" customHeight="1" x14ac:dyDescent="0.25">
      <c r="O30" s="92"/>
      <c r="P30" s="92"/>
      <c r="Q30" s="92"/>
      <c r="R30" s="92"/>
      <c r="S30" s="92"/>
      <c r="T30" s="92"/>
      <c r="AB30" s="92"/>
      <c r="AC30" s="1">
        <v>4</v>
      </c>
      <c r="AD30" s="1">
        <v>59.75</v>
      </c>
      <c r="AE30" s="1">
        <v>1</v>
      </c>
      <c r="AF30" s="77">
        <f>SUM(AD30:AE30)</f>
        <v>60.75</v>
      </c>
      <c r="AL30" s="92"/>
      <c r="AM30" s="1">
        <v>3</v>
      </c>
      <c r="AN30" s="1">
        <v>6.29</v>
      </c>
      <c r="AO30" s="1">
        <v>84.57</v>
      </c>
      <c r="AP30" s="1">
        <v>2</v>
      </c>
      <c r="AQ30" s="168">
        <f>SUM(AN30:AP30)</f>
        <v>92.86</v>
      </c>
    </row>
    <row r="31" spans="2:43" ht="14.45" customHeight="1" x14ac:dyDescent="0.25">
      <c r="O31" s="92"/>
      <c r="P31" s="92"/>
      <c r="Q31" s="92"/>
      <c r="R31" s="92"/>
      <c r="S31" s="92"/>
      <c r="T31" s="92"/>
      <c r="AB31" s="92"/>
      <c r="AC31" s="1">
        <v>5</v>
      </c>
      <c r="AD31" s="1">
        <v>64.23</v>
      </c>
      <c r="AE31" s="1">
        <v>1</v>
      </c>
      <c r="AF31" s="77">
        <f>SUM(AD31:AE31)</f>
        <v>65.23</v>
      </c>
      <c r="AL31" s="92"/>
      <c r="AM31" s="1">
        <v>4</v>
      </c>
      <c r="AN31" s="1">
        <v>2.0699999999999998</v>
      </c>
      <c r="AO31" s="1">
        <v>84.57</v>
      </c>
      <c r="AP31" s="1">
        <v>2</v>
      </c>
      <c r="AQ31" s="168">
        <f>SUM(AN31:AP31)</f>
        <v>88.639999999999986</v>
      </c>
    </row>
    <row r="32" spans="2:43" x14ac:dyDescent="0.25">
      <c r="AB32" s="96"/>
      <c r="AC32" s="76">
        <v>6</v>
      </c>
      <c r="AD32" s="76">
        <v>67.44</v>
      </c>
      <c r="AE32" s="76">
        <v>1</v>
      </c>
      <c r="AF32" s="78">
        <f>SUM(AD32:AE32)</f>
        <v>68.44</v>
      </c>
      <c r="AL32" s="92"/>
      <c r="AM32" s="1">
        <v>5</v>
      </c>
      <c r="AN32" s="1">
        <v>4.05</v>
      </c>
      <c r="AO32" s="1">
        <v>84.57</v>
      </c>
      <c r="AP32" s="1">
        <v>2</v>
      </c>
      <c r="AQ32" s="168">
        <f>SUM(AN32:AP32)</f>
        <v>90.61999999999999</v>
      </c>
    </row>
    <row r="33" spans="2:43" x14ac:dyDescent="0.25">
      <c r="AB33" s="92" t="s">
        <v>196</v>
      </c>
      <c r="AC33" s="1">
        <v>1</v>
      </c>
      <c r="AD33" s="1">
        <v>57.82</v>
      </c>
      <c r="AE33" s="1">
        <v>1</v>
      </c>
      <c r="AF33" s="77">
        <f>SUM(AD33:AE33)</f>
        <v>58.82</v>
      </c>
      <c r="AL33" s="92"/>
      <c r="AM33" s="76">
        <v>6</v>
      </c>
      <c r="AN33" s="76">
        <v>1.5</v>
      </c>
      <c r="AO33" s="76">
        <v>84.57</v>
      </c>
      <c r="AP33" s="76">
        <v>2</v>
      </c>
      <c r="AQ33" s="168">
        <f>SUM(AN33:AP33)</f>
        <v>88.07</v>
      </c>
    </row>
    <row r="34" spans="2:43" x14ac:dyDescent="0.25">
      <c r="N34" s="1"/>
      <c r="O34" s="1"/>
      <c r="P34" s="1"/>
      <c r="Q34" s="1"/>
      <c r="AB34" s="92"/>
      <c r="AC34" s="1">
        <v>2</v>
      </c>
      <c r="AD34" s="1">
        <v>54.6</v>
      </c>
      <c r="AE34" s="1">
        <v>1</v>
      </c>
      <c r="AF34" s="77">
        <f>SUM(AD34:AE34)</f>
        <v>55.6</v>
      </c>
      <c r="AL34" s="92" t="s">
        <v>210</v>
      </c>
      <c r="AM34" s="1">
        <v>1</v>
      </c>
      <c r="AN34" s="1">
        <v>15.66</v>
      </c>
      <c r="AO34" s="1">
        <v>65.09</v>
      </c>
      <c r="AP34" s="1">
        <v>2</v>
      </c>
      <c r="AQ34" s="168">
        <f>SUM(AN34:AP34)</f>
        <v>82.75</v>
      </c>
    </row>
    <row r="35" spans="2:43" x14ac:dyDescent="0.25">
      <c r="N35" s="18" t="s">
        <v>192</v>
      </c>
      <c r="O35" s="18" t="s">
        <v>13</v>
      </c>
      <c r="P35" s="19" t="s">
        <v>14</v>
      </c>
      <c r="Q35" s="12" t="s">
        <v>193</v>
      </c>
      <c r="R35" s="32" t="s">
        <v>16</v>
      </c>
      <c r="AB35" s="92"/>
      <c r="AC35" s="1">
        <v>3</v>
      </c>
      <c r="AD35" s="1">
        <v>52.38</v>
      </c>
      <c r="AE35" s="1">
        <v>1</v>
      </c>
      <c r="AF35" s="77">
        <f>SUM(AD35:AE35)</f>
        <v>53.38</v>
      </c>
      <c r="AL35" s="92"/>
      <c r="AM35" s="1">
        <v>2</v>
      </c>
      <c r="AN35" s="1">
        <v>12.9</v>
      </c>
      <c r="AO35" s="1">
        <v>65.09</v>
      </c>
      <c r="AP35" s="1">
        <v>2</v>
      </c>
      <c r="AQ35" s="168">
        <f>SUM(AN35:AP35)</f>
        <v>79.990000000000009</v>
      </c>
    </row>
    <row r="36" spans="2:43" x14ac:dyDescent="0.25">
      <c r="N36" s="10" t="s">
        <v>184</v>
      </c>
      <c r="O36" s="20">
        <v>5.3</v>
      </c>
      <c r="P36" s="20">
        <v>5.3</v>
      </c>
      <c r="Q36" s="16">
        <f t="shared" ref="Q36:Q37" si="2">O36*P36</f>
        <v>28.09</v>
      </c>
      <c r="R36" s="25">
        <f>ROUNDUP(Q36/10*2,0)</f>
        <v>6</v>
      </c>
      <c r="AB36" s="92"/>
      <c r="AC36" s="1">
        <v>4</v>
      </c>
      <c r="AD36" s="1">
        <v>53.9</v>
      </c>
      <c r="AE36" s="1">
        <v>1</v>
      </c>
      <c r="AF36" s="77">
        <f>SUM(AD36:AE36)</f>
        <v>54.9</v>
      </c>
      <c r="AL36" s="92"/>
      <c r="AM36" s="1">
        <v>3</v>
      </c>
      <c r="AN36" s="1">
        <v>10.029999999999999</v>
      </c>
      <c r="AO36" s="1">
        <v>65.09</v>
      </c>
      <c r="AP36" s="1">
        <v>2</v>
      </c>
      <c r="AQ36" s="168">
        <f>SUM(AN36:AP36)</f>
        <v>77.12</v>
      </c>
    </row>
    <row r="37" spans="2:43" x14ac:dyDescent="0.25">
      <c r="N37" s="10" t="s">
        <v>194</v>
      </c>
      <c r="O37" s="20">
        <v>11.4</v>
      </c>
      <c r="P37" s="20">
        <v>11.4</v>
      </c>
      <c r="Q37" s="16">
        <f t="shared" si="2"/>
        <v>129.96</v>
      </c>
      <c r="R37" s="25">
        <v>12</v>
      </c>
      <c r="AB37" s="92"/>
      <c r="AC37" s="1">
        <v>5</v>
      </c>
      <c r="AD37" s="1">
        <v>59.14</v>
      </c>
      <c r="AE37" s="1">
        <v>1</v>
      </c>
      <c r="AF37" s="77">
        <f>SUM(AD37:AE37)</f>
        <v>60.14</v>
      </c>
      <c r="AL37" s="92"/>
      <c r="AM37" s="1">
        <v>4</v>
      </c>
      <c r="AN37" s="1">
        <v>7.85</v>
      </c>
      <c r="AO37" s="1">
        <v>65.09</v>
      </c>
      <c r="AP37" s="1">
        <v>2</v>
      </c>
      <c r="AQ37" s="168">
        <f>SUM(AN37:AP37)</f>
        <v>74.94</v>
      </c>
    </row>
    <row r="38" spans="2:43" x14ac:dyDescent="0.25">
      <c r="N38" s="11" t="s">
        <v>195</v>
      </c>
      <c r="O38" s="13">
        <v>7</v>
      </c>
      <c r="P38" s="13">
        <v>3.5</v>
      </c>
      <c r="Q38" s="16">
        <f>O38*P38</f>
        <v>24.5</v>
      </c>
      <c r="R38" s="25">
        <v>6</v>
      </c>
      <c r="AB38" s="92"/>
      <c r="AC38" s="1">
        <v>6</v>
      </c>
      <c r="AD38" s="1">
        <v>62.36</v>
      </c>
      <c r="AE38" s="1">
        <v>1</v>
      </c>
      <c r="AF38" s="77">
        <f>SUM(AD38:AE38)</f>
        <v>63.36</v>
      </c>
      <c r="AL38" s="92"/>
      <c r="AM38" s="1">
        <v>5</v>
      </c>
      <c r="AN38" s="1">
        <v>4.6500000000000004</v>
      </c>
      <c r="AO38" s="1">
        <v>65.09</v>
      </c>
      <c r="AP38" s="1">
        <v>2</v>
      </c>
      <c r="AQ38" s="168">
        <f>SUM(AN38:AP38)</f>
        <v>71.740000000000009</v>
      </c>
    </row>
    <row r="39" spans="2:43" x14ac:dyDescent="0.25">
      <c r="N39" s="10" t="s">
        <v>196</v>
      </c>
      <c r="O39" s="14">
        <v>7</v>
      </c>
      <c r="P39" s="14">
        <v>3.5</v>
      </c>
      <c r="Q39" s="17">
        <f t="shared" ref="Q39:Q46" si="3">O39*P39</f>
        <v>24.5</v>
      </c>
      <c r="R39" s="25">
        <v>6</v>
      </c>
      <c r="AB39" s="92"/>
      <c r="AC39" s="76" t="s">
        <v>230</v>
      </c>
      <c r="AD39" s="76">
        <v>60.53</v>
      </c>
      <c r="AE39" s="76">
        <v>4</v>
      </c>
      <c r="AF39" s="77">
        <f>SUM(AD39:AE39)</f>
        <v>64.53</v>
      </c>
      <c r="AL39" s="92"/>
      <c r="AM39" s="1">
        <v>6</v>
      </c>
      <c r="AN39" s="1">
        <v>3.04</v>
      </c>
      <c r="AO39" s="1">
        <v>65.09</v>
      </c>
      <c r="AP39" s="1">
        <v>2</v>
      </c>
      <c r="AQ39" s="168">
        <f>SUM(AN39:AP39)</f>
        <v>70.13000000000001</v>
      </c>
    </row>
    <row r="40" spans="2:43" x14ac:dyDescent="0.25">
      <c r="N40" s="10" t="s">
        <v>197</v>
      </c>
      <c r="O40" s="13">
        <v>7</v>
      </c>
      <c r="P40" s="14">
        <v>3.5</v>
      </c>
      <c r="Q40" s="17">
        <f t="shared" si="3"/>
        <v>24.5</v>
      </c>
      <c r="R40" s="25">
        <v>6</v>
      </c>
      <c r="AB40" s="92" t="s">
        <v>197</v>
      </c>
      <c r="AC40" s="1">
        <v>1</v>
      </c>
      <c r="AD40" s="1">
        <v>52.24</v>
      </c>
      <c r="AE40" s="1">
        <v>1</v>
      </c>
      <c r="AF40" s="77">
        <f>SUM(AD40:AE40)</f>
        <v>53.24</v>
      </c>
      <c r="AL40" s="92"/>
      <c r="AM40" s="1">
        <v>7</v>
      </c>
      <c r="AN40" s="1">
        <v>1.28</v>
      </c>
      <c r="AO40" s="1">
        <v>65.09</v>
      </c>
      <c r="AP40" s="1">
        <v>2</v>
      </c>
      <c r="AQ40" s="168">
        <f>SUM(AN40:AP40)</f>
        <v>68.37</v>
      </c>
    </row>
    <row r="41" spans="2:43" x14ac:dyDescent="0.25">
      <c r="N41" s="10" t="s">
        <v>198</v>
      </c>
      <c r="O41" s="14">
        <v>7</v>
      </c>
      <c r="P41" s="14">
        <v>3.5</v>
      </c>
      <c r="Q41" s="17">
        <f t="shared" si="3"/>
        <v>24.5</v>
      </c>
      <c r="R41" s="25">
        <v>6</v>
      </c>
      <c r="AB41" s="92"/>
      <c r="AC41" s="1">
        <v>2</v>
      </c>
      <c r="AD41" s="1">
        <v>49.03</v>
      </c>
      <c r="AE41" s="1">
        <v>1</v>
      </c>
      <c r="AF41" s="77">
        <f>SUM(AD41:AE41)</f>
        <v>50.03</v>
      </c>
      <c r="AL41" s="92"/>
      <c r="AM41" s="1">
        <v>8</v>
      </c>
      <c r="AN41" s="1">
        <v>8.81</v>
      </c>
      <c r="AO41" s="1">
        <v>65.09</v>
      </c>
      <c r="AP41" s="1">
        <v>2</v>
      </c>
      <c r="AQ41" s="168">
        <f>SUM(AN41:AP41)</f>
        <v>75.900000000000006</v>
      </c>
    </row>
    <row r="42" spans="2:43" x14ac:dyDescent="0.25">
      <c r="N42" s="10" t="s">
        <v>199</v>
      </c>
      <c r="O42" s="13">
        <v>7</v>
      </c>
      <c r="P42" s="14">
        <v>3.5</v>
      </c>
      <c r="Q42" s="17">
        <f t="shared" si="3"/>
        <v>24.5</v>
      </c>
      <c r="R42" s="25">
        <v>6</v>
      </c>
      <c r="AB42" s="92"/>
      <c r="AC42" s="1">
        <v>3</v>
      </c>
      <c r="AD42" s="1">
        <v>47.33</v>
      </c>
      <c r="AE42" s="1">
        <v>1</v>
      </c>
      <c r="AF42" s="77">
        <f>SUM(AD42:AE42)</f>
        <v>48.33</v>
      </c>
      <c r="AL42" s="92"/>
      <c r="AM42" s="1">
        <v>9</v>
      </c>
      <c r="AN42" s="1">
        <v>1.79</v>
      </c>
      <c r="AO42" s="1">
        <v>65.09</v>
      </c>
      <c r="AP42" s="1">
        <v>2</v>
      </c>
      <c r="AQ42" s="168">
        <f>SUM(AN42:AP42)</f>
        <v>68.88000000000001</v>
      </c>
    </row>
    <row r="43" spans="2:43" x14ac:dyDescent="0.25">
      <c r="N43" s="10" t="s">
        <v>200</v>
      </c>
      <c r="O43" s="14">
        <v>7</v>
      </c>
      <c r="P43" s="14">
        <v>3.5</v>
      </c>
      <c r="Q43" s="17">
        <f t="shared" si="3"/>
        <v>24.5</v>
      </c>
      <c r="R43" s="25">
        <v>6</v>
      </c>
      <c r="AB43" s="92"/>
      <c r="AC43" s="1">
        <v>4</v>
      </c>
      <c r="AD43" s="1">
        <v>49</v>
      </c>
      <c r="AE43" s="1">
        <v>1</v>
      </c>
      <c r="AF43" s="77">
        <f>SUM(AD43:AE43)</f>
        <v>50</v>
      </c>
      <c r="AL43" s="92"/>
      <c r="AM43" s="76">
        <v>10</v>
      </c>
      <c r="AN43" s="76">
        <v>5.23</v>
      </c>
      <c r="AO43" s="76">
        <v>65.09</v>
      </c>
      <c r="AP43" s="76">
        <v>2</v>
      </c>
      <c r="AQ43" s="168">
        <f>SUM(AN43:AP43)</f>
        <v>72.320000000000007</v>
      </c>
    </row>
    <row r="44" spans="2:43" x14ac:dyDescent="0.25">
      <c r="N44" s="10" t="s">
        <v>201</v>
      </c>
      <c r="O44" s="13">
        <v>7</v>
      </c>
      <c r="P44" s="14">
        <v>3.5</v>
      </c>
      <c r="Q44" s="17">
        <f t="shared" si="3"/>
        <v>24.5</v>
      </c>
      <c r="R44" s="25">
        <v>6</v>
      </c>
      <c r="AB44" s="92"/>
      <c r="AC44" s="1">
        <v>5</v>
      </c>
      <c r="AD44" s="1">
        <v>53.8</v>
      </c>
      <c r="AE44" s="1">
        <v>1</v>
      </c>
      <c r="AF44" s="77">
        <f>SUM(AD44:AE44)</f>
        <v>54.8</v>
      </c>
      <c r="AL44" s="92" t="s">
        <v>211</v>
      </c>
      <c r="AM44" s="1">
        <v>1</v>
      </c>
      <c r="AN44" s="1">
        <v>11.8</v>
      </c>
      <c r="AO44" s="1">
        <v>59.58</v>
      </c>
      <c r="AP44" s="1">
        <v>2</v>
      </c>
      <c r="AQ44" s="168">
        <f>SUM(AN44:AP44)</f>
        <v>73.38</v>
      </c>
    </row>
    <row r="45" spans="2:43" x14ac:dyDescent="0.25">
      <c r="N45" s="10" t="s">
        <v>202</v>
      </c>
      <c r="O45" s="14">
        <v>7</v>
      </c>
      <c r="P45" s="14">
        <v>3.5</v>
      </c>
      <c r="Q45" s="17">
        <f t="shared" si="3"/>
        <v>24.5</v>
      </c>
      <c r="R45" s="25">
        <v>6</v>
      </c>
      <c r="AB45" s="92"/>
      <c r="AC45" s="76">
        <v>6</v>
      </c>
      <c r="AD45" s="76">
        <v>57.01</v>
      </c>
      <c r="AE45" s="76">
        <v>1</v>
      </c>
      <c r="AF45" s="78">
        <f>SUM(AD45:AE45)</f>
        <v>58.01</v>
      </c>
      <c r="AL45" s="92"/>
      <c r="AM45" s="1">
        <v>2</v>
      </c>
      <c r="AN45" s="1">
        <v>7.54</v>
      </c>
      <c r="AO45" s="1">
        <v>59.58</v>
      </c>
      <c r="AP45" s="1">
        <v>2</v>
      </c>
      <c r="AQ45" s="168">
        <f>SUM(AN45:AP45)</f>
        <v>69.12</v>
      </c>
    </row>
    <row r="46" spans="2:43" x14ac:dyDescent="0.25">
      <c r="N46" s="10" t="s">
        <v>203</v>
      </c>
      <c r="O46" s="13">
        <v>7</v>
      </c>
      <c r="P46" s="14">
        <v>3.5</v>
      </c>
      <c r="Q46" s="17">
        <f t="shared" si="3"/>
        <v>24.5</v>
      </c>
      <c r="R46" s="25">
        <v>6</v>
      </c>
      <c r="AB46" s="92" t="s">
        <v>198</v>
      </c>
      <c r="AC46" s="1">
        <v>1</v>
      </c>
      <c r="AD46" s="1">
        <v>47.61</v>
      </c>
      <c r="AE46" s="1">
        <v>1</v>
      </c>
      <c r="AF46" s="78">
        <f>SUM(AD46:AE46)</f>
        <v>48.61</v>
      </c>
      <c r="AL46" s="92"/>
      <c r="AM46" s="1">
        <v>3</v>
      </c>
      <c r="AN46" s="1">
        <v>4.03</v>
      </c>
      <c r="AO46" s="1">
        <v>59.58</v>
      </c>
      <c r="AP46" s="1">
        <v>2</v>
      </c>
      <c r="AQ46" s="168">
        <f>SUM(AN46:AP46)</f>
        <v>65.61</v>
      </c>
    </row>
    <row r="47" spans="2:43" x14ac:dyDescent="0.25">
      <c r="O47" s="14"/>
      <c r="R47" s="33">
        <f>SUM(R36:R46)</f>
        <v>72</v>
      </c>
      <c r="S47" s="21" t="s">
        <v>20</v>
      </c>
      <c r="AB47" s="92"/>
      <c r="AC47" s="1">
        <v>2</v>
      </c>
      <c r="AD47" s="1">
        <v>44.4</v>
      </c>
      <c r="AE47" s="1">
        <v>1</v>
      </c>
      <c r="AF47" s="78">
        <f>SUM(AD47:AE47)</f>
        <v>45.4</v>
      </c>
      <c r="AL47" s="92"/>
      <c r="AM47" s="1">
        <v>4</v>
      </c>
      <c r="AN47" s="1">
        <v>1.68</v>
      </c>
      <c r="AO47" s="1">
        <v>59.58</v>
      </c>
      <c r="AP47" s="1">
        <v>2</v>
      </c>
      <c r="AQ47" s="168">
        <f>SUM(AN47:AP47)</f>
        <v>63.26</v>
      </c>
    </row>
    <row r="48" spans="2:43" ht="19.5" x14ac:dyDescent="0.3">
      <c r="B48" s="90" t="s">
        <v>204</v>
      </c>
      <c r="C48" s="90"/>
      <c r="D48" s="90"/>
      <c r="AB48" s="92"/>
      <c r="AC48" s="1">
        <v>3</v>
      </c>
      <c r="AD48" s="1">
        <v>42.96</v>
      </c>
      <c r="AE48" s="1">
        <v>1</v>
      </c>
      <c r="AF48" s="78">
        <f>SUM(AD48:AE48)</f>
        <v>43.96</v>
      </c>
      <c r="AL48" s="92"/>
      <c r="AM48" s="1">
        <v>5</v>
      </c>
      <c r="AN48" s="1">
        <v>2.4900000000000002</v>
      </c>
      <c r="AO48" s="1">
        <v>59.58</v>
      </c>
      <c r="AP48" s="1">
        <v>2</v>
      </c>
      <c r="AQ48" s="168">
        <f>SUM(AN48:AP48)</f>
        <v>64.069999999999993</v>
      </c>
    </row>
    <row r="49" spans="14:43" x14ac:dyDescent="0.25">
      <c r="AB49" s="92"/>
      <c r="AC49" s="1">
        <v>4</v>
      </c>
      <c r="AD49" s="1">
        <v>44.44</v>
      </c>
      <c r="AE49" s="1">
        <v>1</v>
      </c>
      <c r="AF49" s="78">
        <f>SUM(AD49:AE49)</f>
        <v>45.44</v>
      </c>
      <c r="AL49" s="92"/>
      <c r="AM49" s="76">
        <v>6</v>
      </c>
      <c r="AN49" s="76">
        <v>6.76</v>
      </c>
      <c r="AO49" s="76">
        <v>59.58</v>
      </c>
      <c r="AP49" s="76">
        <v>2</v>
      </c>
      <c r="AQ49" s="168">
        <f>SUM(AN49:AP49)</f>
        <v>68.34</v>
      </c>
    </row>
    <row r="50" spans="14:43" x14ac:dyDescent="0.25">
      <c r="AB50" s="92"/>
      <c r="AC50" s="1">
        <v>5</v>
      </c>
      <c r="AD50" s="1">
        <v>49.04</v>
      </c>
      <c r="AE50" s="1">
        <v>1</v>
      </c>
      <c r="AF50" s="78">
        <f>SUM(AD50:AE50)</f>
        <v>50.04</v>
      </c>
      <c r="AL50" s="92" t="s">
        <v>212</v>
      </c>
      <c r="AM50" s="1">
        <v>1</v>
      </c>
      <c r="AN50" s="1">
        <v>11.8</v>
      </c>
      <c r="AO50" s="1">
        <v>53.9</v>
      </c>
      <c r="AP50" s="162">
        <v>2</v>
      </c>
      <c r="AQ50" s="168">
        <f>SUM(AN50:AP50)</f>
        <v>67.7</v>
      </c>
    </row>
    <row r="51" spans="14:43" ht="15" customHeight="1" x14ac:dyDescent="0.25">
      <c r="N51" s="91" t="s">
        <v>205</v>
      </c>
      <c r="O51" s="91"/>
      <c r="P51" s="91"/>
      <c r="Q51" s="91"/>
      <c r="R51" s="91"/>
      <c r="S51" s="91"/>
      <c r="AB51" s="95"/>
      <c r="AC51" s="76">
        <v>6</v>
      </c>
      <c r="AD51" s="76">
        <v>52.25</v>
      </c>
      <c r="AE51" s="76">
        <v>1</v>
      </c>
      <c r="AF51" s="78">
        <f>SUM(AD51:AE51)</f>
        <v>53.25</v>
      </c>
      <c r="AL51" s="92"/>
      <c r="AM51" s="1">
        <v>2</v>
      </c>
      <c r="AN51" s="1">
        <v>7.54</v>
      </c>
      <c r="AO51" s="1">
        <v>53.9</v>
      </c>
      <c r="AP51" s="162">
        <v>2</v>
      </c>
      <c r="AQ51" s="168">
        <f>SUM(AN51:AP51)</f>
        <v>63.44</v>
      </c>
    </row>
    <row r="52" spans="14:43" x14ac:dyDescent="0.25">
      <c r="N52" s="91"/>
      <c r="O52" s="91"/>
      <c r="P52" s="91"/>
      <c r="Q52" s="91"/>
      <c r="R52" s="91"/>
      <c r="S52" s="91"/>
      <c r="AB52" s="92" t="s">
        <v>199</v>
      </c>
      <c r="AC52" s="1">
        <v>1</v>
      </c>
      <c r="AD52" s="1">
        <v>48</v>
      </c>
      <c r="AE52" s="1">
        <v>1</v>
      </c>
      <c r="AF52" s="78">
        <f>SUM(AD52:AE52)</f>
        <v>49</v>
      </c>
      <c r="AL52" s="92"/>
      <c r="AM52" s="1">
        <v>3</v>
      </c>
      <c r="AN52" s="1">
        <v>4.03</v>
      </c>
      <c r="AO52" s="1">
        <v>53.9</v>
      </c>
      <c r="AP52" s="162">
        <v>2</v>
      </c>
      <c r="AQ52" s="168">
        <f>SUM(AN52:AP52)</f>
        <v>59.93</v>
      </c>
    </row>
    <row r="53" spans="14:43" x14ac:dyDescent="0.25">
      <c r="N53" s="91"/>
      <c r="O53" s="91"/>
      <c r="P53" s="91"/>
      <c r="Q53" s="91"/>
      <c r="R53" s="91"/>
      <c r="S53" s="91"/>
      <c r="AB53" s="92"/>
      <c r="AC53" s="1">
        <v>2</v>
      </c>
      <c r="AD53" s="1">
        <v>44.78</v>
      </c>
      <c r="AE53" s="1">
        <v>1</v>
      </c>
      <c r="AF53" s="78">
        <f>SUM(AD53:AE53)</f>
        <v>45.78</v>
      </c>
      <c r="AL53" s="92"/>
      <c r="AM53" s="1">
        <v>4</v>
      </c>
      <c r="AN53" s="1">
        <v>1.68</v>
      </c>
      <c r="AO53" s="1">
        <v>53.9</v>
      </c>
      <c r="AP53" s="162">
        <v>2</v>
      </c>
      <c r="AQ53" s="168">
        <f>SUM(AN53:AP53)</f>
        <v>57.58</v>
      </c>
    </row>
    <row r="54" spans="14:43" x14ac:dyDescent="0.25">
      <c r="N54" s="91"/>
      <c r="O54" s="91"/>
      <c r="P54" s="91"/>
      <c r="Q54" s="91"/>
      <c r="R54" s="91"/>
      <c r="S54" s="91"/>
      <c r="AB54" s="92"/>
      <c r="AC54" s="1">
        <v>3</v>
      </c>
      <c r="AD54" s="1">
        <v>43</v>
      </c>
      <c r="AE54" s="1">
        <v>1</v>
      </c>
      <c r="AF54" s="78">
        <f>SUM(AD54:AE54)</f>
        <v>44</v>
      </c>
      <c r="AL54" s="92"/>
      <c r="AM54" s="1">
        <v>5</v>
      </c>
      <c r="AN54" s="1">
        <v>2.4900000000000002</v>
      </c>
      <c r="AO54" s="1">
        <v>53.9</v>
      </c>
      <c r="AP54" s="162">
        <v>2</v>
      </c>
      <c r="AQ54" s="168">
        <f>SUM(AN54:AP54)</f>
        <v>58.39</v>
      </c>
    </row>
    <row r="55" spans="14:43" x14ac:dyDescent="0.25">
      <c r="N55" s="91"/>
      <c r="O55" s="91"/>
      <c r="P55" s="91"/>
      <c r="Q55" s="91"/>
      <c r="R55" s="91"/>
      <c r="S55" s="91"/>
      <c r="AB55" s="92"/>
      <c r="AC55" s="1">
        <v>4</v>
      </c>
      <c r="AD55" s="1">
        <v>44.98</v>
      </c>
      <c r="AE55" s="1">
        <v>1</v>
      </c>
      <c r="AF55" s="78">
        <f>SUM(AD55:AE55)</f>
        <v>45.98</v>
      </c>
      <c r="AL55" s="92"/>
      <c r="AM55" s="162">
        <v>6</v>
      </c>
      <c r="AN55" s="162">
        <v>6.76</v>
      </c>
      <c r="AO55" s="1">
        <v>53.9</v>
      </c>
      <c r="AP55" s="162">
        <v>2</v>
      </c>
      <c r="AQ55" s="168">
        <f>SUM(AN55:AP55)</f>
        <v>62.66</v>
      </c>
    </row>
    <row r="56" spans="14:43" x14ac:dyDescent="0.25">
      <c r="N56" s="91"/>
      <c r="O56" s="91"/>
      <c r="P56" s="91"/>
      <c r="Q56" s="91"/>
      <c r="R56" s="91"/>
      <c r="S56" s="91"/>
      <c r="AB56" s="92"/>
      <c r="AC56" s="1">
        <v>5</v>
      </c>
      <c r="AD56" s="1">
        <v>49.36</v>
      </c>
      <c r="AE56" s="1">
        <v>1</v>
      </c>
      <c r="AF56" s="78">
        <f>SUM(AD56:AE56)</f>
        <v>50.36</v>
      </c>
      <c r="AL56" s="92"/>
      <c r="AM56" s="76" t="s">
        <v>278</v>
      </c>
      <c r="AN56" s="76" t="s">
        <v>178</v>
      </c>
      <c r="AO56" s="76">
        <v>67.61</v>
      </c>
      <c r="AP56" s="76" t="s">
        <v>178</v>
      </c>
      <c r="AQ56" s="168">
        <f>SUM(AN56:AP56)</f>
        <v>67.61</v>
      </c>
    </row>
    <row r="57" spans="14:43" x14ac:dyDescent="0.25">
      <c r="AB57" s="95"/>
      <c r="AC57" s="76">
        <v>6</v>
      </c>
      <c r="AD57" s="76">
        <v>52.57</v>
      </c>
      <c r="AE57" s="76">
        <v>1</v>
      </c>
      <c r="AF57" s="78">
        <f>SUM(AD57:AE57)</f>
        <v>53.57</v>
      </c>
      <c r="AL57" s="92" t="s">
        <v>213</v>
      </c>
      <c r="AM57" s="1">
        <v>1</v>
      </c>
      <c r="AN57" s="1">
        <v>11.8</v>
      </c>
      <c r="AO57" s="1">
        <v>48.31</v>
      </c>
      <c r="AP57" s="162">
        <v>2</v>
      </c>
      <c r="AQ57" s="168">
        <f>SUM(AN57:AP57)</f>
        <v>62.11</v>
      </c>
    </row>
    <row r="58" spans="14:43" ht="15" customHeight="1" x14ac:dyDescent="0.25">
      <c r="N58" s="91" t="s">
        <v>206</v>
      </c>
      <c r="O58" s="91"/>
      <c r="P58" s="91"/>
      <c r="Q58" s="91"/>
      <c r="R58" s="91"/>
      <c r="S58" s="91"/>
      <c r="T58" s="91"/>
      <c r="U58" s="91"/>
      <c r="AB58" s="92" t="s">
        <v>200</v>
      </c>
      <c r="AC58" s="1">
        <v>1</v>
      </c>
      <c r="AD58" s="1">
        <v>41.06</v>
      </c>
      <c r="AE58" s="1">
        <v>1</v>
      </c>
      <c r="AF58" s="78">
        <f>SUM(AD58:AE58)</f>
        <v>42.06</v>
      </c>
      <c r="AL58" s="92"/>
      <c r="AM58" s="1">
        <v>2</v>
      </c>
      <c r="AN58" s="1">
        <v>7.54</v>
      </c>
      <c r="AO58" s="1">
        <v>48.31</v>
      </c>
      <c r="AP58" s="162">
        <v>2</v>
      </c>
      <c r="AQ58" s="168">
        <f>SUM(AN58:AP58)</f>
        <v>57.85</v>
      </c>
    </row>
    <row r="59" spans="14:43" x14ac:dyDescent="0.25">
      <c r="N59" s="91"/>
      <c r="O59" s="91"/>
      <c r="P59" s="91"/>
      <c r="Q59" s="91"/>
      <c r="R59" s="91"/>
      <c r="S59" s="91"/>
      <c r="T59" s="91"/>
      <c r="U59" s="91"/>
      <c r="AB59" s="92"/>
      <c r="AC59" s="1">
        <v>2</v>
      </c>
      <c r="AD59" s="1">
        <v>37.06</v>
      </c>
      <c r="AE59" s="1">
        <v>1</v>
      </c>
      <c r="AF59" s="78">
        <f>SUM(AD59:AE59)</f>
        <v>38.06</v>
      </c>
      <c r="AL59" s="92"/>
      <c r="AM59" s="1">
        <v>3</v>
      </c>
      <c r="AN59" s="1">
        <v>4.03</v>
      </c>
      <c r="AO59" s="1">
        <v>48.31</v>
      </c>
      <c r="AP59" s="162">
        <v>2</v>
      </c>
      <c r="AQ59" s="168">
        <f>SUM(AN59:AP59)</f>
        <v>54.34</v>
      </c>
    </row>
    <row r="60" spans="14:43" x14ac:dyDescent="0.25">
      <c r="N60" s="91"/>
      <c r="O60" s="91"/>
      <c r="P60" s="91"/>
      <c r="Q60" s="91"/>
      <c r="R60" s="91"/>
      <c r="S60" s="91"/>
      <c r="T60" s="91"/>
      <c r="U60" s="91"/>
      <c r="AB60" s="92"/>
      <c r="AC60" s="1">
        <v>3</v>
      </c>
      <c r="AD60" s="1">
        <v>36.08</v>
      </c>
      <c r="AE60" s="1">
        <v>1</v>
      </c>
      <c r="AF60" s="78">
        <f>SUM(AD60:AE60)</f>
        <v>37.08</v>
      </c>
      <c r="AL60" s="92"/>
      <c r="AM60" s="1">
        <v>4</v>
      </c>
      <c r="AN60" s="1">
        <v>1.68</v>
      </c>
      <c r="AO60" s="1">
        <v>48.31</v>
      </c>
      <c r="AP60" s="162">
        <v>2</v>
      </c>
      <c r="AQ60" s="168">
        <f>SUM(AN60:AP60)</f>
        <v>51.99</v>
      </c>
    </row>
    <row r="61" spans="14:43" x14ac:dyDescent="0.25">
      <c r="N61" s="91"/>
      <c r="O61" s="91"/>
      <c r="P61" s="91"/>
      <c r="Q61" s="91"/>
      <c r="R61" s="91"/>
      <c r="S61" s="91"/>
      <c r="T61" s="91"/>
      <c r="U61" s="91"/>
      <c r="AB61" s="92"/>
      <c r="AC61" s="1">
        <v>4</v>
      </c>
      <c r="AD61" s="1">
        <v>38.299999999999997</v>
      </c>
      <c r="AE61" s="1">
        <v>1</v>
      </c>
      <c r="AF61" s="78">
        <f>SUM(AD61:AE61)</f>
        <v>39.299999999999997</v>
      </c>
      <c r="AL61" s="92"/>
      <c r="AM61" s="1">
        <v>5</v>
      </c>
      <c r="AN61" s="1">
        <v>2.4900000000000002</v>
      </c>
      <c r="AO61" s="1">
        <v>48.31</v>
      </c>
      <c r="AP61" s="162">
        <v>2</v>
      </c>
      <c r="AQ61" s="168">
        <f>SUM(AN61:AP61)</f>
        <v>52.800000000000004</v>
      </c>
    </row>
    <row r="62" spans="14:43" x14ac:dyDescent="0.25">
      <c r="N62" s="91"/>
      <c r="O62" s="91"/>
      <c r="P62" s="91"/>
      <c r="Q62" s="91"/>
      <c r="R62" s="91"/>
      <c r="S62" s="91"/>
      <c r="T62" s="91"/>
      <c r="U62" s="91"/>
      <c r="AB62" s="92"/>
      <c r="AC62" s="1">
        <v>5</v>
      </c>
      <c r="AD62" s="1">
        <v>41.73</v>
      </c>
      <c r="AE62" s="1">
        <v>1</v>
      </c>
      <c r="AF62" s="78">
        <f>SUM(AD62:AE62)</f>
        <v>42.73</v>
      </c>
      <c r="AL62" s="92"/>
      <c r="AM62" s="76">
        <v>6</v>
      </c>
      <c r="AN62" s="76">
        <v>6.76</v>
      </c>
      <c r="AO62" s="76">
        <v>48.31</v>
      </c>
      <c r="AP62" s="76">
        <v>2</v>
      </c>
      <c r="AQ62" s="168">
        <f>SUM(AN62:AP62)</f>
        <v>57.07</v>
      </c>
    </row>
    <row r="63" spans="14:43" x14ac:dyDescent="0.25">
      <c r="N63" s="15"/>
      <c r="O63" s="15"/>
      <c r="P63" s="15"/>
      <c r="Q63" s="15"/>
      <c r="R63" s="15"/>
      <c r="S63" s="15"/>
      <c r="AB63" s="95"/>
      <c r="AC63" s="76">
        <v>6</v>
      </c>
      <c r="AD63" s="76">
        <v>45.73</v>
      </c>
      <c r="AE63" s="76">
        <v>1</v>
      </c>
      <c r="AF63" s="78">
        <f>SUM(AD63:AE63)</f>
        <v>46.73</v>
      </c>
      <c r="AL63" s="92" t="s">
        <v>214</v>
      </c>
      <c r="AM63" s="1">
        <v>1</v>
      </c>
      <c r="AN63" s="1">
        <v>11.8</v>
      </c>
      <c r="AO63" s="1">
        <v>42.73</v>
      </c>
      <c r="AP63" s="162">
        <v>2</v>
      </c>
      <c r="AQ63" s="168">
        <f>SUM(AN63:AP63)</f>
        <v>56.53</v>
      </c>
    </row>
    <row r="64" spans="14:43" x14ac:dyDescent="0.25">
      <c r="N64" s="15"/>
      <c r="O64" s="15"/>
      <c r="P64" s="15"/>
      <c r="Q64" s="15"/>
      <c r="R64" s="15"/>
      <c r="S64" s="15"/>
      <c r="AB64" s="92" t="s">
        <v>201</v>
      </c>
      <c r="AC64" s="1">
        <v>1</v>
      </c>
      <c r="AD64" s="1">
        <v>35.97</v>
      </c>
      <c r="AE64" s="1">
        <v>1</v>
      </c>
      <c r="AF64" s="78">
        <f>SUM(AD64:AE64)</f>
        <v>36.97</v>
      </c>
      <c r="AL64" s="92"/>
      <c r="AM64" s="1">
        <v>2</v>
      </c>
      <c r="AN64" s="1">
        <v>7.54</v>
      </c>
      <c r="AO64" s="1">
        <v>42.73</v>
      </c>
      <c r="AP64" s="162">
        <v>2</v>
      </c>
      <c r="AQ64" s="168">
        <f>SUM(AN64:AP64)</f>
        <v>52.269999999999996</v>
      </c>
    </row>
    <row r="65" spans="14:43" x14ac:dyDescent="0.25">
      <c r="N65" s="22" t="s">
        <v>192</v>
      </c>
      <c r="O65" s="22" t="s">
        <v>13</v>
      </c>
      <c r="P65" s="22" t="s">
        <v>14</v>
      </c>
      <c r="Q65" s="22" t="s">
        <v>193</v>
      </c>
      <c r="R65" s="22" t="s">
        <v>16</v>
      </c>
      <c r="AB65" s="92"/>
      <c r="AC65" s="1">
        <v>2</v>
      </c>
      <c r="AD65" s="1">
        <v>31.96</v>
      </c>
      <c r="AE65" s="1">
        <v>1</v>
      </c>
      <c r="AF65" s="78">
        <f>SUM(AD65:AE65)</f>
        <v>32.96</v>
      </c>
      <c r="AL65" s="92"/>
      <c r="AM65" s="1">
        <v>3</v>
      </c>
      <c r="AN65" s="1">
        <v>4.03</v>
      </c>
      <c r="AO65" s="1">
        <v>42.73</v>
      </c>
      <c r="AP65" s="162">
        <v>2</v>
      </c>
      <c r="AQ65" s="168">
        <f>SUM(AN65:AP65)</f>
        <v>48.76</v>
      </c>
    </row>
    <row r="66" spans="14:43" x14ac:dyDescent="0.25">
      <c r="N66" s="10" t="s">
        <v>207</v>
      </c>
      <c r="O66" s="10">
        <v>6.95</v>
      </c>
      <c r="P66" s="10">
        <v>9.9499999999999993</v>
      </c>
      <c r="Q66" s="23">
        <f>O66*P66</f>
        <v>69.152500000000003</v>
      </c>
      <c r="R66" s="10">
        <v>14</v>
      </c>
      <c r="AB66" s="92"/>
      <c r="AC66" s="1">
        <v>3</v>
      </c>
      <c r="AD66" s="1">
        <v>30.94</v>
      </c>
      <c r="AE66" s="1">
        <v>1</v>
      </c>
      <c r="AF66" s="78">
        <f>SUM(AD66:AE66)</f>
        <v>31.94</v>
      </c>
      <c r="AL66" s="92"/>
      <c r="AM66" s="1">
        <v>4</v>
      </c>
      <c r="AN66" s="1">
        <v>1.68</v>
      </c>
      <c r="AO66" s="1">
        <v>42.73</v>
      </c>
      <c r="AP66" s="162">
        <v>2</v>
      </c>
      <c r="AQ66" s="168">
        <f>SUM(AN66:AP66)</f>
        <v>46.41</v>
      </c>
    </row>
    <row r="67" spans="14:43" x14ac:dyDescent="0.25">
      <c r="N67" s="10" t="s">
        <v>208</v>
      </c>
      <c r="O67" s="10">
        <v>6.11</v>
      </c>
      <c r="P67" s="10">
        <v>3.88</v>
      </c>
      <c r="Q67" s="23">
        <f t="shared" ref="Q67:Q83" si="4">O67*P67</f>
        <v>23.706800000000001</v>
      </c>
      <c r="R67" s="10">
        <v>6</v>
      </c>
      <c r="AB67" s="92"/>
      <c r="AC67" s="1">
        <v>4</v>
      </c>
      <c r="AD67" s="1">
        <v>33</v>
      </c>
      <c r="AE67" s="1">
        <v>1</v>
      </c>
      <c r="AF67" s="78">
        <f>SUM(AD67:AE67)</f>
        <v>34</v>
      </c>
      <c r="AL67" s="92"/>
      <c r="AM67" s="1">
        <v>5</v>
      </c>
      <c r="AN67" s="1">
        <v>2.4900000000000002</v>
      </c>
      <c r="AO67" s="1">
        <v>42.73</v>
      </c>
      <c r="AP67" s="162">
        <v>2</v>
      </c>
      <c r="AQ67" s="168">
        <f>SUM(AN67:AP67)</f>
        <v>47.22</v>
      </c>
    </row>
    <row r="68" spans="14:43" x14ac:dyDescent="0.25">
      <c r="N68" s="10" t="s">
        <v>209</v>
      </c>
      <c r="O68" s="10">
        <v>6.11</v>
      </c>
      <c r="P68" s="10">
        <v>3.88</v>
      </c>
      <c r="Q68" s="23">
        <f t="shared" si="4"/>
        <v>23.706800000000001</v>
      </c>
      <c r="R68" s="10">
        <v>6</v>
      </c>
      <c r="AB68" s="92"/>
      <c r="AC68" s="1">
        <v>5</v>
      </c>
      <c r="AD68" s="1">
        <v>36.659999999999997</v>
      </c>
      <c r="AE68" s="1">
        <v>1</v>
      </c>
      <c r="AF68" s="78">
        <f>SUM(AD68:AE68)</f>
        <v>37.659999999999997</v>
      </c>
      <c r="AL68" s="92"/>
      <c r="AM68" s="76">
        <v>6</v>
      </c>
      <c r="AN68" s="76">
        <v>6.76</v>
      </c>
      <c r="AO68" s="76">
        <v>42.73</v>
      </c>
      <c r="AP68" s="76">
        <v>2</v>
      </c>
      <c r="AQ68" s="168">
        <f>SUM(AN68:AP68)</f>
        <v>51.489999999999995</v>
      </c>
    </row>
    <row r="69" spans="14:43" x14ac:dyDescent="0.25">
      <c r="N69" s="10" t="s">
        <v>210</v>
      </c>
      <c r="O69" s="10">
        <v>9.44</v>
      </c>
      <c r="P69" s="10">
        <v>4.43</v>
      </c>
      <c r="Q69" s="23">
        <f t="shared" si="4"/>
        <v>41.819199999999995</v>
      </c>
      <c r="R69" s="10">
        <v>10</v>
      </c>
      <c r="AB69" s="92"/>
      <c r="AC69" s="1">
        <v>6</v>
      </c>
      <c r="AD69" s="1">
        <v>40.67</v>
      </c>
      <c r="AE69" s="1">
        <v>1</v>
      </c>
      <c r="AF69" s="78">
        <f>SUM(AD69:AE69)</f>
        <v>41.67</v>
      </c>
      <c r="AL69" s="92" t="s">
        <v>215</v>
      </c>
      <c r="AM69" s="1">
        <v>1</v>
      </c>
      <c r="AN69" s="1">
        <v>11.8</v>
      </c>
      <c r="AO69" s="1">
        <v>37.119999999999997</v>
      </c>
      <c r="AP69" s="162">
        <v>2</v>
      </c>
      <c r="AQ69" s="168">
        <f>SUM(AN69:AP69)</f>
        <v>50.92</v>
      </c>
    </row>
    <row r="70" spans="14:43" x14ac:dyDescent="0.25">
      <c r="N70" s="10" t="s">
        <v>211</v>
      </c>
      <c r="O70" s="10">
        <v>6.66</v>
      </c>
      <c r="P70" s="10">
        <v>3.88</v>
      </c>
      <c r="Q70" s="23">
        <f>O70*P70</f>
        <v>25.840800000000002</v>
      </c>
      <c r="R70" s="10">
        <v>6</v>
      </c>
      <c r="AB70" s="95"/>
      <c r="AC70" s="76" t="s">
        <v>272</v>
      </c>
      <c r="AD70" s="76">
        <v>48.92</v>
      </c>
      <c r="AE70" s="76">
        <v>4</v>
      </c>
      <c r="AF70" s="78">
        <f>SUM(AD70:AE70)</f>
        <v>52.92</v>
      </c>
      <c r="AL70" s="92"/>
      <c r="AM70" s="1">
        <v>2</v>
      </c>
      <c r="AN70" s="1">
        <v>7.54</v>
      </c>
      <c r="AO70" s="1">
        <v>37.119999999999997</v>
      </c>
      <c r="AP70" s="162">
        <v>2</v>
      </c>
      <c r="AQ70" s="168">
        <f>SUM(AN70:AP70)</f>
        <v>46.66</v>
      </c>
    </row>
    <row r="71" spans="14:43" x14ac:dyDescent="0.25">
      <c r="N71" s="10" t="s">
        <v>212</v>
      </c>
      <c r="O71" s="10">
        <v>6.66</v>
      </c>
      <c r="P71" s="10">
        <v>3.88</v>
      </c>
      <c r="Q71" s="23">
        <f t="shared" si="4"/>
        <v>25.840800000000002</v>
      </c>
      <c r="R71" s="10">
        <v>6</v>
      </c>
      <c r="AB71" s="92" t="s">
        <v>202</v>
      </c>
      <c r="AC71" s="1">
        <v>1</v>
      </c>
      <c r="AD71" s="1">
        <v>18.21</v>
      </c>
      <c r="AE71" s="1">
        <v>1</v>
      </c>
      <c r="AF71" s="78">
        <f>SUM(AD71:AE71)</f>
        <v>19.21</v>
      </c>
      <c r="AL71" s="92"/>
      <c r="AM71" s="1">
        <v>3</v>
      </c>
      <c r="AN71" s="1">
        <v>4.03</v>
      </c>
      <c r="AO71" s="1">
        <v>37.119999999999997</v>
      </c>
      <c r="AP71" s="162">
        <v>2</v>
      </c>
      <c r="AQ71" s="168">
        <f>SUM(AN71:AP71)</f>
        <v>43.15</v>
      </c>
    </row>
    <row r="72" spans="14:43" x14ac:dyDescent="0.25">
      <c r="N72" s="10" t="s">
        <v>213</v>
      </c>
      <c r="O72" s="10">
        <v>6.66</v>
      </c>
      <c r="P72" s="10">
        <v>3.88</v>
      </c>
      <c r="Q72" s="23">
        <f t="shared" si="4"/>
        <v>25.840800000000002</v>
      </c>
      <c r="R72" s="10">
        <v>6</v>
      </c>
      <c r="AB72" s="92"/>
      <c r="AC72" s="1">
        <v>2</v>
      </c>
      <c r="AD72" s="1">
        <v>22.22</v>
      </c>
      <c r="AE72" s="1">
        <v>1</v>
      </c>
      <c r="AF72" s="78">
        <f>SUM(AD72:AE72)</f>
        <v>23.22</v>
      </c>
      <c r="AL72" s="92"/>
      <c r="AM72" s="1">
        <v>4</v>
      </c>
      <c r="AN72" s="1">
        <v>1.68</v>
      </c>
      <c r="AO72" s="1">
        <v>37.119999999999997</v>
      </c>
      <c r="AP72" s="162">
        <v>2</v>
      </c>
      <c r="AQ72" s="168">
        <f>SUM(AN72:AP72)</f>
        <v>40.799999999999997</v>
      </c>
    </row>
    <row r="73" spans="14:43" x14ac:dyDescent="0.25">
      <c r="N73" s="10" t="s">
        <v>214</v>
      </c>
      <c r="O73" s="10">
        <v>6.66</v>
      </c>
      <c r="P73" s="10">
        <v>3.88</v>
      </c>
      <c r="Q73" s="23">
        <f t="shared" si="4"/>
        <v>25.840800000000002</v>
      </c>
      <c r="R73" s="10">
        <v>6</v>
      </c>
      <c r="AB73" s="92"/>
      <c r="AC73" s="1">
        <v>3</v>
      </c>
      <c r="AD73" s="1">
        <v>25.99</v>
      </c>
      <c r="AE73" s="1">
        <v>1</v>
      </c>
      <c r="AF73" s="78">
        <f>SUM(AD73:AE73)</f>
        <v>26.99</v>
      </c>
      <c r="AL73" s="92"/>
      <c r="AM73" s="1">
        <v>5</v>
      </c>
      <c r="AN73" s="1">
        <v>2.4900000000000002</v>
      </c>
      <c r="AO73" s="1">
        <v>37.119999999999997</v>
      </c>
      <c r="AP73" s="162">
        <v>2</v>
      </c>
      <c r="AQ73" s="168">
        <f>SUM(AN73:AP73)</f>
        <v>41.61</v>
      </c>
    </row>
    <row r="74" spans="14:43" x14ac:dyDescent="0.25">
      <c r="N74" s="10" t="s">
        <v>215</v>
      </c>
      <c r="O74" s="10">
        <v>6.66</v>
      </c>
      <c r="P74" s="10">
        <v>3.88</v>
      </c>
      <c r="Q74" s="23">
        <f t="shared" si="4"/>
        <v>25.840800000000002</v>
      </c>
      <c r="R74" s="10">
        <v>6</v>
      </c>
      <c r="AB74" s="92"/>
      <c r="AC74" s="1">
        <v>4</v>
      </c>
      <c r="AD74" s="1">
        <v>27.93</v>
      </c>
      <c r="AE74" s="1">
        <v>1</v>
      </c>
      <c r="AF74" s="78">
        <f>SUM(AD74:AE74)</f>
        <v>28.93</v>
      </c>
      <c r="AL74" s="92"/>
      <c r="AM74" s="76">
        <v>6</v>
      </c>
      <c r="AN74" s="76">
        <v>6.76</v>
      </c>
      <c r="AO74" s="76">
        <v>37.119999999999997</v>
      </c>
      <c r="AP74" s="76">
        <v>2</v>
      </c>
      <c r="AQ74" s="168">
        <f>SUM(AN74:AP74)</f>
        <v>45.879999999999995</v>
      </c>
    </row>
    <row r="75" spans="14:43" x14ac:dyDescent="0.25">
      <c r="N75" s="10" t="s">
        <v>216</v>
      </c>
      <c r="O75" s="10">
        <v>6.66</v>
      </c>
      <c r="P75" s="10">
        <v>3.88</v>
      </c>
      <c r="Q75" s="23">
        <f t="shared" si="4"/>
        <v>25.840800000000002</v>
      </c>
      <c r="R75" s="10">
        <v>6</v>
      </c>
      <c r="AB75" s="92"/>
      <c r="AC75" s="1">
        <v>5</v>
      </c>
      <c r="AD75" s="1">
        <v>31.59</v>
      </c>
      <c r="AE75" s="1">
        <v>1</v>
      </c>
      <c r="AF75" s="78">
        <f>SUM(AD75:AE75)</f>
        <v>32.590000000000003</v>
      </c>
      <c r="AL75" s="92" t="s">
        <v>216</v>
      </c>
      <c r="AM75" s="1">
        <v>1</v>
      </c>
      <c r="AN75" s="1">
        <v>11.8</v>
      </c>
      <c r="AO75" s="1">
        <v>36.74</v>
      </c>
      <c r="AP75" s="162">
        <v>2</v>
      </c>
      <c r="AQ75" s="168">
        <f>SUM(AN75:AP75)</f>
        <v>50.540000000000006</v>
      </c>
    </row>
    <row r="76" spans="14:43" x14ac:dyDescent="0.25">
      <c r="N76" s="10" t="s">
        <v>217</v>
      </c>
      <c r="O76" s="10">
        <v>6.11</v>
      </c>
      <c r="P76" s="10">
        <v>3.88</v>
      </c>
      <c r="Q76" s="23">
        <f t="shared" si="4"/>
        <v>23.706800000000001</v>
      </c>
      <c r="R76" s="10">
        <v>6</v>
      </c>
      <c r="AB76" s="92"/>
      <c r="AC76" s="76">
        <v>6</v>
      </c>
      <c r="AD76" s="76">
        <v>35.6</v>
      </c>
      <c r="AE76" s="76">
        <v>1</v>
      </c>
      <c r="AF76" s="78">
        <f>SUM(AD76:AE76)</f>
        <v>36.6</v>
      </c>
      <c r="AL76" s="92"/>
      <c r="AM76" s="1">
        <v>2</v>
      </c>
      <c r="AN76" s="1">
        <v>7.54</v>
      </c>
      <c r="AO76" s="1">
        <v>36.74</v>
      </c>
      <c r="AP76" s="162">
        <v>2</v>
      </c>
      <c r="AQ76" s="168">
        <f>SUM(AN76:AP76)</f>
        <v>46.28</v>
      </c>
    </row>
    <row r="77" spans="14:43" x14ac:dyDescent="0.25">
      <c r="N77" s="10" t="s">
        <v>218</v>
      </c>
      <c r="O77" s="10">
        <v>6.11</v>
      </c>
      <c r="P77" s="10">
        <v>3.88</v>
      </c>
      <c r="Q77" s="23">
        <f t="shared" si="4"/>
        <v>23.706800000000001</v>
      </c>
      <c r="R77" s="10">
        <v>6</v>
      </c>
      <c r="AB77" s="92" t="s">
        <v>203</v>
      </c>
      <c r="AC77" s="1">
        <v>1</v>
      </c>
      <c r="AD77" s="1">
        <v>31.34</v>
      </c>
      <c r="AE77" s="1">
        <v>1</v>
      </c>
      <c r="AF77" s="78">
        <f>SUM(AD77:AE77)</f>
        <v>32.340000000000003</v>
      </c>
      <c r="AL77" s="92"/>
      <c r="AM77" s="1">
        <v>3</v>
      </c>
      <c r="AN77" s="1">
        <v>4.03</v>
      </c>
      <c r="AO77" s="1">
        <v>36.74</v>
      </c>
      <c r="AP77" s="162">
        <v>2</v>
      </c>
      <c r="AQ77" s="168">
        <f>SUM(AN77:AP77)</f>
        <v>42.77</v>
      </c>
    </row>
    <row r="78" spans="14:43" x14ac:dyDescent="0.25">
      <c r="N78" s="10" t="s">
        <v>219</v>
      </c>
      <c r="O78" s="10">
        <v>5.56</v>
      </c>
      <c r="P78" s="10">
        <v>3.88</v>
      </c>
      <c r="Q78" s="23">
        <f t="shared" si="4"/>
        <v>21.572799999999997</v>
      </c>
      <c r="R78" s="10">
        <v>6</v>
      </c>
      <c r="AB78" s="92"/>
      <c r="AC78" s="1">
        <v>2</v>
      </c>
      <c r="AD78" s="1">
        <v>27.33</v>
      </c>
      <c r="AE78" s="1">
        <v>1</v>
      </c>
      <c r="AF78" s="78">
        <f>SUM(AD78:AE78)</f>
        <v>28.33</v>
      </c>
      <c r="AL78" s="92"/>
      <c r="AM78" s="1">
        <v>4</v>
      </c>
      <c r="AN78" s="1">
        <v>1.68</v>
      </c>
      <c r="AO78" s="1">
        <v>36.74</v>
      </c>
      <c r="AP78" s="162">
        <v>2</v>
      </c>
      <c r="AQ78" s="168">
        <f>SUM(AN78:AP78)</f>
        <v>40.42</v>
      </c>
    </row>
    <row r="79" spans="14:43" x14ac:dyDescent="0.25">
      <c r="N79" s="10" t="s">
        <v>220</v>
      </c>
      <c r="O79" s="10">
        <v>5.56</v>
      </c>
      <c r="P79" s="10">
        <v>3.88</v>
      </c>
      <c r="Q79" s="23">
        <f t="shared" si="4"/>
        <v>21.572799999999997</v>
      </c>
      <c r="R79" s="10">
        <v>6</v>
      </c>
      <c r="AB79" s="92"/>
      <c r="AC79" s="1">
        <v>3</v>
      </c>
      <c r="AD79" s="1">
        <v>26.28</v>
      </c>
      <c r="AE79" s="1">
        <v>1</v>
      </c>
      <c r="AF79" s="78">
        <f>SUM(AD79:AE79)</f>
        <v>27.28</v>
      </c>
      <c r="AL79" s="92"/>
      <c r="AM79" s="1">
        <v>5</v>
      </c>
      <c r="AN79" s="1">
        <v>2.4900000000000002</v>
      </c>
      <c r="AO79" s="1">
        <v>36.74</v>
      </c>
      <c r="AP79" s="162">
        <v>2</v>
      </c>
      <c r="AQ79" s="168">
        <f>SUM(AN79:AP79)</f>
        <v>41.230000000000004</v>
      </c>
    </row>
    <row r="80" spans="14:43" x14ac:dyDescent="0.25">
      <c r="N80" s="10" t="s">
        <v>221</v>
      </c>
      <c r="O80" s="10">
        <v>5.56</v>
      </c>
      <c r="P80" s="10">
        <v>3.88</v>
      </c>
      <c r="Q80" s="23">
        <f t="shared" si="4"/>
        <v>21.572799999999997</v>
      </c>
      <c r="R80" s="10">
        <v>6</v>
      </c>
      <c r="AB80" s="92"/>
      <c r="AC80" s="1">
        <v>4</v>
      </c>
      <c r="AD80" s="1">
        <v>28.02</v>
      </c>
      <c r="AE80" s="1">
        <v>1</v>
      </c>
      <c r="AF80" s="78">
        <f>SUM(AD80:AE80)</f>
        <v>29.02</v>
      </c>
      <c r="AL80" s="92"/>
      <c r="AM80" s="76">
        <v>6</v>
      </c>
      <c r="AN80" s="76">
        <v>6.76</v>
      </c>
      <c r="AO80" s="76">
        <v>36.74</v>
      </c>
      <c r="AP80" s="76">
        <v>2</v>
      </c>
      <c r="AQ80" s="168">
        <f>SUM(AN80:AP80)</f>
        <v>45.5</v>
      </c>
    </row>
    <row r="81" spans="2:43" x14ac:dyDescent="0.25">
      <c r="N81" s="10" t="s">
        <v>222</v>
      </c>
      <c r="O81" s="10">
        <v>5.56</v>
      </c>
      <c r="P81" s="10">
        <v>3.88</v>
      </c>
      <c r="Q81" s="23">
        <f t="shared" si="4"/>
        <v>21.572799999999997</v>
      </c>
      <c r="R81" s="10">
        <v>6</v>
      </c>
      <c r="AB81" s="92"/>
      <c r="AC81" s="1">
        <v>5</v>
      </c>
      <c r="AD81" s="1">
        <v>31.93</v>
      </c>
      <c r="AE81" s="1">
        <v>1</v>
      </c>
      <c r="AF81" s="78">
        <f>SUM(AD81:AE81)</f>
        <v>32.93</v>
      </c>
      <c r="AL81" s="92" t="s">
        <v>217</v>
      </c>
      <c r="AM81" s="1">
        <v>1</v>
      </c>
      <c r="AN81" s="1">
        <v>10.56</v>
      </c>
      <c r="AO81" s="1">
        <v>40.61</v>
      </c>
      <c r="AP81" s="162">
        <v>2</v>
      </c>
      <c r="AQ81" s="168">
        <f>SUM(AN81:AP81)</f>
        <v>53.17</v>
      </c>
    </row>
    <row r="82" spans="2:43" x14ac:dyDescent="0.25">
      <c r="N82" s="10" t="s">
        <v>223</v>
      </c>
      <c r="O82" s="10">
        <v>5.56</v>
      </c>
      <c r="P82" s="10">
        <v>3.88</v>
      </c>
      <c r="Q82" s="23">
        <f t="shared" si="4"/>
        <v>21.572799999999997</v>
      </c>
      <c r="R82" s="10">
        <v>6</v>
      </c>
      <c r="AB82" s="92"/>
      <c r="AC82" s="76">
        <v>6</v>
      </c>
      <c r="AD82" s="76">
        <v>35.94</v>
      </c>
      <c r="AE82" s="76">
        <v>1</v>
      </c>
      <c r="AF82" s="78">
        <f>SUM(AD82:AE82)</f>
        <v>36.94</v>
      </c>
      <c r="AL82" s="92"/>
      <c r="AM82" s="1">
        <v>2</v>
      </c>
      <c r="AN82" s="1">
        <v>7.45</v>
      </c>
      <c r="AO82" s="1">
        <v>40.61</v>
      </c>
      <c r="AP82" s="162">
        <v>2</v>
      </c>
      <c r="AQ82" s="168">
        <f>SUM(AN82:AP82)</f>
        <v>50.06</v>
      </c>
    </row>
    <row r="83" spans="2:43" x14ac:dyDescent="0.25">
      <c r="N83" s="10" t="s">
        <v>224</v>
      </c>
      <c r="O83" s="10">
        <v>5.56</v>
      </c>
      <c r="P83" s="10">
        <v>3.88</v>
      </c>
      <c r="Q83" s="23">
        <f t="shared" si="4"/>
        <v>21.572799999999997</v>
      </c>
      <c r="R83" s="24">
        <v>6</v>
      </c>
      <c r="AL83" s="92"/>
      <c r="AM83" s="1">
        <v>3</v>
      </c>
      <c r="AN83" s="1">
        <v>3.97</v>
      </c>
      <c r="AO83" s="1">
        <v>40.61</v>
      </c>
      <c r="AP83" s="162">
        <v>2</v>
      </c>
      <c r="AQ83" s="168">
        <f>SUM(AN83:AP83)</f>
        <v>46.58</v>
      </c>
    </row>
    <row r="84" spans="2:43" x14ac:dyDescent="0.25">
      <c r="R84" s="10">
        <f>SUM(R66:R83)</f>
        <v>120</v>
      </c>
      <c r="S84" s="21" t="s">
        <v>20</v>
      </c>
      <c r="AL84" s="92"/>
      <c r="AM84" s="1">
        <v>4</v>
      </c>
      <c r="AN84" s="1">
        <v>1.55</v>
      </c>
      <c r="AO84" s="1">
        <v>40.61</v>
      </c>
      <c r="AP84" s="162">
        <v>2</v>
      </c>
      <c r="AQ84" s="168">
        <f>SUM(AN84:AP84)</f>
        <v>44.16</v>
      </c>
    </row>
    <row r="85" spans="2:43" x14ac:dyDescent="0.25">
      <c r="AL85" s="92"/>
      <c r="AM85" s="1">
        <v>5</v>
      </c>
      <c r="AN85" s="1">
        <v>1.94</v>
      </c>
      <c r="AO85" s="1">
        <v>40.61</v>
      </c>
      <c r="AP85" s="162">
        <v>2</v>
      </c>
      <c r="AQ85" s="168">
        <f>SUM(AN85:AP85)</f>
        <v>44.55</v>
      </c>
    </row>
    <row r="86" spans="2:43" ht="15.75" x14ac:dyDescent="0.25">
      <c r="B86" s="89" t="s">
        <v>225</v>
      </c>
      <c r="C86" s="89"/>
      <c r="D86" s="89"/>
      <c r="E86" s="26">
        <f>SUM(R84,R47)</f>
        <v>192</v>
      </c>
      <c r="AE86" s="1" t="s">
        <v>280</v>
      </c>
      <c r="AF86" s="1">
        <f>AG7+AR7</f>
        <v>11289.990000000005</v>
      </c>
      <c r="AL86" s="95"/>
      <c r="AM86" s="76">
        <v>6</v>
      </c>
      <c r="AN86" s="76">
        <v>5.19</v>
      </c>
      <c r="AO86" s="76">
        <v>40.61</v>
      </c>
      <c r="AP86" s="76">
        <v>2</v>
      </c>
      <c r="AQ86" s="168">
        <f>SUM(AN86:AP86)</f>
        <v>47.8</v>
      </c>
    </row>
    <row r="87" spans="2:43" x14ac:dyDescent="0.25">
      <c r="AE87" s="1" t="s">
        <v>281</v>
      </c>
      <c r="AF87" s="1">
        <f>AG10+AR10</f>
        <v>5</v>
      </c>
      <c r="AL87" s="92" t="s">
        <v>218</v>
      </c>
      <c r="AM87" s="1">
        <v>1</v>
      </c>
      <c r="AN87" s="1">
        <v>10.56</v>
      </c>
      <c r="AO87" s="1">
        <v>34.69</v>
      </c>
      <c r="AP87" s="162">
        <v>2</v>
      </c>
      <c r="AQ87" s="168">
        <f>SUM(AN87:AP87)</f>
        <v>47.25</v>
      </c>
    </row>
    <row r="88" spans="2:43" x14ac:dyDescent="0.25">
      <c r="AL88" s="92"/>
      <c r="AM88" s="1">
        <v>2</v>
      </c>
      <c r="AN88" s="1">
        <v>7.45</v>
      </c>
      <c r="AO88" s="1">
        <v>34.69</v>
      </c>
      <c r="AP88" s="162">
        <v>2</v>
      </c>
      <c r="AQ88" s="168">
        <f>SUM(AN88:AP88)</f>
        <v>44.14</v>
      </c>
    </row>
    <row r="89" spans="2:43" x14ac:dyDescent="0.25">
      <c r="AL89" s="92"/>
      <c r="AM89" s="1">
        <v>3</v>
      </c>
      <c r="AN89" s="1">
        <v>3.97</v>
      </c>
      <c r="AO89" s="1">
        <v>34.69</v>
      </c>
      <c r="AP89" s="162">
        <v>2</v>
      </c>
      <c r="AQ89" s="168">
        <f>SUM(AN89:AP89)</f>
        <v>40.659999999999997</v>
      </c>
    </row>
    <row r="90" spans="2:43" x14ac:dyDescent="0.25">
      <c r="AL90" s="92"/>
      <c r="AM90" s="1">
        <v>4</v>
      </c>
      <c r="AN90" s="1">
        <v>1.55</v>
      </c>
      <c r="AO90" s="1">
        <v>34.69</v>
      </c>
      <c r="AP90" s="162">
        <v>2</v>
      </c>
      <c r="AQ90" s="168">
        <f>SUM(AN90:AP90)</f>
        <v>38.239999999999995</v>
      </c>
    </row>
    <row r="91" spans="2:43" x14ac:dyDescent="0.25">
      <c r="AL91" s="92"/>
      <c r="AM91" s="1">
        <v>5</v>
      </c>
      <c r="AN91" s="1">
        <v>1.94</v>
      </c>
      <c r="AO91" s="1">
        <v>34.69</v>
      </c>
      <c r="AP91" s="162">
        <v>2</v>
      </c>
      <c r="AQ91" s="168">
        <f>SUM(AN91:AP91)</f>
        <v>38.629999999999995</v>
      </c>
    </row>
    <row r="92" spans="2:43" x14ac:dyDescent="0.25">
      <c r="AL92" s="92"/>
      <c r="AM92" s="76">
        <v>6</v>
      </c>
      <c r="AN92" s="76">
        <v>5.19</v>
      </c>
      <c r="AO92" s="76">
        <v>34.69</v>
      </c>
      <c r="AP92" s="76">
        <v>2</v>
      </c>
      <c r="AQ92" s="168">
        <f>SUM(AN92:AP92)</f>
        <v>41.879999999999995</v>
      </c>
    </row>
    <row r="93" spans="2:43" x14ac:dyDescent="0.25">
      <c r="AL93" s="92" t="s">
        <v>219</v>
      </c>
      <c r="AM93" s="1">
        <v>1</v>
      </c>
      <c r="AN93" s="1">
        <v>9.98</v>
      </c>
      <c r="AO93" s="1">
        <v>19.21</v>
      </c>
      <c r="AP93" s="162">
        <v>2</v>
      </c>
      <c r="AQ93" s="168">
        <f>SUM(AN93:AP93)</f>
        <v>31.19</v>
      </c>
    </row>
    <row r="94" spans="2:43" x14ac:dyDescent="0.25">
      <c r="AL94" s="92"/>
      <c r="AM94" s="1">
        <v>2</v>
      </c>
      <c r="AN94" s="1">
        <v>7.22</v>
      </c>
      <c r="AO94" s="1">
        <v>19.21</v>
      </c>
      <c r="AP94" s="162">
        <v>2</v>
      </c>
      <c r="AQ94" s="168">
        <f>SUM(AN94:AP94)</f>
        <v>28.43</v>
      </c>
    </row>
    <row r="95" spans="2:43" x14ac:dyDescent="0.25">
      <c r="AL95" s="92"/>
      <c r="AM95" s="1">
        <v>3</v>
      </c>
      <c r="AN95" s="1">
        <v>3.42</v>
      </c>
      <c r="AO95" s="1">
        <v>19.21</v>
      </c>
      <c r="AP95" s="162">
        <v>2</v>
      </c>
      <c r="AQ95" s="168">
        <f>SUM(AN95:AP95)</f>
        <v>24.630000000000003</v>
      </c>
    </row>
    <row r="96" spans="2:43" x14ac:dyDescent="0.25">
      <c r="AL96" s="92"/>
      <c r="AM96" s="1">
        <v>4</v>
      </c>
      <c r="AN96" s="1">
        <v>1.46</v>
      </c>
      <c r="AO96" s="1">
        <v>19.21</v>
      </c>
      <c r="AP96" s="162">
        <v>2</v>
      </c>
      <c r="AQ96" s="168">
        <f>SUM(AN96:AP96)</f>
        <v>22.67</v>
      </c>
    </row>
    <row r="97" spans="38:43" x14ac:dyDescent="0.25">
      <c r="AL97" s="92"/>
      <c r="AM97" s="1">
        <v>5</v>
      </c>
      <c r="AN97" s="1">
        <v>2.0099999999999998</v>
      </c>
      <c r="AO97" s="1">
        <v>19.21</v>
      </c>
      <c r="AP97" s="162">
        <v>2</v>
      </c>
      <c r="AQ97" s="168">
        <f>SUM(AN97:AP97)</f>
        <v>23.22</v>
      </c>
    </row>
    <row r="98" spans="38:43" x14ac:dyDescent="0.25">
      <c r="AL98" s="92"/>
      <c r="AM98" s="76">
        <v>6</v>
      </c>
      <c r="AN98" s="76">
        <v>4.76</v>
      </c>
      <c r="AO98" s="76">
        <v>19.21</v>
      </c>
      <c r="AP98" s="76">
        <v>2</v>
      </c>
      <c r="AQ98" s="168">
        <f>SUM(AN98:AP98)</f>
        <v>25.97</v>
      </c>
    </row>
    <row r="99" spans="38:43" x14ac:dyDescent="0.25">
      <c r="AL99" s="92" t="s">
        <v>220</v>
      </c>
      <c r="AM99" s="1">
        <v>1</v>
      </c>
      <c r="AN99" s="1">
        <v>9.98</v>
      </c>
      <c r="AO99" s="1">
        <v>13.67</v>
      </c>
      <c r="AP99" s="162">
        <v>2</v>
      </c>
      <c r="AQ99" s="168">
        <f>SUM(AN99:AP99)</f>
        <v>25.65</v>
      </c>
    </row>
    <row r="100" spans="38:43" x14ac:dyDescent="0.25">
      <c r="AL100" s="92"/>
      <c r="AM100" s="1">
        <v>2</v>
      </c>
      <c r="AN100" s="1">
        <v>7.22</v>
      </c>
      <c r="AO100" s="1">
        <v>13.67</v>
      </c>
      <c r="AP100" s="162">
        <v>2</v>
      </c>
      <c r="AQ100" s="168">
        <f>SUM(AN100:AP100)</f>
        <v>22.89</v>
      </c>
    </row>
    <row r="101" spans="38:43" x14ac:dyDescent="0.25">
      <c r="AL101" s="92"/>
      <c r="AM101" s="1">
        <v>3</v>
      </c>
      <c r="AN101" s="1">
        <v>3.42</v>
      </c>
      <c r="AO101" s="1">
        <v>13.67</v>
      </c>
      <c r="AP101" s="162">
        <v>2</v>
      </c>
      <c r="AQ101" s="168">
        <f>SUM(AN101:AP101)</f>
        <v>19.09</v>
      </c>
    </row>
    <row r="102" spans="38:43" x14ac:dyDescent="0.25">
      <c r="AL102" s="92"/>
      <c r="AM102" s="1">
        <v>4</v>
      </c>
      <c r="AN102" s="1">
        <v>1.46</v>
      </c>
      <c r="AO102" s="1">
        <v>13.67</v>
      </c>
      <c r="AP102" s="162">
        <v>2</v>
      </c>
      <c r="AQ102" s="168">
        <f>SUM(AN102:AP102)</f>
        <v>17.13</v>
      </c>
    </row>
    <row r="103" spans="38:43" x14ac:dyDescent="0.25">
      <c r="AL103" s="92"/>
      <c r="AM103" s="1">
        <v>5</v>
      </c>
      <c r="AN103" s="1">
        <v>2.0099999999999998</v>
      </c>
      <c r="AO103" s="1">
        <v>13.67</v>
      </c>
      <c r="AP103" s="162">
        <v>2</v>
      </c>
      <c r="AQ103" s="168">
        <f>SUM(AN103:AP103)</f>
        <v>17.68</v>
      </c>
    </row>
    <row r="104" spans="38:43" x14ac:dyDescent="0.25">
      <c r="AL104" s="92"/>
      <c r="AM104" s="76">
        <v>6</v>
      </c>
      <c r="AN104" s="76">
        <v>4.76</v>
      </c>
      <c r="AO104" s="76">
        <v>13.67</v>
      </c>
      <c r="AP104" s="76">
        <v>2</v>
      </c>
      <c r="AQ104" s="168">
        <f>SUM(AN104:AP104)</f>
        <v>20.43</v>
      </c>
    </row>
    <row r="105" spans="38:43" x14ac:dyDescent="0.25">
      <c r="AL105" s="92" t="s">
        <v>221</v>
      </c>
      <c r="AM105" s="1">
        <v>1</v>
      </c>
      <c r="AN105" s="1">
        <v>9.98</v>
      </c>
      <c r="AO105" s="1">
        <v>13.34</v>
      </c>
      <c r="AP105" s="162">
        <v>2</v>
      </c>
      <c r="AQ105" s="168">
        <f>SUM(AN105:AP105)</f>
        <v>25.32</v>
      </c>
    </row>
    <row r="106" spans="38:43" x14ac:dyDescent="0.25">
      <c r="AL106" s="92"/>
      <c r="AM106" s="1">
        <v>2</v>
      </c>
      <c r="AN106" s="1">
        <v>7.22</v>
      </c>
      <c r="AO106" s="1">
        <v>13.34</v>
      </c>
      <c r="AP106" s="162">
        <v>2</v>
      </c>
      <c r="AQ106" s="168">
        <f>SUM(AN106:AP106)</f>
        <v>22.56</v>
      </c>
    </row>
    <row r="107" spans="38:43" x14ac:dyDescent="0.25">
      <c r="AL107" s="92"/>
      <c r="AM107" s="1">
        <v>3</v>
      </c>
      <c r="AN107" s="1">
        <v>3.42</v>
      </c>
      <c r="AO107" s="1">
        <v>13.34</v>
      </c>
      <c r="AP107" s="162">
        <v>2</v>
      </c>
      <c r="AQ107" s="168">
        <f>SUM(AN107:AP107)</f>
        <v>18.759999999999998</v>
      </c>
    </row>
    <row r="108" spans="38:43" x14ac:dyDescent="0.25">
      <c r="AL108" s="92"/>
      <c r="AM108" s="1">
        <v>4</v>
      </c>
      <c r="AN108" s="1">
        <v>1.46</v>
      </c>
      <c r="AO108" s="1">
        <v>13.34</v>
      </c>
      <c r="AP108" s="162">
        <v>2</v>
      </c>
      <c r="AQ108" s="168">
        <f>SUM(AN108:AP108)</f>
        <v>16.8</v>
      </c>
    </row>
    <row r="109" spans="38:43" x14ac:dyDescent="0.25">
      <c r="AL109" s="92"/>
      <c r="AM109" s="1">
        <v>5</v>
      </c>
      <c r="AN109" s="1">
        <v>2.0099999999999998</v>
      </c>
      <c r="AO109" s="1">
        <v>13.34</v>
      </c>
      <c r="AP109" s="162">
        <v>2</v>
      </c>
      <c r="AQ109" s="168">
        <f>SUM(AN109:AP109)</f>
        <v>17.350000000000001</v>
      </c>
    </row>
    <row r="110" spans="38:43" x14ac:dyDescent="0.25">
      <c r="AL110" s="92"/>
      <c r="AM110" s="76">
        <v>6</v>
      </c>
      <c r="AN110" s="76">
        <v>4.76</v>
      </c>
      <c r="AO110" s="76">
        <v>13.34</v>
      </c>
      <c r="AP110" s="76">
        <v>2</v>
      </c>
      <c r="AQ110" s="168">
        <f>SUM(AN110:AP110)</f>
        <v>20.100000000000001</v>
      </c>
    </row>
    <row r="111" spans="38:43" x14ac:dyDescent="0.25">
      <c r="AL111" s="92" t="s">
        <v>222</v>
      </c>
      <c r="AM111" s="1">
        <v>1</v>
      </c>
      <c r="AN111" s="1">
        <v>10.47</v>
      </c>
      <c r="AO111" s="1">
        <v>19.21</v>
      </c>
      <c r="AP111" s="162">
        <v>2</v>
      </c>
      <c r="AQ111" s="168">
        <f>SUM(AN111:AP111)</f>
        <v>31.68</v>
      </c>
    </row>
    <row r="112" spans="38:43" x14ac:dyDescent="0.25">
      <c r="AL112" s="92"/>
      <c r="AM112" s="1">
        <v>2</v>
      </c>
      <c r="AN112" s="1">
        <v>7.42</v>
      </c>
      <c r="AO112" s="1">
        <v>19.21</v>
      </c>
      <c r="AP112" s="162">
        <v>2</v>
      </c>
      <c r="AQ112" s="168">
        <f>SUM(AN112:AP112)</f>
        <v>28.630000000000003</v>
      </c>
    </row>
    <row r="113" spans="38:43" x14ac:dyDescent="0.25">
      <c r="AL113" s="92"/>
      <c r="AM113" s="1">
        <v>3</v>
      </c>
      <c r="AN113" s="1">
        <v>3.42</v>
      </c>
      <c r="AO113" s="1">
        <v>19.21</v>
      </c>
      <c r="AP113" s="162">
        <v>2</v>
      </c>
      <c r="AQ113" s="168">
        <f>SUM(AN113:AP113)</f>
        <v>24.630000000000003</v>
      </c>
    </row>
    <row r="114" spans="38:43" x14ac:dyDescent="0.25">
      <c r="AL114" s="92"/>
      <c r="AM114" s="1">
        <v>4</v>
      </c>
      <c r="AN114" s="1">
        <v>1.46</v>
      </c>
      <c r="AO114" s="1">
        <v>19.21</v>
      </c>
      <c r="AP114" s="162">
        <v>2</v>
      </c>
      <c r="AQ114" s="168">
        <f>SUM(AN114:AP114)</f>
        <v>22.67</v>
      </c>
    </row>
    <row r="115" spans="38:43" x14ac:dyDescent="0.25">
      <c r="AL115" s="92"/>
      <c r="AM115" s="1">
        <v>5</v>
      </c>
      <c r="AN115" s="1">
        <v>2.2400000000000002</v>
      </c>
      <c r="AO115" s="1">
        <v>19.21</v>
      </c>
      <c r="AP115" s="162">
        <v>2</v>
      </c>
      <c r="AQ115" s="168">
        <f>SUM(AN115:AP115)</f>
        <v>23.450000000000003</v>
      </c>
    </row>
    <row r="116" spans="38:43" x14ac:dyDescent="0.25">
      <c r="AL116" s="92"/>
      <c r="AM116" s="76">
        <v>6</v>
      </c>
      <c r="AN116" s="76">
        <v>5.3</v>
      </c>
      <c r="AO116" s="76">
        <v>19.21</v>
      </c>
      <c r="AP116" s="76">
        <v>2</v>
      </c>
      <c r="AQ116" s="168">
        <f>SUM(AN116:AP116)</f>
        <v>26.51</v>
      </c>
    </row>
    <row r="117" spans="38:43" x14ac:dyDescent="0.25">
      <c r="AL117" s="92" t="s">
        <v>223</v>
      </c>
      <c r="AM117" s="1">
        <v>1</v>
      </c>
      <c r="AN117" s="1">
        <v>10.47</v>
      </c>
      <c r="AO117" s="1">
        <v>13.67</v>
      </c>
      <c r="AP117" s="162">
        <v>2</v>
      </c>
      <c r="AQ117" s="168">
        <f>SUM(AN117:AP117)</f>
        <v>26.14</v>
      </c>
    </row>
    <row r="118" spans="38:43" x14ac:dyDescent="0.25">
      <c r="AL118" s="92"/>
      <c r="AM118" s="1">
        <v>2</v>
      </c>
      <c r="AN118" s="1">
        <v>7.42</v>
      </c>
      <c r="AO118" s="1">
        <v>13.67</v>
      </c>
      <c r="AP118" s="162">
        <v>2</v>
      </c>
      <c r="AQ118" s="168">
        <f>SUM(AN118:AP118)</f>
        <v>23.09</v>
      </c>
    </row>
    <row r="119" spans="38:43" x14ac:dyDescent="0.25">
      <c r="AL119" s="92"/>
      <c r="AM119" s="1">
        <v>3</v>
      </c>
      <c r="AN119" s="1">
        <v>3.42</v>
      </c>
      <c r="AO119" s="1">
        <v>13.67</v>
      </c>
      <c r="AP119" s="162">
        <v>2</v>
      </c>
      <c r="AQ119" s="168">
        <f>SUM(AN119:AP119)</f>
        <v>19.09</v>
      </c>
    </row>
    <row r="120" spans="38:43" x14ac:dyDescent="0.25">
      <c r="AL120" s="92"/>
      <c r="AM120" s="1">
        <v>4</v>
      </c>
      <c r="AN120" s="1">
        <v>1.46</v>
      </c>
      <c r="AO120" s="1">
        <v>13.67</v>
      </c>
      <c r="AP120" s="162">
        <v>2</v>
      </c>
      <c r="AQ120" s="168">
        <f>SUM(AN120:AP120)</f>
        <v>17.13</v>
      </c>
    </row>
    <row r="121" spans="38:43" x14ac:dyDescent="0.25">
      <c r="AL121" s="92"/>
      <c r="AM121" s="1">
        <v>5</v>
      </c>
      <c r="AN121" s="1">
        <v>2.2400000000000002</v>
      </c>
      <c r="AO121" s="1">
        <v>13.67</v>
      </c>
      <c r="AP121" s="162">
        <v>2</v>
      </c>
      <c r="AQ121" s="168">
        <f>SUM(AN121:AP121)</f>
        <v>17.91</v>
      </c>
    </row>
    <row r="122" spans="38:43" x14ac:dyDescent="0.25">
      <c r="AL122" s="92"/>
      <c r="AM122" s="76">
        <v>6</v>
      </c>
      <c r="AN122" s="76">
        <v>5.3</v>
      </c>
      <c r="AO122" s="76">
        <v>13.67</v>
      </c>
      <c r="AP122" s="76">
        <v>2</v>
      </c>
      <c r="AQ122" s="168">
        <f>SUM(AN122:AP122)</f>
        <v>20.97</v>
      </c>
    </row>
    <row r="123" spans="38:43" x14ac:dyDescent="0.25">
      <c r="AL123" s="92" t="s">
        <v>224</v>
      </c>
      <c r="AM123" s="1">
        <v>1</v>
      </c>
      <c r="AN123" s="1">
        <v>10.47</v>
      </c>
      <c r="AO123" s="1">
        <v>13.34</v>
      </c>
      <c r="AP123" s="162">
        <v>2</v>
      </c>
      <c r="AQ123" s="168">
        <f>SUM(AN123:AP123)</f>
        <v>25.810000000000002</v>
      </c>
    </row>
    <row r="124" spans="38:43" x14ac:dyDescent="0.25">
      <c r="AL124" s="92"/>
      <c r="AM124" s="1">
        <v>2</v>
      </c>
      <c r="AN124" s="1">
        <v>7.42</v>
      </c>
      <c r="AO124" s="1">
        <v>13.34</v>
      </c>
      <c r="AP124" s="162">
        <v>2</v>
      </c>
      <c r="AQ124" s="168">
        <f>SUM(AN124:AP124)</f>
        <v>22.759999999999998</v>
      </c>
    </row>
    <row r="125" spans="38:43" x14ac:dyDescent="0.25">
      <c r="AL125" s="92"/>
      <c r="AM125" s="1">
        <v>3</v>
      </c>
      <c r="AN125" s="1">
        <v>3.42</v>
      </c>
      <c r="AO125" s="1">
        <v>13.34</v>
      </c>
      <c r="AP125" s="162">
        <v>2</v>
      </c>
      <c r="AQ125" s="168">
        <f>SUM(AN125:AP125)</f>
        <v>18.759999999999998</v>
      </c>
    </row>
    <row r="126" spans="38:43" x14ac:dyDescent="0.25">
      <c r="AL126" s="92"/>
      <c r="AM126" s="1">
        <v>4</v>
      </c>
      <c r="AN126" s="1">
        <v>1.46</v>
      </c>
      <c r="AO126" s="1">
        <v>13.34</v>
      </c>
      <c r="AP126" s="162">
        <v>2</v>
      </c>
      <c r="AQ126" s="168">
        <f>SUM(AN126:AP126)</f>
        <v>16.8</v>
      </c>
    </row>
    <row r="127" spans="38:43" x14ac:dyDescent="0.25">
      <c r="AL127" s="92"/>
      <c r="AM127" s="1">
        <v>5</v>
      </c>
      <c r="AN127" s="1">
        <v>2.2400000000000002</v>
      </c>
      <c r="AO127" s="1">
        <v>13.34</v>
      </c>
      <c r="AP127" s="162">
        <v>2</v>
      </c>
      <c r="AQ127" s="168">
        <f>SUM(AN127:AP127)</f>
        <v>17.579999999999998</v>
      </c>
    </row>
    <row r="128" spans="38:43" x14ac:dyDescent="0.25">
      <c r="AL128" s="92"/>
      <c r="AM128" s="76">
        <v>6</v>
      </c>
      <c r="AN128" s="76">
        <v>5.3</v>
      </c>
      <c r="AO128" s="76">
        <v>13.34</v>
      </c>
      <c r="AP128" s="76">
        <v>2</v>
      </c>
      <c r="AQ128" s="169">
        <f>SUM(AN128:AP128)</f>
        <v>20.64</v>
      </c>
    </row>
  </sheetData>
  <mergeCells count="46">
    <mergeCell ref="AG7:AJ7"/>
    <mergeCell ref="AG10:AH10"/>
    <mergeCell ref="AR9:AS9"/>
    <mergeCell ref="AR10:AS10"/>
    <mergeCell ref="AL117:AL122"/>
    <mergeCell ref="AL123:AL128"/>
    <mergeCell ref="AR6:AU6"/>
    <mergeCell ref="AR7:AU7"/>
    <mergeCell ref="AL87:AL92"/>
    <mergeCell ref="AL93:AL98"/>
    <mergeCell ref="AL99:AL104"/>
    <mergeCell ref="AL105:AL110"/>
    <mergeCell ref="AL111:AL116"/>
    <mergeCell ref="AL22:AL27"/>
    <mergeCell ref="AL28:AL33"/>
    <mergeCell ref="AL34:AL43"/>
    <mergeCell ref="AL44:AL49"/>
    <mergeCell ref="AB71:AB76"/>
    <mergeCell ref="AB77:AB82"/>
    <mergeCell ref="AG6:AJ6"/>
    <mergeCell ref="AG9:AH9"/>
    <mergeCell ref="AL7:AL21"/>
    <mergeCell ref="AL57:AL62"/>
    <mergeCell ref="AL63:AL68"/>
    <mergeCell ref="AL69:AL74"/>
    <mergeCell ref="AL75:AL80"/>
    <mergeCell ref="AL50:AL56"/>
    <mergeCell ref="AL81:AL86"/>
    <mergeCell ref="AB46:AB51"/>
    <mergeCell ref="AB52:AB57"/>
    <mergeCell ref="AB58:AB63"/>
    <mergeCell ref="AB64:AB70"/>
    <mergeCell ref="AB14:AB26"/>
    <mergeCell ref="AB7:AB13"/>
    <mergeCell ref="AB27:AB32"/>
    <mergeCell ref="AB33:AB39"/>
    <mergeCell ref="AB40:AB45"/>
    <mergeCell ref="B86:D86"/>
    <mergeCell ref="B4:D4"/>
    <mergeCell ref="N58:U62"/>
    <mergeCell ref="B48:D48"/>
    <mergeCell ref="O25:T31"/>
    <mergeCell ref="C5:D5"/>
    <mergeCell ref="O10:T14"/>
    <mergeCell ref="O16:T23"/>
    <mergeCell ref="N51:S56"/>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0F3D-F5E8-46A6-9AF3-48ED7C22A71B}">
  <dimension ref="B4:J17"/>
  <sheetViews>
    <sheetView tabSelected="1" workbookViewId="0">
      <selection activeCell="G22" sqref="G22"/>
    </sheetView>
  </sheetViews>
  <sheetFormatPr defaultColWidth="8.85546875" defaultRowHeight="15" x14ac:dyDescent="0.25"/>
  <cols>
    <col min="5" max="5" width="13.42578125" customWidth="1"/>
    <col min="6" max="6" width="12" customWidth="1"/>
    <col min="7" max="7" width="24.28515625" bestFit="1" customWidth="1"/>
    <col min="8" max="8" width="18.42578125" customWidth="1"/>
    <col min="9" max="9" width="20.42578125" customWidth="1"/>
  </cols>
  <sheetData>
    <row r="4" spans="2:10" x14ac:dyDescent="0.25">
      <c r="D4" s="6"/>
      <c r="E4" s="6"/>
      <c r="F4" s="6"/>
      <c r="G4" s="6"/>
      <c r="H4" s="6"/>
      <c r="I4" s="6"/>
      <c r="J4" s="6"/>
    </row>
    <row r="5" spans="2:10" x14ac:dyDescent="0.25">
      <c r="D5" s="6"/>
      <c r="E5" s="6"/>
      <c r="F5" s="6"/>
      <c r="G5" s="6"/>
      <c r="H5" s="6"/>
      <c r="I5" s="6"/>
      <c r="J5" s="6"/>
    </row>
    <row r="6" spans="2:10" x14ac:dyDescent="0.25">
      <c r="D6" s="147" t="s">
        <v>178</v>
      </c>
      <c r="E6" s="147"/>
      <c r="F6" s="144" t="s">
        <v>226</v>
      </c>
      <c r="G6" s="144" t="s">
        <v>262</v>
      </c>
      <c r="H6" s="144" t="s">
        <v>227</v>
      </c>
      <c r="J6" s="6"/>
    </row>
    <row r="7" spans="2:10" x14ac:dyDescent="0.25">
      <c r="D7" s="161" t="s">
        <v>16</v>
      </c>
      <c r="E7" s="161"/>
      <c r="F7" s="159">
        <f>Building4!E86 + Building3!R66 + Building2!O100 + Building1!M59</f>
        <v>595</v>
      </c>
      <c r="G7" s="160">
        <v>9.99</v>
      </c>
      <c r="H7" s="160">
        <f>G7*F7</f>
        <v>5944.05</v>
      </c>
      <c r="I7" s="6" t="s">
        <v>261</v>
      </c>
    </row>
    <row r="8" spans="2:10" x14ac:dyDescent="0.25">
      <c r="B8" s="6"/>
      <c r="D8" s="156" t="s">
        <v>228</v>
      </c>
      <c r="E8" s="157"/>
      <c r="F8" s="158">
        <f>Building3!R77 + Building2!O98 + Building1!M64 + Building4!AF86</f>
        <v>24004.006666666668</v>
      </c>
      <c r="G8" s="148">
        <v>1.0210999999999999</v>
      </c>
      <c r="H8" s="148">
        <f>G8*F8</f>
        <v>24510.491207333333</v>
      </c>
      <c r="I8" t="s">
        <v>265</v>
      </c>
    </row>
    <row r="9" spans="2:10" x14ac:dyDescent="0.25">
      <c r="B9" s="6"/>
      <c r="D9" s="154" t="s">
        <v>229</v>
      </c>
      <c r="E9" s="155"/>
      <c r="F9" s="152">
        <f>Building3!S77 + Building1!M65 +Building2!O104 + Building1!V62 + Building4!AF87</f>
        <v>2119.7999999999997</v>
      </c>
      <c r="G9" s="149">
        <v>5.8890000000000002</v>
      </c>
      <c r="H9" s="160">
        <f>G9*F9</f>
        <v>12483.502199999999</v>
      </c>
      <c r="I9" s="153" t="s">
        <v>266</v>
      </c>
    </row>
    <row r="10" spans="2:10" x14ac:dyDescent="0.25">
      <c r="D10" s="156" t="s">
        <v>258</v>
      </c>
      <c r="E10" s="157"/>
      <c r="F10" s="151">
        <v>1</v>
      </c>
      <c r="G10" s="148">
        <v>5000</v>
      </c>
      <c r="H10" s="148">
        <f>G10*F10</f>
        <v>5000</v>
      </c>
    </row>
    <row r="11" spans="2:10" x14ac:dyDescent="0.25">
      <c r="D11" s="108" t="s">
        <v>260</v>
      </c>
      <c r="E11" s="109"/>
      <c r="F11" s="152">
        <v>4</v>
      </c>
      <c r="G11" s="149">
        <v>3000</v>
      </c>
      <c r="H11" s="160">
        <f>G11*F11</f>
        <v>12000</v>
      </c>
      <c r="J11" s="6"/>
    </row>
    <row r="12" spans="2:10" x14ac:dyDescent="0.25">
      <c r="D12" s="146" t="s">
        <v>259</v>
      </c>
      <c r="E12" s="146"/>
      <c r="F12" s="151">
        <v>8</v>
      </c>
      <c r="G12" s="148">
        <v>500</v>
      </c>
      <c r="H12" s="148">
        <f>G12*F12</f>
        <v>4000</v>
      </c>
      <c r="J12" s="6"/>
    </row>
    <row r="13" spans="2:10" x14ac:dyDescent="0.25">
      <c r="D13" s="108" t="s">
        <v>267</v>
      </c>
      <c r="E13" s="109"/>
      <c r="F13" s="36">
        <f>Building3!R81 + Building2!O102 + Building1!M63 + 6</f>
        <v>35</v>
      </c>
      <c r="G13" s="149">
        <v>44.99</v>
      </c>
      <c r="H13" s="150">
        <f>G13*F13</f>
        <v>1574.65</v>
      </c>
      <c r="I13" t="s">
        <v>268</v>
      </c>
      <c r="J13" s="6"/>
    </row>
    <row r="14" spans="2:10" x14ac:dyDescent="0.25">
      <c r="D14" s="145" t="s">
        <v>270</v>
      </c>
      <c r="E14" s="145"/>
      <c r="F14" s="158">
        <f>1 + 1 + 0 + 2</f>
        <v>4</v>
      </c>
      <c r="G14" s="148">
        <v>53.99</v>
      </c>
      <c r="H14" s="148">
        <f t="shared" ref="H14:H23" si="0">G14*F14</f>
        <v>215.96</v>
      </c>
      <c r="I14" t="s">
        <v>283</v>
      </c>
      <c r="J14" s="6"/>
    </row>
    <row r="15" spans="2:10" x14ac:dyDescent="0.25">
      <c r="D15" s="154" t="s">
        <v>282</v>
      </c>
      <c r="E15" s="155"/>
      <c r="F15" s="152">
        <f>2 + 3  +  4 + 3</f>
        <v>12</v>
      </c>
      <c r="G15" s="149">
        <v>99.9</v>
      </c>
      <c r="H15" s="160">
        <f>G15*F15</f>
        <v>1198.8000000000002</v>
      </c>
      <c r="I15" t="s">
        <v>284</v>
      </c>
      <c r="J15" s="6"/>
    </row>
    <row r="16" spans="2:10" x14ac:dyDescent="0.25">
      <c r="J16" s="6"/>
    </row>
    <row r="17" spans="4:5" x14ac:dyDescent="0.25">
      <c r="D17" s="170" t="s">
        <v>20</v>
      </c>
      <c r="E17" s="150">
        <f>SUM(H7:H15)</f>
        <v>66927.453407333334</v>
      </c>
    </row>
  </sheetData>
  <mergeCells count="10">
    <mergeCell ref="D6:E6"/>
    <mergeCell ref="D13:E13"/>
    <mergeCell ref="D15:E15"/>
    <mergeCell ref="D7:E7"/>
    <mergeCell ref="D11:E11"/>
    <mergeCell ref="D12:E12"/>
    <mergeCell ref="D14:E14"/>
    <mergeCell ref="D8:E8"/>
    <mergeCell ref="D9:E9"/>
    <mergeCell ref="D10:E10"/>
  </mergeCells>
  <hyperlinks>
    <hyperlink ref="I9" r:id="rId1" display="https://pt.vicedeal.com/products/10-pcs-lote-sc-apc-sc-upc-single-mode-simplex-fibra-optica-jumper-cable-5m-10m-15m-2-0-3-0mm-patch-cord-de-fibra-optica-ftth-cabo?msclkid=0f3d99f5aced16b894befc18512d5f0f&amp;utm_source=bing&amp;utm_medium=cpc&amp;utm_campaign=VD+PT+%7C+Shopping+%7C+Search&amp;utm_term=4576373580327097&amp;utm_content=Ad+group+%231&amp;variant=UHJvZHVjdFZhcmlhbnQ6NTA0NzYzMDM2" xr:uid="{FC1A21CD-58AB-4CAC-BD91-C668A0149B43}"/>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Building1</vt:lpstr>
      <vt:lpstr>Building2</vt:lpstr>
      <vt:lpstr>Building3</vt:lpstr>
      <vt:lpstr>Building4</vt:lpstr>
      <vt:lpstr>Inventario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dc:creator>
  <cp:keywords/>
  <dc:description/>
  <cp:lastModifiedBy>Eduardo Filipe Nolasco Carreiro</cp:lastModifiedBy>
  <cp:revision/>
  <cp:lastPrinted>2024-03-10T23:38:59Z</cp:lastPrinted>
  <dcterms:created xsi:type="dcterms:W3CDTF">2015-06-05T18:19:34Z</dcterms:created>
  <dcterms:modified xsi:type="dcterms:W3CDTF">2024-03-10T23:40:01Z</dcterms:modified>
  <cp:category/>
  <cp:contentStatus/>
</cp:coreProperties>
</file>