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autoCompressPictures="0"/>
  <mc:AlternateContent xmlns:mc="http://schemas.openxmlformats.org/markup-compatibility/2006">
    <mc:Choice Requires="x15">
      <x15ac:absPath xmlns:x15ac="http://schemas.microsoft.com/office/spreadsheetml/2010/11/ac" url="C:\Users\shrav\Desktop\Actuarial Science Club\"/>
    </mc:Choice>
  </mc:AlternateContent>
  <xr:revisionPtr revIDLastSave="0" documentId="13_ncr:1_{E8D97FF4-9D46-4E45-AE1A-59F71303AC00}" xr6:coauthVersionLast="45" xr6:coauthVersionMax="45" xr10:uidLastSave="{00000000-0000-0000-0000-000000000000}"/>
  <bookViews>
    <workbookView xWindow="-108" yWindow="-108" windowWidth="23256" windowHeight="12576" tabRatio="793" firstSheet="4" activeTab="5" xr2:uid="{00000000-000D-0000-FFFF-FFFF00000000}"/>
  </bookViews>
  <sheets>
    <sheet name="version" sheetId="17" state="hidden" r:id="rId1"/>
    <sheet name="Intro" sheetId="1" r:id="rId2"/>
    <sheet name="Inputs" sheetId="13" r:id="rId3"/>
    <sheet name="0. Adjust losses for new book" sheetId="16" r:id="rId4"/>
    <sheet name="1. Loss Development Factor" sheetId="15" r:id="rId5"/>
    <sheet name="2. Loss Trend Factor -- 1" sheetId="9" r:id="rId6"/>
    <sheet name="2. Loss Trend Factor -- 2" sheetId="11" r:id="rId7"/>
    <sheet name="3. ULAE Factor" sheetId="10" r:id="rId8"/>
    <sheet name="4. Expected loss and loss ratio" sheetId="2" r:id="rId9"/>
    <sheet name="Sheet1" sheetId="18" r:id="rId10"/>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TRUE</definedName>
    <definedName name="_AtRisk_SimSetting_ConvergencePerformStdDeviationTest" hidden="1">FALSE</definedName>
    <definedName name="_AtRisk_SimSetting_ConvergenceTestAllOutputs" hidden="1">TRUE</definedName>
    <definedName name="_AtRisk_SimSetting_ConvergenceTestingPeriod" hidden="1">1000</definedName>
    <definedName name="_AtRisk_SimSetting_ConvergenceTolerance" hidden="1">0.03</definedName>
    <definedName name="_AtRisk_SimSetting_LiveUpdate" hidden="1">FALSE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FALSE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ompany">Inputs!$A$8</definedName>
    <definedName name="EffDate">Inputs!$A$5</definedName>
    <definedName name="EvalDate">Inputs!$A$4</definedName>
    <definedName name="LatestYear">Inputs!$A$3</definedName>
    <definedName name="LOB">Inputs!$A$9</definedName>
    <definedName name="_xlnm.Print_Area" localSheetId="5">'2. Loss Trend Factor -- 1'!$A$1:$H$28</definedName>
    <definedName name="_xlnm.Print_Area" localSheetId="8">'4. Expected loss and loss ratio'!$A$1:$H$18</definedName>
    <definedName name="_xlnm.Print_Area" localSheetId="1">Intro!$B$10:$E$57</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315000</definedName>
    <definedName name="RiskHasSettings" hidden="1">6</definedName>
    <definedName name="RiskMinimizeOnStart" hidden="1">TRUE</definedName>
    <definedName name="RiskMonitorConvergence" hidden="1">TRUE</definedName>
    <definedName name="RiskMultipleCPUSupportEnabled" hidden="1">TRUE</definedName>
    <definedName name="RiskNumIterations" hidden="1">50000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 name="State">Inputs!$A$7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E19" i="15" l="1"/>
  <c r="E29" i="15" s="1"/>
  <c r="D19" i="15"/>
  <c r="B4" i="18"/>
  <c r="B2" i="18"/>
  <c r="M17" i="15"/>
  <c r="M16" i="15"/>
  <c r="C16" i="15"/>
  <c r="R10" i="15"/>
  <c r="D32" i="15"/>
  <c r="G25" i="9"/>
  <c r="G15" i="16" l="1"/>
  <c r="F15" i="16"/>
  <c r="F7" i="16"/>
  <c r="F6" i="16"/>
  <c r="O4" i="15"/>
  <c r="R11" i="15"/>
  <c r="R9" i="15"/>
  <c r="Q12" i="15"/>
  <c r="N9" i="2" s="1"/>
  <c r="Q11" i="15"/>
  <c r="Q10" i="15"/>
  <c r="Q9" i="15"/>
  <c r="P13" i="15"/>
  <c r="N10" i="2" s="1"/>
  <c r="P12" i="15"/>
  <c r="O22" i="15" s="1"/>
  <c r="P11" i="15"/>
  <c r="P10" i="15"/>
  <c r="O10" i="15"/>
  <c r="P9" i="15"/>
  <c r="O14" i="15"/>
  <c r="N11" i="2" s="1"/>
  <c r="O13" i="15"/>
  <c r="O12" i="15"/>
  <c r="O11" i="15"/>
  <c r="O9" i="15"/>
  <c r="N15" i="15"/>
  <c r="N12" i="2" s="1"/>
  <c r="N14" i="15"/>
  <c r="N13" i="15"/>
  <c r="N12" i="15"/>
  <c r="N11" i="15"/>
  <c r="N10" i="15"/>
  <c r="N9" i="15"/>
  <c r="R32" i="15"/>
  <c r="R33" i="15" s="1"/>
  <c r="E4" i="15"/>
  <c r="H33" i="15"/>
  <c r="K36" i="15"/>
  <c r="K37" i="15"/>
  <c r="K38" i="15" s="1"/>
  <c r="K39" i="15" s="1"/>
  <c r="K40" i="15" s="1"/>
  <c r="K27" i="15"/>
  <c r="K28" i="15" s="1"/>
  <c r="K29" i="15" s="1"/>
  <c r="K30" i="15" s="1"/>
  <c r="K32" i="15" s="1"/>
  <c r="K33" i="15" s="1"/>
  <c r="Q22" i="15"/>
  <c r="Q23" i="15"/>
  <c r="Q24" i="15"/>
  <c r="P23" i="15"/>
  <c r="P24" i="15"/>
  <c r="O24" i="15"/>
  <c r="R24" i="15"/>
  <c r="L15" i="15"/>
  <c r="L14" i="15"/>
  <c r="L24" i="15" s="1"/>
  <c r="R23" i="15"/>
  <c r="R22" i="15"/>
  <c r="R21" i="15"/>
  <c r="R20" i="15"/>
  <c r="R19" i="15"/>
  <c r="R18" i="15"/>
  <c r="Q18" i="15"/>
  <c r="P18" i="15"/>
  <c r="O18" i="15"/>
  <c r="N18" i="15"/>
  <c r="O3" i="15"/>
  <c r="O2" i="15"/>
  <c r="E3" i="15"/>
  <c r="A36" i="15"/>
  <c r="A37" i="15"/>
  <c r="A38" i="15" s="1"/>
  <c r="A39" i="15" s="1"/>
  <c r="A40" i="15" s="1"/>
  <c r="A27" i="15"/>
  <c r="A28" i="15"/>
  <c r="A29" i="15"/>
  <c r="A30" i="15"/>
  <c r="A32" i="15"/>
  <c r="A33" i="15" s="1"/>
  <c r="G19" i="15"/>
  <c r="G20" i="15"/>
  <c r="G21" i="15"/>
  <c r="G22" i="15"/>
  <c r="G23" i="15"/>
  <c r="G24" i="15"/>
  <c r="G29" i="15"/>
  <c r="F19" i="15"/>
  <c r="F30" i="15" s="1"/>
  <c r="F20" i="15"/>
  <c r="F21" i="15"/>
  <c r="F22" i="15"/>
  <c r="F23" i="15"/>
  <c r="F24" i="15"/>
  <c r="E30" i="15"/>
  <c r="E20" i="15"/>
  <c r="E28" i="15" s="1"/>
  <c r="E21" i="15"/>
  <c r="E22" i="15"/>
  <c r="E23" i="15"/>
  <c r="E24" i="15"/>
  <c r="E27" i="15"/>
  <c r="E32" i="15"/>
  <c r="O32" i="15" s="1"/>
  <c r="D20" i="15"/>
  <c r="D21" i="15"/>
  <c r="D22" i="15"/>
  <c r="D23" i="15"/>
  <c r="D29" i="15" s="1"/>
  <c r="D24" i="15"/>
  <c r="H24" i="15"/>
  <c r="B15" i="15"/>
  <c r="B14" i="15" s="1"/>
  <c r="H23" i="15"/>
  <c r="H22" i="15"/>
  <c r="H21" i="15"/>
  <c r="H20" i="15"/>
  <c r="H19" i="15"/>
  <c r="H18" i="15"/>
  <c r="G18" i="15"/>
  <c r="F18" i="15"/>
  <c r="E18" i="15"/>
  <c r="D18" i="15"/>
  <c r="E2" i="15"/>
  <c r="G27" i="15"/>
  <c r="G32" i="15" s="1"/>
  <c r="F27" i="15"/>
  <c r="F32" i="15" s="1"/>
  <c r="F28" i="15"/>
  <c r="F26" i="15"/>
  <c r="G26" i="15"/>
  <c r="F29" i="15"/>
  <c r="G30" i="15"/>
  <c r="Z4" i="9"/>
  <c r="Z79" i="9"/>
  <c r="D6" i="9"/>
  <c r="E6" i="9"/>
  <c r="G13" i="9"/>
  <c r="AB13" i="9"/>
  <c r="AB38" i="9" s="1"/>
  <c r="F14" i="9"/>
  <c r="AA14" i="9" s="1"/>
  <c r="X9" i="9"/>
  <c r="X10" i="9"/>
  <c r="X11" i="9"/>
  <c r="X12" i="9"/>
  <c r="X13" i="9"/>
  <c r="X14" i="9"/>
  <c r="X15" i="9"/>
  <c r="X16" i="9"/>
  <c r="X17" i="9"/>
  <c r="X18" i="9"/>
  <c r="X19" i="9"/>
  <c r="X20" i="9"/>
  <c r="X21" i="9"/>
  <c r="X22" i="9"/>
  <c r="X23" i="9"/>
  <c r="X24" i="9"/>
  <c r="X25" i="9"/>
  <c r="X26" i="9"/>
  <c r="X27" i="9"/>
  <c r="X8" i="9"/>
  <c r="H22" i="9"/>
  <c r="H23" i="9"/>
  <c r="H24" i="9"/>
  <c r="H25" i="9"/>
  <c r="H26" i="9"/>
  <c r="H27" i="9"/>
  <c r="H16" i="9"/>
  <c r="H17" i="9"/>
  <c r="H18" i="9"/>
  <c r="H19" i="9"/>
  <c r="H20" i="9"/>
  <c r="H21" i="9"/>
  <c r="H8" i="9"/>
  <c r="H9" i="9"/>
  <c r="H10" i="9"/>
  <c r="H11" i="9"/>
  <c r="H12" i="9"/>
  <c r="H13" i="9"/>
  <c r="H14" i="9"/>
  <c r="H15" i="9"/>
  <c r="G22" i="9"/>
  <c r="G23" i="9"/>
  <c r="AB23" i="9" s="1"/>
  <c r="G24" i="9"/>
  <c r="G26" i="9"/>
  <c r="G27" i="9"/>
  <c r="AB27" i="9" s="1"/>
  <c r="AB52" i="9" s="1"/>
  <c r="G16" i="9"/>
  <c r="G17" i="9"/>
  <c r="G18" i="9"/>
  <c r="G19" i="9"/>
  <c r="AB19" i="9" s="1"/>
  <c r="AB44" i="9" s="1"/>
  <c r="G20" i="9"/>
  <c r="G21" i="9"/>
  <c r="G8" i="9"/>
  <c r="G9" i="9"/>
  <c r="AB9" i="9" s="1"/>
  <c r="G10" i="9"/>
  <c r="G11" i="9"/>
  <c r="G12" i="9"/>
  <c r="G14" i="9"/>
  <c r="G15" i="9"/>
  <c r="F22" i="9"/>
  <c r="F23" i="9"/>
  <c r="AA23" i="9"/>
  <c r="F24" i="9"/>
  <c r="F25" i="9"/>
  <c r="F26" i="9"/>
  <c r="F27" i="9"/>
  <c r="F16" i="9"/>
  <c r="F17" i="9"/>
  <c r="F18" i="9"/>
  <c r="F19" i="9"/>
  <c r="AA19" i="9" s="1"/>
  <c r="F20" i="9"/>
  <c r="F21" i="9"/>
  <c r="F8" i="9"/>
  <c r="F9" i="9"/>
  <c r="AA9" i="9"/>
  <c r="Y9" i="9" s="1"/>
  <c r="F10" i="9"/>
  <c r="F11" i="9"/>
  <c r="F12" i="9"/>
  <c r="F13" i="9"/>
  <c r="AA13" i="9" s="1"/>
  <c r="F15" i="9"/>
  <c r="AB80" i="9"/>
  <c r="AI80" i="9" s="1"/>
  <c r="AB79" i="9"/>
  <c r="AI79" i="9" s="1"/>
  <c r="AB78" i="9"/>
  <c r="AI78" i="9"/>
  <c r="AB77" i="9"/>
  <c r="AI77" i="9" s="1"/>
  <c r="W26" i="9"/>
  <c r="W25" i="9"/>
  <c r="W24" i="9"/>
  <c r="W23" i="9" s="1"/>
  <c r="W22" i="9" s="1"/>
  <c r="W21" i="9" s="1"/>
  <c r="W20" i="9" s="1"/>
  <c r="W19" i="9" s="1"/>
  <c r="W18" i="9" s="1"/>
  <c r="W17" i="9" s="1"/>
  <c r="W16" i="9" s="1"/>
  <c r="W15" i="9" s="1"/>
  <c r="W14" i="9" s="1"/>
  <c r="W13" i="9" s="1"/>
  <c r="AD20" i="9"/>
  <c r="AD21" i="9" s="1"/>
  <c r="AD22" i="9" s="1"/>
  <c r="AD23" i="9" s="1"/>
  <c r="AD24" i="9" s="1"/>
  <c r="Y6" i="9"/>
  <c r="Z6" i="9" s="1"/>
  <c r="AA6" i="9" s="1"/>
  <c r="AB6" i="9" s="1"/>
  <c r="AC6" i="9" s="1"/>
  <c r="Z3" i="9"/>
  <c r="Z2" i="9"/>
  <c r="A4" i="9"/>
  <c r="A3" i="9"/>
  <c r="A2" i="9"/>
  <c r="I20" i="9"/>
  <c r="I21" i="9" s="1"/>
  <c r="I22" i="9" s="1"/>
  <c r="I23" i="9" s="1"/>
  <c r="I24" i="9" s="1"/>
  <c r="F6" i="9"/>
  <c r="G6" i="9" s="1"/>
  <c r="H6" i="9" s="1"/>
  <c r="B26" i="9"/>
  <c r="B25" i="9" s="1"/>
  <c r="B24" i="9" s="1"/>
  <c r="B23" i="9" s="1"/>
  <c r="P11" i="9"/>
  <c r="AA27" i="9"/>
  <c r="Y27" i="9" s="1"/>
  <c r="AA10" i="9"/>
  <c r="AB10" i="9"/>
  <c r="AB35" i="9" s="1"/>
  <c r="AA22" i="9"/>
  <c r="Y22" i="9" s="1"/>
  <c r="AB24" i="9"/>
  <c r="AB49" i="9" s="1"/>
  <c r="AB8" i="9"/>
  <c r="AB33" i="9" s="1"/>
  <c r="O8" i="9"/>
  <c r="P9" i="9"/>
  <c r="N12" i="9"/>
  <c r="AB16" i="9"/>
  <c r="AB41" i="9" s="1"/>
  <c r="AA17" i="9"/>
  <c r="N10" i="9"/>
  <c r="AA26" i="9"/>
  <c r="N13" i="9"/>
  <c r="AB21" i="9"/>
  <c r="AB46" i="9" s="1"/>
  <c r="O10" i="9"/>
  <c r="AA11" i="9"/>
  <c r="Y11" i="9" s="1"/>
  <c r="AB18" i="9"/>
  <c r="N9" i="9"/>
  <c r="P12" i="9"/>
  <c r="AA8" i="9"/>
  <c r="AB15" i="9"/>
  <c r="AB40" i="9" s="1"/>
  <c r="AB12" i="9"/>
  <c r="AB37" i="9" s="1"/>
  <c r="AB25" i="9"/>
  <c r="AB50" i="9" s="1"/>
  <c r="AB22" i="9"/>
  <c r="P10" i="9"/>
  <c r="P13" i="9"/>
  <c r="N11" i="9"/>
  <c r="P8" i="9"/>
  <c r="Y14" i="9"/>
  <c r="AA12" i="9"/>
  <c r="Y12" i="9" s="1"/>
  <c r="AA25" i="9"/>
  <c r="Y25" i="9" s="1"/>
  <c r="AB17" i="9"/>
  <c r="AB42" i="9" s="1"/>
  <c r="AA15" i="9"/>
  <c r="Y15" i="9" s="1"/>
  <c r="AA21" i="9"/>
  <c r="Y21" i="9" s="1"/>
  <c r="AB11" i="9"/>
  <c r="AB36" i="9" s="1"/>
  <c r="AA18" i="9"/>
  <c r="AB26" i="9"/>
  <c r="AB51" i="9" s="1"/>
  <c r="AA20" i="9"/>
  <c r="AB20" i="9"/>
  <c r="AB14" i="9"/>
  <c r="AB39" i="9" s="1"/>
  <c r="AA24" i="9"/>
  <c r="Y24" i="9" s="1"/>
  <c r="AA16" i="9"/>
  <c r="P17" i="9"/>
  <c r="AC26" i="9"/>
  <c r="Y26" i="9"/>
  <c r="Y8" i="9"/>
  <c r="P16" i="9"/>
  <c r="AF78" i="9"/>
  <c r="AF79" i="9"/>
  <c r="AK17" i="9"/>
  <c r="AM79" i="9"/>
  <c r="Z78" i="9"/>
  <c r="AK16" i="9"/>
  <c r="AM78" i="9" s="1"/>
  <c r="L4" i="11"/>
  <c r="Q14" i="11"/>
  <c r="Q13" i="11"/>
  <c r="Q12" i="11" s="1"/>
  <c r="R12" i="11" s="1"/>
  <c r="F14" i="11"/>
  <c r="F13" i="11"/>
  <c r="F12" i="11" s="1"/>
  <c r="A14" i="11"/>
  <c r="A13" i="11"/>
  <c r="A12" i="11"/>
  <c r="C12" i="11" s="1"/>
  <c r="L14" i="11"/>
  <c r="L13" i="11" s="1"/>
  <c r="L17" i="11"/>
  <c r="L18" i="11"/>
  <c r="L19" i="11" s="1"/>
  <c r="L20" i="11"/>
  <c r="L21" i="11" s="1"/>
  <c r="L22" i="11" s="1"/>
  <c r="M20" i="11"/>
  <c r="N6" i="11"/>
  <c r="O6" i="11" s="1"/>
  <c r="P6" i="11" s="1"/>
  <c r="Q6" i="11" s="1"/>
  <c r="R6" i="11" s="1"/>
  <c r="S6" i="11" s="1"/>
  <c r="L3" i="11"/>
  <c r="L2" i="11"/>
  <c r="B20" i="11"/>
  <c r="A4" i="11"/>
  <c r="A3" i="11"/>
  <c r="A2" i="11"/>
  <c r="A17" i="11"/>
  <c r="A18" i="11" s="1"/>
  <c r="A19" i="11" s="1"/>
  <c r="A20" i="11" s="1"/>
  <c r="A21" i="11" s="1"/>
  <c r="A22" i="11" s="1"/>
  <c r="C6" i="11"/>
  <c r="D6" i="11"/>
  <c r="E6" i="11"/>
  <c r="F6" i="11" s="1"/>
  <c r="G6" i="11" s="1"/>
  <c r="H6" i="11" s="1"/>
  <c r="A11" i="11"/>
  <c r="C11" i="11" s="1"/>
  <c r="C14" i="11"/>
  <c r="C13" i="11"/>
  <c r="E11" i="11"/>
  <c r="E12" i="11"/>
  <c r="E13" i="11"/>
  <c r="G13" i="11" s="1"/>
  <c r="E14" i="11"/>
  <c r="G14" i="11"/>
  <c r="E10" i="11"/>
  <c r="P12" i="11"/>
  <c r="P13" i="11"/>
  <c r="R13" i="11" s="1"/>
  <c r="P11" i="11"/>
  <c r="P14" i="11"/>
  <c r="R14" i="11" s="1"/>
  <c r="P10" i="11"/>
  <c r="B10" i="11"/>
  <c r="B11" i="11" s="1"/>
  <c r="M10" i="11"/>
  <c r="M11" i="11" s="1"/>
  <c r="D13" i="10"/>
  <c r="C13" i="10"/>
  <c r="E13" i="10"/>
  <c r="E15" i="10" s="1"/>
  <c r="E16" i="10" s="1"/>
  <c r="L10" i="10"/>
  <c r="L13" i="10" s="1"/>
  <c r="L11" i="10"/>
  <c r="L12" i="10"/>
  <c r="I4" i="10"/>
  <c r="J10" i="10"/>
  <c r="J11" i="10"/>
  <c r="J12" i="10"/>
  <c r="K6" i="10"/>
  <c r="L6" i="10"/>
  <c r="M6" i="10"/>
  <c r="K15" i="10" s="1"/>
  <c r="K16" i="10" s="1"/>
  <c r="K10" i="10"/>
  <c r="K11" i="10"/>
  <c r="K12" i="10"/>
  <c r="I12" i="10"/>
  <c r="I11" i="10"/>
  <c r="I10" i="10" s="1"/>
  <c r="I3" i="10"/>
  <c r="I2" i="10"/>
  <c r="A4" i="10"/>
  <c r="A3" i="10"/>
  <c r="A2" i="10"/>
  <c r="C6" i="10"/>
  <c r="D6" i="10" s="1"/>
  <c r="E6" i="10" s="1"/>
  <c r="C15" i="10" s="1"/>
  <c r="C16" i="10" s="1"/>
  <c r="A12" i="10"/>
  <c r="A11" i="10"/>
  <c r="A10" i="10"/>
  <c r="E11" i="10"/>
  <c r="E12" i="10"/>
  <c r="E10" i="10"/>
  <c r="L4" i="2"/>
  <c r="M9" i="2" a="1"/>
  <c r="M9" i="2" s="1"/>
  <c r="M14" i="2" s="1"/>
  <c r="M8" i="2"/>
  <c r="M12" i="2"/>
  <c r="O8" i="2"/>
  <c r="D8" i="2"/>
  <c r="C12" i="2"/>
  <c r="C11" i="2"/>
  <c r="C10" i="2"/>
  <c r="C8" i="2"/>
  <c r="C9" i="2"/>
  <c r="N6" i="2"/>
  <c r="O6" i="2"/>
  <c r="P6" i="2" s="1"/>
  <c r="Q6" i="2" s="1"/>
  <c r="R6" i="2" s="1"/>
  <c r="S6" i="2" s="1"/>
  <c r="O16" i="2" s="1"/>
  <c r="O17" i="2" s="1"/>
  <c r="O18" i="2" s="1"/>
  <c r="L12" i="2"/>
  <c r="L11" i="2" s="1"/>
  <c r="L10" i="2" s="1"/>
  <c r="L9" i="2" s="1"/>
  <c r="L8" i="2" s="1"/>
  <c r="L3" i="2"/>
  <c r="L2" i="2"/>
  <c r="A12" i="2"/>
  <c r="A11" i="2"/>
  <c r="A10" i="2" s="1"/>
  <c r="A9" i="2" s="1"/>
  <c r="A8" i="2" s="1"/>
  <c r="B12" i="2"/>
  <c r="B11" i="2"/>
  <c r="B10" i="2"/>
  <c r="B9" i="2"/>
  <c r="B8" i="2"/>
  <c r="B14" i="2" s="1"/>
  <c r="C6" i="2"/>
  <c r="D6" i="2"/>
  <c r="E6" i="2"/>
  <c r="F6" i="2"/>
  <c r="G6" i="2" s="1"/>
  <c r="H6" i="2" s="1"/>
  <c r="D16" i="2" s="1"/>
  <c r="D17" i="2" s="1"/>
  <c r="D18" i="2" s="1"/>
  <c r="A4" i="2"/>
  <c r="A3" i="2"/>
  <c r="A2" i="2"/>
  <c r="M10" i="2"/>
  <c r="M11" i="2"/>
  <c r="C55" i="1"/>
  <c r="AC10" i="9" l="1"/>
  <c r="Z10" i="9" s="1"/>
  <c r="N24" i="15"/>
  <c r="N21" i="15"/>
  <c r="Q21" i="15"/>
  <c r="AC8" i="9"/>
  <c r="Z8" i="9" s="1"/>
  <c r="AC21" i="9"/>
  <c r="Z21" i="9" s="1"/>
  <c r="AJ11" i="9"/>
  <c r="AI13" i="9"/>
  <c r="N20" i="15"/>
  <c r="AC22" i="9"/>
  <c r="Z22" i="9" s="1"/>
  <c r="D27" i="15"/>
  <c r="D33" i="15" s="1"/>
  <c r="D28" i="15"/>
  <c r="AB47" i="9"/>
  <c r="AB45" i="9"/>
  <c r="P19" i="15"/>
  <c r="O21" i="15"/>
  <c r="N8" i="2"/>
  <c r="N14" i="2" s="1"/>
  <c r="AC11" i="9"/>
  <c r="Z11" i="9" s="1"/>
  <c r="O23" i="15"/>
  <c r="AC25" i="9"/>
  <c r="Z25" i="9" s="1"/>
  <c r="P22" i="15"/>
  <c r="N22" i="15"/>
  <c r="N23" i="15"/>
  <c r="Q19" i="15"/>
  <c r="O19" i="15"/>
  <c r="P21" i="15"/>
  <c r="Q20" i="15"/>
  <c r="P20" i="15"/>
  <c r="N19" i="15"/>
  <c r="AJ13" i="9"/>
  <c r="AC24" i="9"/>
  <c r="AF49" i="9" s="1"/>
  <c r="AF35" i="9"/>
  <c r="Y16" i="9"/>
  <c r="K13" i="10"/>
  <c r="M13" i="10" s="1"/>
  <c r="M15" i="10" s="1"/>
  <c r="M16" i="10" s="1"/>
  <c r="M12" i="10"/>
  <c r="Y18" i="9"/>
  <c r="Y10" i="9"/>
  <c r="M11" i="10"/>
  <c r="AI11" i="9"/>
  <c r="Y23" i="9"/>
  <c r="AI12" i="9"/>
  <c r="W80" i="9" s="1"/>
  <c r="Y20" i="9"/>
  <c r="AC16" i="9"/>
  <c r="A26" i="9"/>
  <c r="A24" i="9"/>
  <c r="A27" i="9"/>
  <c r="A25" i="9"/>
  <c r="V26" i="9"/>
  <c r="V27" i="9"/>
  <c r="V24" i="9"/>
  <c r="V25" i="9"/>
  <c r="F11" i="11"/>
  <c r="F10" i="11" s="1"/>
  <c r="G10" i="11" s="1"/>
  <c r="G12" i="11"/>
  <c r="B12" i="11"/>
  <c r="D11" i="11"/>
  <c r="F10" i="2"/>
  <c r="F9" i="2"/>
  <c r="F11" i="2"/>
  <c r="F12" i="2"/>
  <c r="F8" i="2"/>
  <c r="W12" i="9"/>
  <c r="L12" i="11"/>
  <c r="N13" i="11"/>
  <c r="M12" i="11"/>
  <c r="AB34" i="9"/>
  <c r="AJ8" i="9"/>
  <c r="AC78" i="9" s="1"/>
  <c r="AC9" i="9"/>
  <c r="AC15" i="9"/>
  <c r="Y17" i="9"/>
  <c r="AC17" i="9"/>
  <c r="AI10" i="9"/>
  <c r="W79" i="9" s="1"/>
  <c r="Q11" i="11"/>
  <c r="AC14" i="9"/>
  <c r="N14" i="11"/>
  <c r="AJ12" i="9"/>
  <c r="AC80" i="9" s="1"/>
  <c r="B22" i="9"/>
  <c r="AI9" i="9"/>
  <c r="AC13" i="9"/>
  <c r="AF38" i="9" s="1"/>
  <c r="Y13" i="9"/>
  <c r="AF33" i="9"/>
  <c r="AC27" i="9"/>
  <c r="AJ9" i="9"/>
  <c r="Y19" i="9"/>
  <c r="AC19" i="9"/>
  <c r="F33" i="15"/>
  <c r="P32" i="15"/>
  <c r="O33" i="15" s="1"/>
  <c r="B13" i="15"/>
  <c r="B24" i="15"/>
  <c r="C14" i="2"/>
  <c r="M10" i="10"/>
  <c r="Z26" i="9"/>
  <c r="AF51" i="9"/>
  <c r="AB43" i="9"/>
  <c r="AJ10" i="9"/>
  <c r="AC79" i="9" s="1"/>
  <c r="AC18" i="9"/>
  <c r="Q32" i="15"/>
  <c r="Q33" i="15" s="1"/>
  <c r="G33" i="15"/>
  <c r="A10" i="11"/>
  <c r="AI8" i="9"/>
  <c r="W78" i="9" s="1"/>
  <c r="AB48" i="9"/>
  <c r="AC23" i="9"/>
  <c r="AC12" i="9"/>
  <c r="O12" i="9"/>
  <c r="E33" i="15"/>
  <c r="L13" i="15"/>
  <c r="O13" i="9"/>
  <c r="D26" i="15"/>
  <c r="E26" i="15"/>
  <c r="AC20" i="9"/>
  <c r="O9" i="9"/>
  <c r="N8" i="9"/>
  <c r="D30" i="15"/>
  <c r="O20" i="15"/>
  <c r="O11" i="9"/>
  <c r="AF46" i="9" l="1"/>
  <c r="AF50" i="9"/>
  <c r="AF47" i="9"/>
  <c r="P30" i="15"/>
  <c r="Q26" i="15"/>
  <c r="Q27" i="15"/>
  <c r="AK13" i="9"/>
  <c r="P27" i="15"/>
  <c r="N32" i="15"/>
  <c r="N33" i="15" s="1"/>
  <c r="N30" i="15"/>
  <c r="Z13" i="9"/>
  <c r="Z24" i="9"/>
  <c r="P26" i="15"/>
  <c r="O27" i="15"/>
  <c r="N26" i="15"/>
  <c r="N27" i="15"/>
  <c r="AF36" i="9"/>
  <c r="Q29" i="15"/>
  <c r="P29" i="15"/>
  <c r="P28" i="15"/>
  <c r="Q30" i="15"/>
  <c r="N29" i="15"/>
  <c r="O28" i="15"/>
  <c r="N28" i="15"/>
  <c r="O29" i="15"/>
  <c r="Z16" i="9"/>
  <c r="AF41" i="9"/>
  <c r="O26" i="15"/>
  <c r="Z20" i="9"/>
  <c r="AF45" i="9"/>
  <c r="AK11" i="9"/>
  <c r="AF48" i="9"/>
  <c r="Z23" i="9"/>
  <c r="AF44" i="9"/>
  <c r="Z19" i="9"/>
  <c r="AK8" i="9"/>
  <c r="AJ78" i="9" s="1"/>
  <c r="Z17" i="9"/>
  <c r="AF42" i="9"/>
  <c r="AK10" i="9"/>
  <c r="AJ79" i="9" s="1"/>
  <c r="L12" i="15"/>
  <c r="L23" i="15"/>
  <c r="B17" i="11"/>
  <c r="C10" i="11"/>
  <c r="D10" i="11" s="1"/>
  <c r="H10" i="11" s="1"/>
  <c r="E8" i="2" s="1"/>
  <c r="G8" i="2" s="1"/>
  <c r="AF43" i="9"/>
  <c r="Z18" i="9"/>
  <c r="O12" i="2"/>
  <c r="D12" i="2"/>
  <c r="O30" i="15"/>
  <c r="W11" i="9"/>
  <c r="V23" i="9"/>
  <c r="O11" i="2"/>
  <c r="D11" i="2"/>
  <c r="B21" i="9"/>
  <c r="O12" i="11"/>
  <c r="S12" i="11" s="1"/>
  <c r="P10" i="2" s="1"/>
  <c r="M13" i="11"/>
  <c r="B13" i="11"/>
  <c r="D12" i="11"/>
  <c r="H12" i="11" s="1"/>
  <c r="E10" i="2" s="1"/>
  <c r="Z15" i="9"/>
  <c r="AF40" i="9"/>
  <c r="G11" i="11"/>
  <c r="H11" i="11" s="1"/>
  <c r="E9" i="2" s="1"/>
  <c r="Z9" i="9"/>
  <c r="AF34" i="9"/>
  <c r="Q12" i="2"/>
  <c r="Q10" i="2"/>
  <c r="Q11" i="2"/>
  <c r="Q8" i="2"/>
  <c r="Q9" i="2"/>
  <c r="B12" i="15"/>
  <c r="B23" i="15"/>
  <c r="N12" i="11"/>
  <c r="L11" i="11"/>
  <c r="AK9" i="9"/>
  <c r="Z12" i="9"/>
  <c r="AF37" i="9"/>
  <c r="O9" i="2"/>
  <c r="D9" i="2"/>
  <c r="P33" i="15"/>
  <c r="Z14" i="9"/>
  <c r="AF39" i="9"/>
  <c r="R11" i="11"/>
  <c r="Q10" i="11"/>
  <c r="R10" i="11" s="1"/>
  <c r="A23" i="9"/>
  <c r="O10" i="2"/>
  <c r="D10" i="2"/>
  <c r="G10" i="2" s="1"/>
  <c r="H10" i="2" s="1"/>
  <c r="Z27" i="9"/>
  <c r="AF52" i="9"/>
  <c r="AK12" i="9"/>
  <c r="AJ80" i="9" s="1"/>
  <c r="L22" i="15" l="1"/>
  <c r="L11" i="15"/>
  <c r="B20" i="9"/>
  <c r="N11" i="11"/>
  <c r="O11" i="11" s="1"/>
  <c r="S11" i="11" s="1"/>
  <c r="P9" i="2" s="1"/>
  <c r="R9" i="2" s="1"/>
  <c r="S9" i="2" s="1"/>
  <c r="L10" i="11"/>
  <c r="W10" i="9"/>
  <c r="H8" i="2"/>
  <c r="R10" i="2"/>
  <c r="S10" i="2" s="1"/>
  <c r="G9" i="2"/>
  <c r="H9" i="2" s="1"/>
  <c r="B22" i="15"/>
  <c r="B11" i="15"/>
  <c r="V22" i="9"/>
  <c r="A22" i="9"/>
  <c r="D13" i="11"/>
  <c r="H13" i="11" s="1"/>
  <c r="E11" i="2" s="1"/>
  <c r="G11" i="2" s="1"/>
  <c r="B14" i="11"/>
  <c r="D14" i="11" s="1"/>
  <c r="H14" i="11" s="1"/>
  <c r="E12" i="2" s="1"/>
  <c r="G12" i="2" s="1"/>
  <c r="H12" i="2" s="1"/>
  <c r="O13" i="11"/>
  <c r="S13" i="11" s="1"/>
  <c r="P11" i="2" s="1"/>
  <c r="R11" i="2" s="1"/>
  <c r="S11" i="2" s="1"/>
  <c r="M14" i="11"/>
  <c r="O14" i="11" s="1"/>
  <c r="S14" i="11" s="1"/>
  <c r="P12" i="2" s="1"/>
  <c r="R12" i="2" s="1"/>
  <c r="S12" i="2" s="1"/>
  <c r="H11" i="2" l="1"/>
  <c r="G14" i="2"/>
  <c r="H14" i="2" s="1"/>
  <c r="H16" i="2" s="1"/>
  <c r="H18" i="2" s="1"/>
  <c r="M17" i="11"/>
  <c r="N10" i="11"/>
  <c r="O10" i="11" s="1"/>
  <c r="S10" i="11" s="1"/>
  <c r="P8" i="2" s="1"/>
  <c r="R8" i="2" s="1"/>
  <c r="A21" i="9"/>
  <c r="B19" i="9"/>
  <c r="V21" i="9"/>
  <c r="L10" i="15"/>
  <c r="L21" i="15"/>
  <c r="B21" i="15"/>
  <c r="B10" i="15"/>
  <c r="W9" i="9"/>
  <c r="R14" i="2" l="1"/>
  <c r="S14" i="2" s="1"/>
  <c r="S16" i="2" s="1"/>
  <c r="S18" i="2" s="1"/>
  <c r="S8" i="2"/>
  <c r="V20" i="9"/>
  <c r="B18" i="9"/>
  <c r="W8" i="9"/>
  <c r="L20" i="15"/>
  <c r="L9" i="15"/>
  <c r="L19" i="15" s="1"/>
  <c r="B9" i="15"/>
  <c r="B19" i="15" s="1"/>
  <c r="B20" i="15"/>
  <c r="A20" i="9"/>
  <c r="A19" i="9" l="1"/>
  <c r="B17" i="9"/>
  <c r="V19" i="9"/>
  <c r="V18" i="9" l="1"/>
  <c r="B16" i="9"/>
  <c r="A18" i="9"/>
  <c r="A17" i="9" l="1"/>
  <c r="B15" i="9"/>
  <c r="V17" i="9"/>
  <c r="B14" i="9" l="1"/>
  <c r="A16" i="9"/>
  <c r="V16" i="9"/>
  <c r="V15" i="9" l="1"/>
  <c r="A15" i="9"/>
  <c r="B13" i="9"/>
  <c r="AE47" i="9" l="1"/>
  <c r="A14" i="9"/>
  <c r="AA48" i="9"/>
  <c r="V14" i="9"/>
  <c r="AE52" i="9"/>
  <c r="AE49" i="9"/>
  <c r="AI48" i="9"/>
  <c r="AI47" i="9"/>
  <c r="AA50" i="9"/>
  <c r="AA51" i="9"/>
  <c r="AA49" i="9"/>
  <c r="AA47" i="9"/>
  <c r="B12" i="9"/>
  <c r="AI52" i="9"/>
  <c r="AE48" i="9"/>
  <c r="V13" i="9" l="1"/>
  <c r="AE51" i="9"/>
  <c r="B11" i="9"/>
  <c r="AE50" i="9"/>
  <c r="AI51" i="9"/>
  <c r="AA52" i="9"/>
  <c r="AG51" i="9"/>
  <c r="AG38" i="9"/>
  <c r="AD41" i="9"/>
  <c r="AD51" i="9"/>
  <c r="Z44" i="9"/>
  <c r="Y33" i="9"/>
  <c r="AH48" i="9"/>
  <c r="AG35" i="9"/>
  <c r="AC33" i="9"/>
  <c r="AD45" i="9"/>
  <c r="Z42" i="9"/>
  <c r="Y52" i="9"/>
  <c r="Y35" i="9"/>
  <c r="AG52" i="9"/>
  <c r="AG46" i="9"/>
  <c r="Y38" i="9"/>
  <c r="AD52" i="9"/>
  <c r="Y50" i="9"/>
  <c r="AC36" i="9"/>
  <c r="AC44" i="9"/>
  <c r="Y40" i="9"/>
  <c r="AC49" i="9"/>
  <c r="AH42" i="9"/>
  <c r="AG43" i="9"/>
  <c r="AC35" i="9"/>
  <c r="AD50" i="9"/>
  <c r="Y48" i="9"/>
  <c r="AG33" i="9"/>
  <c r="Y46" i="9"/>
  <c r="Z46" i="9"/>
  <c r="AD44" i="9"/>
  <c r="AC41" i="9"/>
  <c r="AG45" i="9"/>
  <c r="Y47" i="9"/>
  <c r="Y36" i="9"/>
  <c r="AC34" i="9"/>
  <c r="AC37" i="9"/>
  <c r="AG39" i="9"/>
  <c r="AD43" i="9"/>
  <c r="Z41" i="9"/>
  <c r="AC46" i="9"/>
  <c r="AC43" i="9"/>
  <c r="Y44" i="9"/>
  <c r="Z48" i="9"/>
  <c r="AC47" i="9"/>
  <c r="Z51" i="9"/>
  <c r="AG41" i="9"/>
  <c r="AH45" i="9"/>
  <c r="AH43" i="9"/>
  <c r="Y42" i="9"/>
  <c r="AC40" i="9"/>
  <c r="Y34" i="9"/>
  <c r="AH51" i="9"/>
  <c r="AG40" i="9"/>
  <c r="AG49" i="9"/>
  <c r="AC51" i="9"/>
  <c r="AG44" i="9"/>
  <c r="AC45" i="9"/>
  <c r="AG48" i="9"/>
  <c r="AG42" i="9"/>
  <c r="Z49" i="9"/>
  <c r="AD46" i="9"/>
  <c r="AD48" i="9"/>
  <c r="Z45" i="9"/>
  <c r="Y45" i="9"/>
  <c r="Z52" i="9"/>
  <c r="AH44" i="9"/>
  <c r="AG34" i="9"/>
  <c r="AG47" i="9"/>
  <c r="AH46" i="9"/>
  <c r="AC42" i="9"/>
  <c r="AH50" i="9"/>
  <c r="AG50" i="9"/>
  <c r="AD42" i="9"/>
  <c r="AD47" i="9"/>
  <c r="Y39" i="9"/>
  <c r="Z43" i="9"/>
  <c r="Y51" i="9"/>
  <c r="AC48" i="9"/>
  <c r="AD49" i="9"/>
  <c r="Y43" i="9"/>
  <c r="AH41" i="9"/>
  <c r="Y37" i="9"/>
  <c r="AC50" i="9"/>
  <c r="AC38" i="9"/>
  <c r="Z47" i="9"/>
  <c r="AG37" i="9"/>
  <c r="Z50" i="9"/>
  <c r="AC52" i="9"/>
  <c r="AH47" i="9"/>
  <c r="AH49" i="9"/>
  <c r="Y49" i="9"/>
  <c r="Y41" i="9"/>
  <c r="AH52" i="9"/>
  <c r="AI49" i="9"/>
  <c r="AC39" i="9"/>
  <c r="AG36" i="9"/>
  <c r="AI50" i="9"/>
  <c r="A13" i="9"/>
  <c r="A12" i="9" l="1"/>
  <c r="B10" i="9"/>
  <c r="V12" i="9"/>
  <c r="V11" i="9" l="1"/>
  <c r="B9" i="9"/>
  <c r="A11" i="9"/>
  <c r="B8" i="9" l="1"/>
  <c r="A10" i="9"/>
  <c r="V10" i="9"/>
  <c r="V9" i="9" l="1"/>
  <c r="A9" i="9"/>
  <c r="A8" i="9" l="1"/>
  <c r="V8" i="9"/>
</calcChain>
</file>

<file path=xl/sharedStrings.xml><?xml version="1.0" encoding="utf-8"?>
<sst xmlns="http://schemas.openxmlformats.org/spreadsheetml/2006/main" count="350" uniqueCount="178">
  <si>
    <t>3.1 Read "ULAE RATIO EXHIBIT" in page 5 of Appendix A in Wener's textbook and/or Chapet 7 of Werner's textbook;</t>
  </si>
  <si>
    <t>4.1 Read "LR Indication" in page 7 of Appendix A in Wener's textbook and/or Chapet 9 of Werner's textbook;</t>
  </si>
  <si>
    <t>Werner's textbook</t>
  </si>
  <si>
    <t>Friedland's textbook</t>
  </si>
  <si>
    <t>= [4] * [5]</t>
  </si>
  <si>
    <t>= [6] * [1]</t>
  </si>
  <si>
    <t>= [4] * [1]</t>
  </si>
  <si>
    <t>= Frequency without Safety Features * Safety Adjustment</t>
  </si>
  <si>
    <t>= Severity without Safety Features * Safety Adjustment</t>
  </si>
  <si>
    <t>Projected Loss and LAE Cost per Exposure</t>
  </si>
  <si>
    <t>Paid Claim</t>
  </si>
  <si>
    <t>Counts</t>
  </si>
  <si>
    <t>[4]</t>
  </si>
  <si>
    <t>Unadjusted</t>
  </si>
  <si>
    <t>[6]</t>
  </si>
  <si>
    <t>= 1.0 + [5]</t>
  </si>
  <si>
    <t>Yellow cells with blue numbers are selections that you must enter.</t>
  </si>
  <si>
    <t>Green numbers indicate that these cells contain formulas which are dependent on selections that you have made.</t>
  </si>
  <si>
    <t>Date</t>
  </si>
  <si>
    <t>Edits</t>
  </si>
  <si>
    <t>Added formatting (described on Intro tab):</t>
  </si>
  <si>
    <t>Added Version tab</t>
  </si>
  <si>
    <t>3.1 Based on the graphs, select Trending Factor in the box of "2. Loss Trend Factor -- 1";</t>
  </si>
  <si>
    <t>3.2 The Loss Trend Factor in "2. Loss Trend Factor -- 2" highlighted in red would change accordingly.</t>
  </si>
  <si>
    <t>4.1 Select ULAE Ratio in the box of "3. ULAE Factor";</t>
  </si>
  <si>
    <t>4.2 The ULAE Factor highlighted in blue would change accordingly.</t>
  </si>
  <si>
    <t>5.1 The loss and LAE cost would be projected depending on the outputs from previous spreadsheets, select one in the box of "4. Expected loss and loss ratio";</t>
  </si>
  <si>
    <t>5.2 The project insurance cost would be finally determined.</t>
  </si>
  <si>
    <t>Product1</t>
  </si>
  <si>
    <t>Product2</t>
  </si>
  <si>
    <t>Cars without Safety Features</t>
  </si>
  <si>
    <t>Cars with Safety Features</t>
  </si>
  <si>
    <t>Loss Costs/Pure Premium</t>
  </si>
  <si>
    <t>Impacts</t>
  </si>
  <si>
    <t>1.1 When safety features are added to the cars, we want to make some adjustments to the frequency and severity in loss trending.</t>
  </si>
  <si>
    <t>1.2 Feel free to do some research about safety features</t>
  </si>
  <si>
    <t xml:space="preserve">1.4 What is more, change any other tables or triangles where you see appropriate and present the reasons to the judges. </t>
  </si>
  <si>
    <t xml:space="preserve">      For example, satefy feature B leading to 20% reduction in collision severity give a severity impact of 80% in the table of "0. Adjust losses for new book", which then affecting the severity column in "2. Loss Trend Factor -- 2". </t>
  </si>
  <si>
    <t>1.3 According to your research, you can either change the impact table in "0. Adjust losses for new book"or, directly, the values or functions of the frequency and severity columns in "2. Loss Trend Factor -- 1".</t>
  </si>
  <si>
    <r>
      <t xml:space="preserve">When the new cars have safety features, the templates are given on the </t>
    </r>
    <r>
      <rPr>
        <sz val="11"/>
        <color rgb="FFFF0000"/>
        <rFont val="Calibri"/>
        <family val="2"/>
        <scheme val="minor"/>
      </rPr>
      <t>right</t>
    </r>
    <r>
      <rPr>
        <sz val="11"/>
        <color theme="1"/>
        <rFont val="Calibri"/>
        <family val="2"/>
        <scheme val="minor"/>
      </rPr>
      <t xml:space="preserve"> of each spreadsheets.</t>
    </r>
  </si>
  <si>
    <r>
      <t xml:space="preserve">When the cars do not have safety features, templates for loss development and loss trending are given on the </t>
    </r>
    <r>
      <rPr>
        <sz val="11"/>
        <color rgb="FFFF0000"/>
        <rFont val="Calibri"/>
        <family val="2"/>
        <scheme val="minor"/>
      </rPr>
      <t xml:space="preserve">left </t>
    </r>
    <r>
      <rPr>
        <sz val="11"/>
        <color theme="1"/>
        <rFont val="Calibri"/>
        <family val="2"/>
        <scheme val="minor"/>
      </rPr>
      <t>of each spreadsheet.</t>
    </r>
  </si>
  <si>
    <t>1.1 Read "LOSS DEVELOPMENT EXHIBIT" in page 4 of Appendix A in Wener's textbook and/or Chapter 7 of Friedland's textbook;</t>
  </si>
  <si>
    <t>2.1 Read "LOSS TREND EXHIBIT" in page 5 of Appendix A in Wener's textbook and/or Chapet 1 &amp; 6 of Werner's textbook;</t>
  </si>
  <si>
    <t>Shown of a 4-Quarter Rolling Basis, refers to the number of vehicles.</t>
  </si>
  <si>
    <t>Average Earned Exposure (# of Vehicles)</t>
  </si>
  <si>
    <t>A</t>
  </si>
  <si>
    <t>B</t>
  </si>
  <si>
    <t>C</t>
  </si>
  <si>
    <t>University</t>
  </si>
  <si>
    <t>Insurance</t>
  </si>
  <si>
    <t xml:space="preserve">Pure Premium Trend </t>
  </si>
  <si>
    <t>From Loss Trend Factor Exhibit</t>
  </si>
  <si>
    <t>Step</t>
  </si>
  <si>
    <t>Tab Names</t>
  </si>
  <si>
    <t>1. Loss Development Factor</t>
  </si>
  <si>
    <t>2. Loss Trend Factor -- 1</t>
  </si>
  <si>
    <t>3. ULAE Factor</t>
  </si>
  <si>
    <t>Instructions</t>
  </si>
  <si>
    <t>0. Adjust losses for new book</t>
  </si>
  <si>
    <t>2. Loss Trend Factor -- 2</t>
  </si>
  <si>
    <t>4. Expected loss and loss ratio</t>
  </si>
  <si>
    <t>Selected Projected Loss and LAE Cost</t>
  </si>
  <si>
    <t>EDU</t>
  </si>
  <si>
    <t>GoStats</t>
  </si>
  <si>
    <t>1.2 In the "1. Loss Development Factor" speadsheet. the blue reported losses are given by previous policy years and hence should not be changed;</t>
  </si>
  <si>
    <t>1.3 Select Age-to-Age factos in the boxes of "1. Loss Development Factor";</t>
  </si>
  <si>
    <t>1.4 The Age-to-Ultimate factors highted in yellow would change accordingly.</t>
  </si>
  <si>
    <t>2.2 In the "2. Loss Trend Factor -- 1" spreadsheet, the blue reported losses are given by previous policy years and hence should not be changed;</t>
  </si>
  <si>
    <t>2.3 Based on the graphs, select Trending Factor in the box of "2. Loss Trend Factor -- 1";</t>
  </si>
  <si>
    <t>2.4 The Loss Trend Factor in "2. Loss Trend Factor -- 2" highlighted in red would change accordingly.</t>
  </si>
  <si>
    <t>3.2 In the "3. ULAE Factor" spreadsheet, the blue reported losses are given by previous policy years and hence should not be changed;</t>
  </si>
  <si>
    <t>3.3 Select ULAE Ratio in the box of "3. ULAE Factor";</t>
  </si>
  <si>
    <t>3.4 The ULAE Factor highlighted in blue would change accordingly.</t>
  </si>
  <si>
    <t>4.2 In the "4. Expected loss and loss ratio" spreadsheet, the cells highlighted in yellow, red and blue are outputs from the previous spreadsheet;</t>
  </si>
  <si>
    <t>4.3 The loss and LAE cost would be projected depending on the outputs from previous spreadsheets, select one in the box of "4. Expected loss and loss ratio";</t>
  </si>
  <si>
    <t>4.4 The project insurance cost would be finally determined.</t>
  </si>
  <si>
    <t>2.1 Select Age-to-Age factos in the boxes of "2. Loss Trend Factor -- 1;</t>
  </si>
  <si>
    <t>2.2 The Age-to-Ultimate factors highted in yellow would change accordingly.</t>
  </si>
  <si>
    <t>Introduction</t>
  </si>
  <si>
    <t>Loss Development Factor</t>
  </si>
  <si>
    <t>Loss Trend Factor</t>
  </si>
  <si>
    <t>ULAE Factor</t>
  </si>
  <si>
    <t>Projected Ultimate Losses and LAE</t>
  </si>
  <si>
    <t>Total</t>
  </si>
  <si>
    <t>Reported Losses and Paid ALAE</t>
  </si>
  <si>
    <t>Calendar Year</t>
  </si>
  <si>
    <t>Quarter</t>
  </si>
  <si>
    <t>Exponential Trend</t>
  </si>
  <si>
    <t>20 pt</t>
  </si>
  <si>
    <t>16 pt</t>
  </si>
  <si>
    <t>12 pt</t>
  </si>
  <si>
    <t>8 pt</t>
  </si>
  <si>
    <t>6 pt</t>
  </si>
  <si>
    <t>4 pt</t>
  </si>
  <si>
    <t>Earned Exposure</t>
  </si>
  <si>
    <t>Accident Year</t>
  </si>
  <si>
    <t>Age-to-Age Factors</t>
  </si>
  <si>
    <t>Reported  Losses and Paid ALAE Evaluated as of</t>
  </si>
  <si>
    <t>All Year Average</t>
  </si>
  <si>
    <t>3 Yr Average</t>
  </si>
  <si>
    <t>4 Yr Average</t>
  </si>
  <si>
    <t>Average x Hi/Lo</t>
  </si>
  <si>
    <t>Geometric Average</t>
  </si>
  <si>
    <t>Selected</t>
  </si>
  <si>
    <t>Age to Ultimate</t>
  </si>
  <si>
    <t>Year</t>
  </si>
  <si>
    <t>Paid Losses</t>
  </si>
  <si>
    <t>Closed Claim Count</t>
  </si>
  <si>
    <t>Frequency</t>
  </si>
  <si>
    <t>Severity</t>
  </si>
  <si>
    <t>Pure Premium</t>
  </si>
  <si>
    <t>Selections</t>
  </si>
  <si>
    <t>Current</t>
  </si>
  <si>
    <t>Projected</t>
  </si>
  <si>
    <t>Accident</t>
  </si>
  <si>
    <t>Trend</t>
  </si>
  <si>
    <t>Cost Trend</t>
  </si>
  <si>
    <t>Period</t>
  </si>
  <si>
    <t>Factor</t>
  </si>
  <si>
    <t xml:space="preserve">Cost Trend </t>
  </si>
  <si>
    <t>Loss</t>
  </si>
  <si>
    <t>Paid Losses and</t>
  </si>
  <si>
    <t>ALAE</t>
  </si>
  <si>
    <t>Paid ULAE</t>
  </si>
  <si>
    <t>ULAE Ratio</t>
  </si>
  <si>
    <t>Selected Ratio</t>
  </si>
  <si>
    <t>Latest Year of Experience Period</t>
  </si>
  <si>
    <t>Evaluation Date</t>
  </si>
  <si>
    <t>Proposed Effective Date</t>
  </si>
  <si>
    <t>= [3] / [2]</t>
  </si>
  <si>
    <t>Year Ending</t>
  </si>
  <si>
    <t>Straight Average</t>
  </si>
  <si>
    <t>Straight Average Excluding Highest and Lowest Values</t>
  </si>
  <si>
    <t>= ( Product of Age-to-Age Factors ) ^ ( 1.0 / Number of Age-to-Age Factors )</t>
  </si>
  <si>
    <t>= Cumulative Product of [6]</t>
  </si>
  <si>
    <t>Shown of a 4-Quarter Rolling Basis</t>
  </si>
  <si>
    <t>= [2] / [1]</t>
  </si>
  <si>
    <t>= [3] / [1]</t>
  </si>
  <si>
    <t>= ( 1.0 + [1] ) ^ [2]</t>
  </si>
  <si>
    <t>= ( 1.0 + [4] ) ^ [5]</t>
  </si>
  <si>
    <t>= [3] x [6]</t>
  </si>
  <si>
    <t>State</t>
  </si>
  <si>
    <t>Company</t>
  </si>
  <si>
    <t>Average Premium</t>
  </si>
  <si>
    <t>20-pt fit</t>
  </si>
  <si>
    <t>12-pt fit</t>
  </si>
  <si>
    <t>6-pt fit</t>
  </si>
  <si>
    <t>Selections*</t>
  </si>
  <si>
    <t>* Calculated using Frequency and Severity Selections</t>
  </si>
  <si>
    <t>CHART</t>
  </si>
  <si>
    <t>Average Severity</t>
  </si>
  <si>
    <t>PP</t>
  </si>
  <si>
    <t>SEV</t>
  </si>
  <si>
    <t>FREQ</t>
  </si>
  <si>
    <t>2015 Projected Average Earned Exposure</t>
  </si>
  <si>
    <t>Projected 2015 Insurance Cost</t>
  </si>
  <si>
    <t>Shown of a 4-Quarter Rolling Basis, Closed Claims Only</t>
  </si>
  <si>
    <t>Self-Insured Auto Program</t>
  </si>
  <si>
    <t>12 Mo.</t>
  </si>
  <si>
    <t>24 Mo.</t>
  </si>
  <si>
    <t>36 Mo.</t>
  </si>
  <si>
    <t>48 Mo.</t>
  </si>
  <si>
    <t>60 Mo.</t>
  </si>
  <si>
    <t>Program</t>
  </si>
  <si>
    <t>Severity Trend</t>
  </si>
  <si>
    <t>Casualty Actuarial Society</t>
  </si>
  <si>
    <t>CASE COMPETITION (FALL 2020)</t>
  </si>
  <si>
    <t>hosted by Penn State Actuarial Society</t>
  </si>
  <si>
    <t>Modified by Emmanuel Max Nkgare</t>
  </si>
  <si>
    <t xml:space="preserve">Loss trend factors are used to get the losses to current cost level.  </t>
  </si>
  <si>
    <t xml:space="preserve">sum </t>
  </si>
  <si>
    <t>sum</t>
  </si>
  <si>
    <t xml:space="preserve">Difference: </t>
  </si>
  <si>
    <t xml:space="preserve">Difference between self-insrance (cars without and cars with safety feaures:  </t>
  </si>
  <si>
    <t>Total for safety feature A</t>
  </si>
  <si>
    <t>Total for safety feature B</t>
  </si>
  <si>
    <t>Total for safety features</t>
  </si>
  <si>
    <t>Program paid losses and ULAE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</si>
</sst>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quot;$&quot;#,##0"/>
    <numFmt numFmtId="165" formatCode="0.0%"/>
    <numFmt numFmtId="166" formatCode="#,##0.0000"/>
    <numFmt numFmtId="167" formatCode="0.0000"/>
    <numFmt numFmtId="168" formatCode="&quot;$&quot;#,##0.00"/>
    <numFmt numFmtId="169" formatCode="0.000"/>
    <numFmt numFmtId="170" formatCode="&quot;[&quot;0&quot;]&quot;"/>
    <numFmt numFmtId="171" formatCode="_(* #,##0_);_(* \(#,##0\);_(* &quot;-&quot;??_);_(@_)"/>
  </numFmts>
  <fonts count="16" x14ac:knownFonts="1">
    <font>
      <sz val="11"/>
      <color theme="1"/>
      <name val="Calibri"/>
      <family val="2"/>
      <scheme val="minor"/>
    </font>
    <font>
      <i/>
      <u/>
      <sz val="11"/>
      <color theme="1"/>
      <name val="Calibri"/>
      <family val="2"/>
      <scheme val="minor"/>
    </font>
    <font>
      <u/>
      <sz val="11"/>
      <color indexed="12"/>
      <name val="Calibri"/>
      <family val="2"/>
    </font>
    <font>
      <sz val="11"/>
      <color rgb="FFFF0000"/>
      <name val="Calibri"/>
      <family val="2"/>
      <scheme val="minor"/>
    </font>
    <font>
      <u/>
      <sz val="11"/>
      <color theme="1"/>
      <name val="Calibri"/>
      <family val="2"/>
      <scheme val="minor"/>
    </font>
    <font>
      <sz val="11"/>
      <color rgb="FF0070C0"/>
      <name val="Calibri"/>
      <family val="2"/>
      <scheme val="minor"/>
    </font>
    <font>
      <sz val="11"/>
      <color theme="1"/>
      <name val="Calibri"/>
      <family val="2"/>
      <scheme val="minor"/>
    </font>
    <font>
      <u/>
      <sz val="11"/>
      <color theme="11"/>
      <name val="Calibri"/>
      <family val="2"/>
      <scheme val="minor"/>
    </font>
    <font>
      <sz val="11"/>
      <color rgb="FF008000"/>
      <name val="Calibri"/>
      <family val="2"/>
      <scheme val="minor"/>
    </font>
    <font>
      <sz val="11"/>
      <color rgb="FF0000FF"/>
      <name val="Calibri"/>
      <family val="2"/>
      <scheme val="minor"/>
    </font>
    <font>
      <sz val="11"/>
      <name val="Calibri"/>
      <family val="2"/>
      <scheme val="minor"/>
    </font>
    <font>
      <b/>
      <sz val="11"/>
      <color rgb="FF0000FF"/>
      <name val="Calibri"/>
      <family val="2"/>
      <scheme val="minor"/>
    </font>
    <font>
      <b/>
      <sz val="11"/>
      <color rgb="FF008000"/>
      <name val="Calibri"/>
      <family val="2"/>
      <scheme val="minor"/>
    </font>
    <font>
      <sz val="8"/>
      <name val="Verdana"/>
      <family val="2"/>
    </font>
    <font>
      <b/>
      <sz val="24"/>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8">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diagonalDown="1">
      <left/>
      <right style="thin">
        <color auto="1"/>
      </right>
      <top/>
      <bottom/>
      <diagonal style="thin">
        <color auto="1"/>
      </diagonal>
    </border>
    <border diagonalDown="1">
      <left style="thin">
        <color auto="1"/>
      </left>
      <right style="thin">
        <color auto="1"/>
      </right>
      <top/>
      <bottom/>
      <diagonal style="thin">
        <color auto="1"/>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4">
    <xf numFmtId="0" fontId="0" fillId="0" borderId="0"/>
    <xf numFmtId="0" fontId="2" fillId="0" borderId="0" applyNumberFormat="0" applyFill="0" applyBorder="0" applyAlignment="0" applyProtection="0">
      <alignment vertical="top"/>
      <protection locked="0"/>
    </xf>
    <xf numFmtId="43" fontId="6" fillId="0" borderId="0" applyFont="0" applyFill="0" applyBorder="0" applyAlignment="0" applyProtection="0"/>
    <xf numFmtId="0" fontId="7" fillId="0" borderId="0" applyNumberFormat="0" applyFill="0" applyBorder="0" applyAlignment="0" applyProtection="0"/>
  </cellStyleXfs>
  <cellXfs count="178">
    <xf numFmtId="0" fontId="0" fillId="0" borderId="0" xfId="0"/>
    <xf numFmtId="0" fontId="1" fillId="0" borderId="0" xfId="0" applyFont="1"/>
    <xf numFmtId="0" fontId="0" fillId="0" borderId="0" xfId="0" applyFont="1"/>
    <xf numFmtId="0" fontId="0" fillId="0" borderId="0" xfId="0" applyAlignment="1">
      <alignment wrapText="1"/>
    </xf>
    <xf numFmtId="164" fontId="0" fillId="0" borderId="0" xfId="0" applyNumberFormat="1"/>
    <xf numFmtId="165" fontId="0" fillId="0" borderId="0" xfId="0" applyNumberFormat="1"/>
    <xf numFmtId="167" fontId="0" fillId="0" borderId="0" xfId="0" applyNumberFormat="1"/>
    <xf numFmtId="168" fontId="0" fillId="0" borderId="0" xfId="0" applyNumberFormat="1"/>
    <xf numFmtId="0" fontId="4" fillId="0" borderId="0" xfId="0" applyFont="1" applyAlignment="1">
      <alignment horizontal="centerContinuous"/>
    </xf>
    <xf numFmtId="3" fontId="0" fillId="0" borderId="0" xfId="0" applyNumberFormat="1"/>
    <xf numFmtId="165" fontId="3" fillId="0" borderId="0" xfId="0" applyNumberFormat="1" applyFont="1"/>
    <xf numFmtId="165" fontId="5" fillId="0" borderId="0" xfId="0" applyNumberFormat="1" applyFont="1"/>
    <xf numFmtId="170" fontId="0" fillId="0" borderId="0" xfId="0" applyNumberFormat="1"/>
    <xf numFmtId="0" fontId="0" fillId="0" borderId="0" xfId="0" quotePrefix="1"/>
    <xf numFmtId="0" fontId="0" fillId="0" borderId="0" xfId="0" applyAlignment="1">
      <alignment horizontal="centerContinuous"/>
    </xf>
    <xf numFmtId="0" fontId="0" fillId="0" borderId="0" xfId="0" applyAlignment="1">
      <alignment horizontal="center"/>
    </xf>
    <xf numFmtId="170" fontId="0" fillId="0" borderId="0" xfId="0" applyNumberFormat="1" applyAlignment="1">
      <alignment horizontal="right"/>
    </xf>
    <xf numFmtId="0" fontId="4" fillId="0" borderId="0" xfId="0" applyFont="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168" fontId="0" fillId="0" borderId="3" xfId="0" applyNumberFormat="1" applyBorder="1"/>
    <xf numFmtId="168" fontId="0" fillId="0" borderId="0" xfId="0" applyNumberFormat="1" applyBorder="1"/>
    <xf numFmtId="168" fontId="0" fillId="0" borderId="4" xfId="0" applyNumberFormat="1" applyBorder="1"/>
    <xf numFmtId="168" fontId="0" fillId="0" borderId="5" xfId="0" applyNumberFormat="1" applyBorder="1"/>
    <xf numFmtId="168" fontId="0" fillId="0" borderId="8" xfId="0" applyNumberFormat="1" applyBorder="1"/>
    <xf numFmtId="168" fontId="0" fillId="0" borderId="6" xfId="0" applyNumberFormat="1" applyBorder="1"/>
    <xf numFmtId="169" fontId="0" fillId="0" borderId="3" xfId="0" applyNumberFormat="1" applyBorder="1"/>
    <xf numFmtId="169" fontId="0" fillId="0" borderId="0" xfId="0" applyNumberFormat="1" applyBorder="1"/>
    <xf numFmtId="169" fontId="0" fillId="0" borderId="4" xfId="0" applyNumberFormat="1" applyBorder="1"/>
    <xf numFmtId="169" fontId="0" fillId="0" borderId="5" xfId="0" applyNumberFormat="1" applyBorder="1"/>
    <xf numFmtId="169" fontId="0" fillId="0" borderId="8" xfId="0" applyNumberFormat="1" applyBorder="1"/>
    <xf numFmtId="169" fontId="0" fillId="0" borderId="6" xfId="0" applyNumberFormat="1" applyBorder="1"/>
    <xf numFmtId="170" fontId="0" fillId="0" borderId="0" xfId="0" applyNumberFormat="1" applyAlignment="1">
      <alignment horizontal="center"/>
    </xf>
    <xf numFmtId="0" fontId="0" fillId="0" borderId="0" xfId="0" applyAlignment="1">
      <alignment horizontal="center" wrapText="1"/>
    </xf>
    <xf numFmtId="165" fontId="0" fillId="0" borderId="0" xfId="0" applyNumberFormat="1" applyAlignment="1">
      <alignment horizontal="center"/>
    </xf>
    <xf numFmtId="167" fontId="0" fillId="0" borderId="0" xfId="0" applyNumberFormat="1" applyAlignment="1">
      <alignment horizontal="center"/>
    </xf>
    <xf numFmtId="164" fontId="0" fillId="0" borderId="0" xfId="0" applyNumberFormat="1" applyAlignment="1">
      <alignment horizontal="center"/>
    </xf>
    <xf numFmtId="171" fontId="0" fillId="0" borderId="0" xfId="2" applyNumberFormat="1" applyFont="1"/>
    <xf numFmtId="0" fontId="0" fillId="0" borderId="9" xfId="0" applyBorder="1"/>
    <xf numFmtId="14" fontId="0" fillId="0" borderId="9" xfId="0" applyNumberFormat="1" applyBorder="1"/>
    <xf numFmtId="171" fontId="0" fillId="0" borderId="0" xfId="0" applyNumberFormat="1"/>
    <xf numFmtId="171" fontId="0" fillId="0" borderId="0" xfId="2" applyNumberFormat="1" applyFont="1" applyAlignment="1">
      <alignment horizontal="center"/>
    </xf>
    <xf numFmtId="168" fontId="0" fillId="0" borderId="0" xfId="0" applyNumberFormat="1" applyAlignment="1">
      <alignment horizontal="right"/>
    </xf>
    <xf numFmtId="0" fontId="0" fillId="0" borderId="9" xfId="0" applyFill="1" applyBorder="1"/>
    <xf numFmtId="0" fontId="0" fillId="3" borderId="0" xfId="0" applyFill="1" applyBorder="1"/>
    <xf numFmtId="0" fontId="0" fillId="3" borderId="0" xfId="0" applyFill="1"/>
    <xf numFmtId="0" fontId="0" fillId="3" borderId="9" xfId="0" applyFill="1" applyBorder="1"/>
    <xf numFmtId="0" fontId="0" fillId="3" borderId="0" xfId="0" applyFill="1" applyAlignment="1"/>
    <xf numFmtId="0" fontId="0" fillId="3" borderId="0" xfId="0" applyFill="1" applyAlignment="1">
      <alignment horizontal="center"/>
    </xf>
    <xf numFmtId="3" fontId="5" fillId="3" borderId="0" xfId="0" applyNumberFormat="1" applyFont="1" applyFill="1" applyAlignment="1">
      <alignment horizontal="center"/>
    </xf>
    <xf numFmtId="0" fontId="4" fillId="3" borderId="0" xfId="0" applyFont="1" applyFill="1" applyAlignment="1">
      <alignment horizontal="center"/>
    </xf>
    <xf numFmtId="167" fontId="0" fillId="3" borderId="0" xfId="0" applyNumberFormat="1" applyFill="1" applyAlignment="1">
      <alignment horizontal="center"/>
    </xf>
    <xf numFmtId="170" fontId="0" fillId="3" borderId="0" xfId="0" applyNumberFormat="1" applyFill="1"/>
    <xf numFmtId="0" fontId="0" fillId="3" borderId="0" xfId="0" quotePrefix="1" applyFill="1"/>
    <xf numFmtId="0" fontId="0" fillId="3" borderId="4" xfId="0" applyFill="1" applyBorder="1"/>
    <xf numFmtId="0" fontId="0" fillId="3" borderId="13" xfId="0" applyFill="1" applyBorder="1"/>
    <xf numFmtId="0" fontId="0" fillId="3" borderId="13" xfId="0" applyFill="1" applyBorder="1" applyAlignment="1">
      <alignment horizontal="center"/>
    </xf>
    <xf numFmtId="3" fontId="5" fillId="3" borderId="13" xfId="0" applyNumberFormat="1" applyFont="1" applyFill="1" applyBorder="1" applyAlignment="1">
      <alignment horizontal="center"/>
    </xf>
    <xf numFmtId="0" fontId="0" fillId="3" borderId="4" xfId="0" applyFill="1" applyBorder="1" applyAlignment="1"/>
    <xf numFmtId="0" fontId="0" fillId="0" borderId="4" xfId="0" applyBorder="1" applyAlignment="1">
      <alignment wrapText="1"/>
    </xf>
    <xf numFmtId="0" fontId="0" fillId="0" borderId="14" xfId="0" applyBorder="1"/>
    <xf numFmtId="0" fontId="0" fillId="0" borderId="14" xfId="0" applyBorder="1" applyAlignment="1">
      <alignment horizontal="centerContinuous"/>
    </xf>
    <xf numFmtId="0" fontId="0" fillId="0" borderId="14" xfId="0" applyBorder="1" applyAlignment="1">
      <alignment wrapText="1"/>
    </xf>
    <xf numFmtId="0" fontId="0" fillId="0" borderId="0" xfId="0" applyBorder="1" applyAlignment="1">
      <alignment horizontal="centerContinuous"/>
    </xf>
    <xf numFmtId="0" fontId="0" fillId="0" borderId="0" xfId="0" applyBorder="1" applyAlignment="1">
      <alignment wrapText="1"/>
    </xf>
    <xf numFmtId="0" fontId="0" fillId="0" borderId="13" xfId="0" applyBorder="1"/>
    <xf numFmtId="165" fontId="0" fillId="0" borderId="13" xfId="0" applyNumberFormat="1" applyBorder="1"/>
    <xf numFmtId="0" fontId="0" fillId="0" borderId="13" xfId="0" applyBorder="1" applyAlignment="1">
      <alignment horizontal="centerContinuous"/>
    </xf>
    <xf numFmtId="0" fontId="0" fillId="0" borderId="13" xfId="0" applyBorder="1" applyAlignment="1">
      <alignment wrapText="1"/>
    </xf>
    <xf numFmtId="0" fontId="0" fillId="0" borderId="10" xfId="0" applyBorder="1"/>
    <xf numFmtId="0" fontId="0" fillId="0" borderId="12" xfId="0" applyBorder="1"/>
    <xf numFmtId="0" fontId="0" fillId="0" borderId="15" xfId="0" applyBorder="1"/>
    <xf numFmtId="0" fontId="0" fillId="3" borderId="16" xfId="0" applyFill="1" applyBorder="1"/>
    <xf numFmtId="0" fontId="0" fillId="3" borderId="17" xfId="0" applyFill="1" applyBorder="1"/>
    <xf numFmtId="0" fontId="0" fillId="0" borderId="16" xfId="0" applyBorder="1"/>
    <xf numFmtId="0" fontId="0" fillId="0" borderId="15" xfId="0" applyFill="1" applyBorder="1"/>
    <xf numFmtId="0" fontId="0" fillId="3" borderId="15" xfId="0" applyFill="1" applyBorder="1"/>
    <xf numFmtId="0" fontId="0" fillId="0" borderId="16" xfId="0" applyFill="1" applyBorder="1"/>
    <xf numFmtId="0" fontId="0" fillId="0" borderId="17" xfId="0" applyBorder="1"/>
    <xf numFmtId="0" fontId="0" fillId="0" borderId="17" xfId="0" applyFill="1" applyBorder="1"/>
    <xf numFmtId="0" fontId="0" fillId="3" borderId="17" xfId="0" applyFill="1" applyBorder="1" applyAlignment="1">
      <alignment horizontal="left" wrapText="1"/>
    </xf>
    <xf numFmtId="0" fontId="0" fillId="3" borderId="15" xfId="0" applyFill="1" applyBorder="1" applyAlignment="1">
      <alignment horizontal="left" wrapText="1"/>
    </xf>
    <xf numFmtId="0" fontId="4" fillId="0" borderId="1" xfId="0" applyFont="1" applyBorder="1" applyAlignment="1">
      <alignment horizontal="centerContinuous"/>
    </xf>
    <xf numFmtId="0" fontId="4" fillId="0" borderId="7" xfId="0" applyFont="1" applyBorder="1" applyAlignment="1">
      <alignment horizontal="centerContinuous"/>
    </xf>
    <xf numFmtId="0" fontId="0" fillId="0" borderId="7" xfId="0" applyBorder="1" applyAlignment="1">
      <alignment wrapText="1"/>
    </xf>
    <xf numFmtId="0" fontId="4" fillId="0" borderId="2" xfId="0" applyFont="1" applyBorder="1" applyAlignment="1">
      <alignment wrapText="1"/>
    </xf>
    <xf numFmtId="165" fontId="0" fillId="0" borderId="0" xfId="0" applyNumberFormat="1" applyBorder="1"/>
    <xf numFmtId="165" fontId="0" fillId="0" borderId="4" xfId="0" applyNumberFormat="1" applyBorder="1"/>
    <xf numFmtId="0" fontId="0" fillId="0" borderId="8" xfId="0" applyBorder="1"/>
    <xf numFmtId="0" fontId="0" fillId="0" borderId="6" xfId="0" applyBorder="1" applyAlignment="1">
      <alignment wrapText="1"/>
    </xf>
    <xf numFmtId="165" fontId="0" fillId="0" borderId="5" xfId="0" applyNumberFormat="1" applyBorder="1"/>
    <xf numFmtId="0" fontId="0" fillId="3" borderId="9" xfId="0" applyFill="1" applyBorder="1" applyAlignment="1">
      <alignment horizontal="center"/>
    </xf>
    <xf numFmtId="0" fontId="0" fillId="0" borderId="7" xfId="0" applyBorder="1" applyAlignment="1">
      <alignment horizontal="center"/>
    </xf>
    <xf numFmtId="0" fontId="0" fillId="0" borderId="0" xfId="0" applyBorder="1" applyAlignment="1">
      <alignment horizontal="center"/>
    </xf>
    <xf numFmtId="169" fontId="0" fillId="0" borderId="0" xfId="0" applyNumberFormat="1" applyBorder="1" applyAlignment="1">
      <alignment horizontal="center"/>
    </xf>
    <xf numFmtId="169" fontId="0" fillId="0" borderId="8" xfId="0" applyNumberFormat="1" applyBorder="1" applyAlignment="1">
      <alignment horizontal="center"/>
    </xf>
    <xf numFmtId="0" fontId="4" fillId="0" borderId="0" xfId="0" applyFont="1" applyAlignment="1">
      <alignment horizontal="center"/>
    </xf>
    <xf numFmtId="165" fontId="0" fillId="0" borderId="0" xfId="0" applyNumberFormat="1" applyBorder="1" applyAlignment="1">
      <alignment horizontal="center"/>
    </xf>
    <xf numFmtId="0" fontId="0" fillId="0" borderId="8" xfId="0" applyBorder="1" applyAlignment="1">
      <alignment horizontal="center"/>
    </xf>
    <xf numFmtId="164" fontId="8" fillId="3" borderId="0" xfId="0" applyNumberFormat="1" applyFont="1" applyFill="1" applyAlignment="1">
      <alignment horizontal="center"/>
    </xf>
    <xf numFmtId="9" fontId="0" fillId="3" borderId="9" xfId="0" applyNumberFormat="1" applyFill="1" applyBorder="1" applyAlignment="1">
      <alignment horizontal="center"/>
    </xf>
    <xf numFmtId="0" fontId="0" fillId="0" borderId="15" xfId="0" applyBorder="1" applyAlignment="1">
      <alignment wrapText="1"/>
    </xf>
    <xf numFmtId="0" fontId="2" fillId="3" borderId="15" xfId="1" applyFill="1" applyBorder="1" applyAlignment="1" applyProtection="1">
      <alignment horizontal="left" indent="2"/>
    </xf>
    <xf numFmtId="43" fontId="0" fillId="0" borderId="0" xfId="0" applyNumberFormat="1"/>
    <xf numFmtId="0" fontId="0" fillId="0" borderId="0" xfId="0" applyFill="1" applyAlignment="1">
      <alignment horizontal="center" wrapText="1"/>
    </xf>
    <xf numFmtId="164" fontId="8" fillId="0" borderId="0" xfId="0" applyNumberFormat="1" applyFont="1" applyAlignment="1">
      <alignment horizontal="center"/>
    </xf>
    <xf numFmtId="170" fontId="0" fillId="0" borderId="0" xfId="0" applyNumberFormat="1" applyFill="1"/>
    <xf numFmtId="0" fontId="0" fillId="0" borderId="0" xfId="0" quotePrefix="1" applyFill="1"/>
    <xf numFmtId="1" fontId="8" fillId="0" borderId="0" xfId="0" applyNumberFormat="1" applyFont="1" applyAlignment="1">
      <alignment horizontal="center"/>
    </xf>
    <xf numFmtId="0" fontId="3" fillId="0" borderId="0" xfId="0" applyFont="1" applyBorder="1"/>
    <xf numFmtId="9" fontId="9" fillId="2" borderId="9" xfId="0" applyNumberFormat="1" applyFont="1" applyFill="1" applyBorder="1" applyAlignment="1">
      <alignment horizontal="center"/>
    </xf>
    <xf numFmtId="167" fontId="9" fillId="2" borderId="10" xfId="0" applyNumberFormat="1" applyFont="1" applyFill="1" applyBorder="1" applyAlignment="1">
      <alignment horizontal="center"/>
    </xf>
    <xf numFmtId="167" fontId="9" fillId="2" borderId="11" xfId="0" applyNumberFormat="1" applyFont="1" applyFill="1" applyBorder="1" applyAlignment="1">
      <alignment horizontal="center"/>
    </xf>
    <xf numFmtId="167" fontId="9" fillId="2" borderId="12" xfId="0" applyNumberFormat="1" applyFont="1" applyFill="1" applyBorder="1" applyAlignment="1">
      <alignment horizontal="center"/>
    </xf>
    <xf numFmtId="164" fontId="10" fillId="3" borderId="0" xfId="0" applyNumberFormat="1" applyFont="1" applyFill="1" applyAlignment="1">
      <alignment horizontal="center"/>
    </xf>
    <xf numFmtId="165" fontId="8" fillId="0" borderId="9" xfId="0" applyNumberFormat="1" applyFont="1" applyFill="1" applyBorder="1" applyAlignment="1">
      <alignment horizontal="center"/>
    </xf>
    <xf numFmtId="165" fontId="9" fillId="2" borderId="9" xfId="0" applyNumberFormat="1" applyFont="1" applyFill="1" applyBorder="1" applyAlignment="1">
      <alignment horizontal="center"/>
    </xf>
    <xf numFmtId="165" fontId="9" fillId="2" borderId="10" xfId="0" applyNumberFormat="1" applyFont="1" applyFill="1" applyBorder="1" applyAlignment="1">
      <alignment horizontal="center"/>
    </xf>
    <xf numFmtId="171" fontId="10" fillId="0" borderId="0" xfId="2" applyNumberFormat="1" applyFont="1"/>
    <xf numFmtId="3" fontId="10" fillId="0" borderId="0" xfId="0" applyNumberFormat="1" applyFont="1" applyAlignment="1">
      <alignment horizontal="center"/>
    </xf>
    <xf numFmtId="164" fontId="10" fillId="0" borderId="0" xfId="0" applyNumberFormat="1" applyFont="1" applyAlignment="1">
      <alignment horizontal="right"/>
    </xf>
    <xf numFmtId="168" fontId="8" fillId="0" borderId="0" xfId="0" applyNumberFormat="1" applyFont="1" applyAlignment="1">
      <alignment horizontal="right"/>
    </xf>
    <xf numFmtId="3" fontId="10" fillId="0" borderId="0" xfId="2" applyNumberFormat="1" applyFont="1"/>
    <xf numFmtId="3" fontId="8" fillId="0" borderId="0" xfId="2" applyNumberFormat="1" applyFont="1" applyAlignment="1">
      <alignment horizontal="center"/>
    </xf>
    <xf numFmtId="164" fontId="8" fillId="0" borderId="0" xfId="2" applyNumberFormat="1" applyFont="1"/>
    <xf numFmtId="167" fontId="8" fillId="0" borderId="0" xfId="0" applyNumberFormat="1" applyFont="1" applyAlignment="1">
      <alignment horizontal="center"/>
    </xf>
    <xf numFmtId="171" fontId="8" fillId="0" borderId="0" xfId="2" applyNumberFormat="1" applyFont="1" applyAlignment="1">
      <alignment horizontal="center"/>
    </xf>
    <xf numFmtId="165" fontId="8" fillId="0" borderId="0" xfId="0" applyNumberFormat="1" applyFont="1" applyFill="1" applyAlignment="1">
      <alignment horizontal="center"/>
    </xf>
    <xf numFmtId="166" fontId="8" fillId="0" borderId="0" xfId="0" applyNumberFormat="1" applyFont="1" applyFill="1" applyAlignment="1">
      <alignment horizontal="center"/>
    </xf>
    <xf numFmtId="0" fontId="10" fillId="0" borderId="0" xfId="0" applyFont="1" applyFill="1" applyAlignment="1">
      <alignment horizontal="center"/>
    </xf>
    <xf numFmtId="4" fontId="10" fillId="0" borderId="0" xfId="0" applyNumberFormat="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center"/>
    </xf>
    <xf numFmtId="1" fontId="10" fillId="0" borderId="0" xfId="0" applyNumberFormat="1" applyFont="1" applyFill="1" applyAlignment="1">
      <alignment horizontal="center"/>
    </xf>
    <xf numFmtId="164" fontId="10" fillId="0" borderId="0" xfId="0" applyNumberFormat="1" applyFont="1" applyFill="1" applyAlignment="1">
      <alignment horizontal="center"/>
    </xf>
    <xf numFmtId="0" fontId="10" fillId="0" borderId="0" xfId="0" applyFont="1"/>
    <xf numFmtId="164" fontId="9" fillId="2" borderId="0" xfId="0" applyNumberFormat="1" applyFont="1" applyFill="1" applyAlignment="1">
      <alignment horizontal="center"/>
    </xf>
    <xf numFmtId="165" fontId="8" fillId="0" borderId="0" xfId="0" applyNumberFormat="1" applyFont="1" applyAlignment="1">
      <alignment horizontal="center"/>
    </xf>
    <xf numFmtId="165" fontId="9" fillId="2" borderId="9" xfId="0" applyNumberFormat="1" applyFont="1" applyFill="1" applyBorder="1"/>
    <xf numFmtId="169" fontId="8" fillId="0" borderId="0" xfId="0" applyNumberFormat="1" applyFont="1" applyFill="1"/>
    <xf numFmtId="167" fontId="8" fillId="0" borderId="0" xfId="0" applyNumberFormat="1" applyFont="1" applyFill="1" applyAlignment="1">
      <alignment horizontal="center"/>
    </xf>
    <xf numFmtId="166" fontId="8" fillId="0" borderId="0" xfId="0" applyNumberFormat="1" applyFont="1" applyAlignment="1">
      <alignment horizontal="center"/>
    </xf>
    <xf numFmtId="3" fontId="0" fillId="0" borderId="0" xfId="0" applyNumberFormat="1" applyAlignment="1">
      <alignment horizontal="center"/>
    </xf>
    <xf numFmtId="0" fontId="8" fillId="0" borderId="0" xfId="0" applyFont="1"/>
    <xf numFmtId="164" fontId="8" fillId="0" borderId="0" xfId="0" applyNumberFormat="1" applyFont="1" applyFill="1" applyAlignment="1">
      <alignment horizontal="center"/>
    </xf>
    <xf numFmtId="0" fontId="0" fillId="2" borderId="0" xfId="0" applyFill="1"/>
    <xf numFmtId="0" fontId="11" fillId="2" borderId="0" xfId="0" applyFont="1" applyFill="1"/>
    <xf numFmtId="0" fontId="12" fillId="3" borderId="0" xfId="0" applyFont="1" applyFill="1"/>
    <xf numFmtId="37" fontId="8" fillId="0" borderId="0" xfId="2" applyNumberFormat="1" applyFont="1" applyAlignment="1">
      <alignment horizontal="center"/>
    </xf>
    <xf numFmtId="37" fontId="0" fillId="0" borderId="0" xfId="0" applyNumberFormat="1" applyAlignment="1">
      <alignment horizontal="center"/>
    </xf>
    <xf numFmtId="37" fontId="9" fillId="2" borderId="9" xfId="2" applyNumberFormat="1" applyFont="1" applyFill="1" applyBorder="1" applyAlignment="1">
      <alignment horizontal="center"/>
    </xf>
    <xf numFmtId="37" fontId="9" fillId="0" borderId="0" xfId="2" applyNumberFormat="1" applyFont="1" applyAlignment="1">
      <alignment horizontal="center"/>
    </xf>
    <xf numFmtId="14" fontId="0" fillId="0" borderId="0" xfId="0" applyNumberFormat="1"/>
    <xf numFmtId="0" fontId="4" fillId="0" borderId="0" xfId="0" applyFont="1" applyBorder="1" applyAlignment="1">
      <alignment horizontal="centerContinuous"/>
    </xf>
    <xf numFmtId="0" fontId="4" fillId="0" borderId="0" xfId="0" applyFont="1" applyBorder="1" applyAlignment="1">
      <alignment wrapText="1"/>
    </xf>
    <xf numFmtId="0" fontId="14" fillId="0" borderId="0" xfId="0" applyFont="1"/>
    <xf numFmtId="0" fontId="15" fillId="0" borderId="0" xfId="0" applyFont="1"/>
    <xf numFmtId="164" fontId="0" fillId="3" borderId="0" xfId="0" applyNumberFormat="1" applyFill="1"/>
    <xf numFmtId="164" fontId="0" fillId="3" borderId="0" xfId="0" applyNumberFormat="1" applyFill="1" applyAlignment="1">
      <alignment horizontal="right"/>
    </xf>
    <xf numFmtId="0" fontId="0" fillId="3" borderId="17" xfId="0" applyFill="1" applyBorder="1" applyAlignment="1">
      <alignment horizontal="left" wrapText="1"/>
    </xf>
    <xf numFmtId="0" fontId="0" fillId="3" borderId="16" xfId="0" applyFill="1" applyBorder="1" applyAlignment="1">
      <alignment horizontal="left" wrapText="1"/>
    </xf>
    <xf numFmtId="0" fontId="0" fillId="0" borderId="17" xfId="0" applyBorder="1" applyAlignment="1">
      <alignment horizontal="center"/>
    </xf>
    <xf numFmtId="0" fontId="0" fillId="0" borderId="16" xfId="0" applyBorder="1" applyAlignment="1">
      <alignment horizontal="center"/>
    </xf>
    <xf numFmtId="0" fontId="0" fillId="3" borderId="17" xfId="0" applyFill="1" applyBorder="1" applyAlignment="1">
      <alignment horizontal="center"/>
    </xf>
    <xf numFmtId="0" fontId="0" fillId="3" borderId="16" xfId="0" applyFill="1" applyBorder="1" applyAlignment="1">
      <alignment horizontal="center"/>
    </xf>
    <xf numFmtId="0" fontId="0" fillId="0" borderId="17"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5" xfId="0" applyBorder="1" applyAlignment="1">
      <alignment horizontal="center"/>
    </xf>
    <xf numFmtId="0" fontId="0" fillId="3" borderId="15" xfId="0" applyFill="1" applyBorder="1" applyAlignment="1">
      <alignment horizontal="left" wrapText="1"/>
    </xf>
    <xf numFmtId="0" fontId="0" fillId="3" borderId="15" xfId="0" applyFill="1" applyBorder="1" applyAlignment="1">
      <alignment horizontal="center"/>
    </xf>
    <xf numFmtId="0" fontId="0" fillId="3" borderId="9" xfId="0" applyFill="1" applyBorder="1" applyAlignment="1">
      <alignment horizontal="center"/>
    </xf>
  </cellXfs>
  <cellStyles count="4">
    <cellStyle name="Comma" xfId="2" builtinId="3"/>
    <cellStyle name="Followed Hyperlink" xfId="3" builtinId="9" hidden="1"/>
    <cellStyle name="Hyperlink" xfId="1" builtinId="8"/>
    <cellStyle name="Normal" xfId="0" builtinId="0"/>
  </cellStyles>
  <dxfs count="0"/>
  <tableStyles count="0" defaultTableStyle="TableStyleMedium9"/>
  <colors>
    <mruColors>
      <color rgb="FF0000FF"/>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-- 1'!$X$32</c:f>
              <c:strCache>
                <c:ptCount val="1"/>
              </c:strCache>
            </c:strRef>
          </c:tx>
          <c:cat>
            <c:numRef>
              <c:f>'2. Loss Trend Factor -- 1'!$W$33:$W$52</c:f>
              <c:numCache>
                <c:formatCode>General</c:formatCode>
                <c:ptCount val="20"/>
              </c:numCache>
            </c:numRef>
          </c:cat>
          <c:val>
            <c:numRef>
              <c:f>'2. Loss Trend Factor -- 1'!$X$33:$X$52</c:f>
              <c:numCache>
                <c:formatCode>0.000</c:formatCode>
                <c:ptCount val="20"/>
              </c:numCache>
            </c:numRef>
          </c:val>
          <c:smooth val="0"/>
          <c:extLst>
            <c:ext xmlns:c16="http://schemas.microsoft.com/office/drawing/2014/chart" uri="{C3380CC4-5D6E-409C-BE32-E72D297353CC}">
              <c16:uniqueId val="{00000000-A808-49E1-AB0F-C2C7F6C468E7}"/>
            </c:ext>
          </c:extLst>
        </c:ser>
        <c:ser>
          <c:idx val="1"/>
          <c:order val="1"/>
          <c:tx>
            <c:strRef>
              <c:f>'2. Loss Trend Factor -- 1'!$Y$32</c:f>
              <c:strCache>
                <c:ptCount val="1"/>
                <c:pt idx="0">
                  <c:v>20-pt fit</c:v>
                </c:pt>
              </c:strCache>
            </c:strRef>
          </c:tx>
          <c:spPr>
            <a:ln>
              <a:solidFill>
                <a:srgbClr val="FFFF00"/>
              </a:solidFill>
            </a:ln>
          </c:spPr>
          <c:marker>
            <c:symbol val="diamond"/>
            <c:size val="7"/>
            <c:spPr>
              <a:solidFill>
                <a:srgbClr val="FFFF00"/>
              </a:solidFill>
              <a:ln>
                <a:noFill/>
              </a:ln>
            </c:spPr>
          </c:marker>
          <c:cat>
            <c:numRef>
              <c:f>'2. Loss Trend Factor -- 1'!$W$33:$W$52</c:f>
              <c:numCache>
                <c:formatCode>General</c:formatCode>
                <c:ptCount val="20"/>
              </c:numCache>
            </c:numRef>
          </c:cat>
          <c:val>
            <c:numRef>
              <c:f>'2. Loss Trend Factor -- 1'!$Y$33:$Y$52</c:f>
              <c:numCache>
                <c:formatCode>0.000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1-A808-49E1-AB0F-C2C7F6C468E7}"/>
            </c:ext>
          </c:extLst>
        </c:ser>
        <c:ser>
          <c:idx val="2"/>
          <c:order val="2"/>
          <c:tx>
            <c:strRef>
              <c:f>'2. Loss Trend Factor -- 1'!$E$32</c:f>
              <c:strCache>
                <c:ptCount val="1"/>
              </c:strCache>
            </c:strRef>
          </c:tx>
          <c:spPr>
            <a:ln>
              <a:solidFill>
                <a:srgbClr val="00B050"/>
              </a:solidFill>
            </a:ln>
          </c:spPr>
          <c:marker>
            <c:symbol val="star"/>
            <c:size val="7"/>
            <c:spPr>
              <a:solidFill>
                <a:srgbClr val="00B050"/>
              </a:solidFill>
              <a:ln>
                <a:noFill/>
              </a:ln>
            </c:spPr>
          </c:marker>
          <c:cat>
            <c:numRef>
              <c:f>'2. Loss Trend Factor -- 1'!$W$33:$W$52</c:f>
              <c:numCache>
                <c:formatCode>General</c:formatCode>
                <c:ptCount val="20"/>
              </c:numCache>
            </c:numRef>
          </c:cat>
          <c:val>
            <c:numRef>
              <c:f>'2. Loss Trend Factor -- 1'!$Z$33:$Z$52</c:f>
              <c:numCache>
                <c:formatCode>0.000</c:formatCode>
                <c:ptCount val="20"/>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A808-49E1-AB0F-C2C7F6C468E7}"/>
            </c:ext>
          </c:extLst>
        </c:ser>
        <c:ser>
          <c:idx val="3"/>
          <c:order val="3"/>
          <c:tx>
            <c:strRef>
              <c:f>'2. Loss Trend Factor -- 1'!$AA$32</c:f>
              <c:strCache>
                <c:ptCount val="1"/>
                <c:pt idx="0">
                  <c:v>6-pt fit</c:v>
                </c:pt>
              </c:strCache>
            </c:strRef>
          </c:tx>
          <c:spPr>
            <a:ln>
              <a:solidFill>
                <a:srgbClr val="FF0000"/>
              </a:solidFill>
            </a:ln>
          </c:spPr>
          <c:marker>
            <c:spPr>
              <a:solidFill>
                <a:srgbClr val="FF0000"/>
              </a:solidFill>
              <a:ln>
                <a:noFill/>
              </a:ln>
            </c:spPr>
          </c:marker>
          <c:cat>
            <c:numRef>
              <c:f>'2. Loss Trend Factor -- 1'!$W$33:$W$52</c:f>
              <c:numCache>
                <c:formatCode>General</c:formatCode>
                <c:ptCount val="20"/>
              </c:numCache>
            </c:numRef>
          </c:cat>
          <c:val>
            <c:numRef>
              <c:f>'2. Loss Trend Factor -- 1'!$AA$33:$AA$52</c:f>
              <c:numCache>
                <c:formatCode>0.000</c:formatCode>
                <c:ptCount val="20"/>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3-A808-49E1-AB0F-C2C7F6C468E7}"/>
            </c:ext>
          </c:extLst>
        </c:ser>
        <c:dLbls>
          <c:showLegendKey val="0"/>
          <c:showVal val="0"/>
          <c:showCatName val="0"/>
          <c:showSerName val="0"/>
          <c:showPercent val="0"/>
          <c:showBubbleSize val="0"/>
        </c:dLbls>
        <c:marker val="1"/>
        <c:smooth val="0"/>
        <c:axId val="456733368"/>
        <c:axId val="456746520"/>
      </c:lineChart>
      <c:catAx>
        <c:axId val="456733368"/>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456746520"/>
        <c:crosses val="autoZero"/>
        <c:auto val="1"/>
        <c:lblAlgn val="ctr"/>
        <c:lblOffset val="100"/>
        <c:noMultiLvlLbl val="0"/>
      </c:catAx>
      <c:valAx>
        <c:axId val="456746520"/>
        <c:scaling>
          <c:orientation val="minMax"/>
          <c:min val="0.01"/>
        </c:scaling>
        <c:delete val="0"/>
        <c:axPos val="l"/>
        <c:majorGridlines/>
        <c:title>
          <c:tx>
            <c:rich>
              <a:bodyPr rot="-5400000" vert="horz"/>
              <a:lstStyle/>
              <a:p>
                <a:pPr>
                  <a:defRPr/>
                </a:pPr>
                <a:r>
                  <a:rPr lang="en-US"/>
                  <a:t>Frequency</a:t>
                </a:r>
              </a:p>
            </c:rich>
          </c:tx>
          <c:overlay val="0"/>
        </c:title>
        <c:numFmt formatCode="0.000" sourceLinked="1"/>
        <c:majorTickMark val="out"/>
        <c:minorTickMark val="none"/>
        <c:tickLblPos val="nextTo"/>
        <c:crossAx val="456733368"/>
        <c:crosses val="autoZero"/>
        <c:crossBetween val="between"/>
      </c:valAx>
    </c:plotArea>
    <c:legend>
      <c:legendPos val="r"/>
      <c:layout>
        <c:manualLayout>
          <c:xMode val="edge"/>
          <c:yMode val="edge"/>
          <c:x val="0.72037128490147195"/>
          <c:y val="0.20212207733662901"/>
          <c:w val="0.207865199189772"/>
          <c:h val="0.55542759619585902"/>
        </c:manualLayout>
      </c:layout>
      <c:overlay val="0"/>
    </c:legend>
    <c:plotVisOnly val="1"/>
    <c:dispBlanksAs val="gap"/>
    <c:showDLblsOverMax val="0"/>
  </c:chart>
  <c:printSettings>
    <c:headerFooter/>
    <c:pageMargins b="0.750000000000003" l="0.70000000000000195" r="0.70000000000000195" t="0.750000000000003"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-- 1'!$AB$32</c:f>
              <c:strCache>
                <c:ptCount val="1"/>
                <c:pt idx="0">
                  <c:v>Average Severity</c:v>
                </c:pt>
              </c:strCache>
            </c:strRef>
          </c:tx>
          <c:cat>
            <c:numRef>
              <c:f>'2. Loss Trend Factor -- 1'!$W$33:$W$52</c:f>
              <c:numCache>
                <c:formatCode>General</c:formatCode>
                <c:ptCount val="20"/>
              </c:numCache>
            </c:numRef>
          </c:cat>
          <c:val>
            <c:numRef>
              <c:f>'2. Loss Trend Factor -- 1'!$AB$33:$AB$52</c:f>
              <c:numCache>
                <c:formatCode>"$"#,##0.00</c:formatCode>
                <c:ptCount val="20"/>
                <c:pt idx="0">
                  <c:v>2597.0909090909095</c:v>
                </c:pt>
                <c:pt idx="1">
                  <c:v>2216.666666666667</c:v>
                </c:pt>
                <c:pt idx="2">
                  <c:v>2677.0933333333337</c:v>
                </c:pt>
                <c:pt idx="3">
                  <c:v>2915.0080000000003</c:v>
                </c:pt>
                <c:pt idx="4">
                  <c:v>3126.3515151515153</c:v>
                </c:pt>
                <c:pt idx="5">
                  <c:v>2492.0250000000001</c:v>
                </c:pt>
                <c:pt idx="6">
                  <c:v>3389.875</c:v>
                </c:pt>
                <c:pt idx="7">
                  <c:v>3072</c:v>
                </c:pt>
                <c:pt idx="8">
                  <c:v>3402.2451612903228</c:v>
                </c:pt>
                <c:pt idx="9">
                  <c:v>2594.4774193548387</c:v>
                </c:pt>
                <c:pt idx="10">
                  <c:v>2696.2000000000003</c:v>
                </c:pt>
                <c:pt idx="11">
                  <c:v>2371.5027027027027</c:v>
                </c:pt>
                <c:pt idx="12">
                  <c:v>3171.626666666667</c:v>
                </c:pt>
                <c:pt idx="13">
                  <c:v>2906.125</c:v>
                </c:pt>
                <c:pt idx="14">
                  <c:v>3923.9466666666667</c:v>
                </c:pt>
                <c:pt idx="15">
                  <c:v>2947.8</c:v>
                </c:pt>
                <c:pt idx="16">
                  <c:v>3225.8064516129034</c:v>
                </c:pt>
                <c:pt idx="17">
                  <c:v>2360.9454545454546</c:v>
                </c:pt>
                <c:pt idx="18">
                  <c:v>4441.2444444444445</c:v>
                </c:pt>
                <c:pt idx="19">
                  <c:v>2989.6952380952384</c:v>
                </c:pt>
              </c:numCache>
            </c:numRef>
          </c:val>
          <c:smooth val="0"/>
          <c:extLst>
            <c:ext xmlns:c16="http://schemas.microsoft.com/office/drawing/2014/chart" uri="{C3380CC4-5D6E-409C-BE32-E72D297353CC}">
              <c16:uniqueId val="{00000000-B13D-4323-BC02-856ECD8B62B5}"/>
            </c:ext>
          </c:extLst>
        </c:ser>
        <c:ser>
          <c:idx val="1"/>
          <c:order val="1"/>
          <c:tx>
            <c:strRef>
              <c:f>'2. Loss Trend Factor -- 1'!$AC$32</c:f>
              <c:strCache>
                <c:ptCount val="1"/>
                <c:pt idx="0">
                  <c:v>20-pt fit</c:v>
                </c:pt>
              </c:strCache>
            </c:strRef>
          </c:tx>
          <c:spPr>
            <a:ln>
              <a:solidFill>
                <a:srgbClr val="FFFF00"/>
              </a:solidFill>
            </a:ln>
          </c:spPr>
          <c:marker>
            <c:symbol val="diamond"/>
            <c:size val="7"/>
            <c:spPr>
              <a:solidFill>
                <a:srgbClr val="FFFF00"/>
              </a:solidFill>
              <a:ln>
                <a:noFill/>
              </a:ln>
            </c:spPr>
          </c:marker>
          <c:cat>
            <c:numRef>
              <c:f>'2. Loss Trend Factor -- 1'!$W$33:$W$52</c:f>
              <c:numCache>
                <c:formatCode>General</c:formatCode>
                <c:ptCount val="20"/>
              </c:numCache>
            </c:numRef>
          </c:cat>
          <c:val>
            <c:numRef>
              <c:f>'2. Loss Trend Factor -- 1'!$AC$33:$AC$52</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1-B13D-4323-BC02-856ECD8B62B5}"/>
            </c:ext>
          </c:extLst>
        </c:ser>
        <c:ser>
          <c:idx val="2"/>
          <c:order val="2"/>
          <c:tx>
            <c:strRef>
              <c:f>'2. Loss Trend Factor -- 1'!$AD$32</c:f>
              <c:strCache>
                <c:ptCount val="1"/>
                <c:pt idx="0">
                  <c:v>12-pt fit</c:v>
                </c:pt>
              </c:strCache>
            </c:strRef>
          </c:tx>
          <c:spPr>
            <a:ln>
              <a:solidFill>
                <a:srgbClr val="00B050"/>
              </a:solidFill>
            </a:ln>
          </c:spPr>
          <c:marker>
            <c:symbol val="star"/>
            <c:size val="7"/>
            <c:spPr>
              <a:solidFill>
                <a:srgbClr val="00B050"/>
              </a:solidFill>
              <a:ln>
                <a:noFill/>
              </a:ln>
            </c:spPr>
          </c:marker>
          <c:cat>
            <c:numRef>
              <c:f>'2. Loss Trend Factor -- 1'!$W$33:$W$52</c:f>
              <c:numCache>
                <c:formatCode>General</c:formatCode>
                <c:ptCount val="20"/>
              </c:numCache>
            </c:numRef>
          </c:cat>
          <c:val>
            <c:numRef>
              <c:f>'2. Loss Trend Factor -- 1'!$AD$33:$AD$52</c:f>
              <c:numCache>
                <c:formatCode>"$"#,##0.00</c:formatCode>
                <c:ptCount val="20"/>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B13D-4323-BC02-856ECD8B62B5}"/>
            </c:ext>
          </c:extLst>
        </c:ser>
        <c:ser>
          <c:idx val="3"/>
          <c:order val="3"/>
          <c:tx>
            <c:strRef>
              <c:f>'2. Loss Trend Factor -- 1'!$AE$32</c:f>
              <c:strCache>
                <c:ptCount val="1"/>
                <c:pt idx="0">
                  <c:v>6-pt fit</c:v>
                </c:pt>
              </c:strCache>
            </c:strRef>
          </c:tx>
          <c:spPr>
            <a:ln>
              <a:solidFill>
                <a:srgbClr val="FF0000"/>
              </a:solidFill>
            </a:ln>
          </c:spPr>
          <c:marker>
            <c:spPr>
              <a:solidFill>
                <a:srgbClr val="FF0000"/>
              </a:solidFill>
              <a:ln>
                <a:noFill/>
              </a:ln>
            </c:spPr>
          </c:marker>
          <c:cat>
            <c:numRef>
              <c:f>'2. Loss Trend Factor -- 1'!$W$33:$W$52</c:f>
              <c:numCache>
                <c:formatCode>General</c:formatCode>
                <c:ptCount val="20"/>
              </c:numCache>
            </c:numRef>
          </c:cat>
          <c:val>
            <c:numRef>
              <c:f>'2. Loss Trend Factor -- 1'!$AE$33:$AE$52</c:f>
              <c:numCache>
                <c:formatCode>"$"#,##0.00</c:formatCode>
                <c:ptCount val="20"/>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3-B13D-4323-BC02-856ECD8B62B5}"/>
            </c:ext>
          </c:extLst>
        </c:ser>
        <c:dLbls>
          <c:showLegendKey val="0"/>
          <c:showVal val="0"/>
          <c:showCatName val="0"/>
          <c:showSerName val="0"/>
          <c:showPercent val="0"/>
          <c:showBubbleSize val="0"/>
        </c:dLbls>
        <c:marker val="1"/>
        <c:smooth val="0"/>
        <c:axId val="453948200"/>
        <c:axId val="453962504"/>
      </c:lineChart>
      <c:catAx>
        <c:axId val="453948200"/>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453962504"/>
        <c:crosses val="autoZero"/>
        <c:auto val="1"/>
        <c:lblAlgn val="ctr"/>
        <c:lblOffset val="100"/>
        <c:noMultiLvlLbl val="0"/>
      </c:catAx>
      <c:valAx>
        <c:axId val="453962504"/>
        <c:scaling>
          <c:orientation val="minMax"/>
        </c:scaling>
        <c:delete val="0"/>
        <c:axPos val="l"/>
        <c:majorGridlines/>
        <c:title>
          <c:tx>
            <c:rich>
              <a:bodyPr rot="-5400000" vert="horz"/>
              <a:lstStyle/>
              <a:p>
                <a:pPr>
                  <a:defRPr/>
                </a:pPr>
                <a:r>
                  <a:rPr lang="en-US"/>
                  <a:t>Severity</a:t>
                </a:r>
              </a:p>
            </c:rich>
          </c:tx>
          <c:overlay val="0"/>
        </c:title>
        <c:numFmt formatCode="&quot;$&quot;#,##0.00" sourceLinked="1"/>
        <c:majorTickMark val="out"/>
        <c:minorTickMark val="none"/>
        <c:tickLblPos val="nextTo"/>
        <c:crossAx val="453948200"/>
        <c:crosses val="autoZero"/>
        <c:crossBetween val="between"/>
      </c:valAx>
    </c:plotArea>
    <c:legend>
      <c:legendPos val="r"/>
      <c:overlay val="0"/>
    </c:legend>
    <c:plotVisOnly val="1"/>
    <c:dispBlanksAs val="gap"/>
    <c:showDLblsOverMax val="0"/>
  </c:chart>
  <c:printSettings>
    <c:headerFooter/>
    <c:pageMargins b="0.750000000000002" l="0.70000000000000195" r="0.70000000000000195" t="0.750000000000002"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Loss Trend Factor -- 1'!$AF$32</c:f>
              <c:strCache>
                <c:ptCount val="1"/>
                <c:pt idx="0">
                  <c:v>Average Premium</c:v>
                </c:pt>
              </c:strCache>
            </c:strRef>
          </c:tx>
          <c:cat>
            <c:numRef>
              <c:f>'2. Loss Trend Factor -- 1'!$W$33:$W$52</c:f>
              <c:numCache>
                <c:formatCode>General</c:formatCode>
                <c:ptCount val="20"/>
              </c:numCache>
            </c:numRef>
          </c:cat>
          <c:val>
            <c:numRef>
              <c:f>'2. Loss Trend Factor -- 1'!$AF$33:$AF$52</c:f>
              <c:numCache>
                <c:formatCode>"$"#,##0.00</c:formatCode>
                <c:ptCount val="20"/>
                <c:pt idx="0">
                  <c:v>82.876450511945407</c:v>
                </c:pt>
                <c:pt idx="1">
                  <c:v>63.870056497175149</c:v>
                </c:pt>
                <c:pt idx="2">
                  <c:v>76.617149270482614</c:v>
                </c:pt>
                <c:pt idx="3">
                  <c:v>137.5003773584906</c:v>
                </c:pt>
                <c:pt idx="4">
                  <c:v>95.735982532751095</c:v>
                </c:pt>
                <c:pt idx="5">
                  <c:v>73.120906148867306</c:v>
                </c:pt>
                <c:pt idx="6">
                  <c:v>98.509188034188043</c:v>
                </c:pt>
                <c:pt idx="7">
                  <c:v>113.8927659574468</c:v>
                </c:pt>
                <c:pt idx="8">
                  <c:v>95.779017094017107</c:v>
                </c:pt>
                <c:pt idx="9">
                  <c:v>73.431235230934462</c:v>
                </c:pt>
                <c:pt idx="10">
                  <c:v>79.111801510248114</c:v>
                </c:pt>
                <c:pt idx="11">
                  <c:v>80.457130528586845</c:v>
                </c:pt>
                <c:pt idx="12">
                  <c:v>87.151379310344836</c:v>
                </c:pt>
                <c:pt idx="13">
                  <c:v>84.90504833512351</c:v>
                </c:pt>
                <c:pt idx="14">
                  <c:v>107.24613076098606</c:v>
                </c:pt>
                <c:pt idx="15">
                  <c:v>107.30749464668094</c:v>
                </c:pt>
                <c:pt idx="16">
                  <c:v>90.618336886993603</c:v>
                </c:pt>
                <c:pt idx="17">
                  <c:v>70.153093220338974</c:v>
                </c:pt>
                <c:pt idx="18">
                  <c:v>107.85879365079366</c:v>
                </c:pt>
                <c:pt idx="19">
                  <c:v>111.99592864637987</c:v>
                </c:pt>
              </c:numCache>
            </c:numRef>
          </c:val>
          <c:smooth val="0"/>
          <c:extLst>
            <c:ext xmlns:c16="http://schemas.microsoft.com/office/drawing/2014/chart" uri="{C3380CC4-5D6E-409C-BE32-E72D297353CC}">
              <c16:uniqueId val="{00000000-7471-463E-BE6E-33CFF5B864A5}"/>
            </c:ext>
          </c:extLst>
        </c:ser>
        <c:ser>
          <c:idx val="1"/>
          <c:order val="1"/>
          <c:tx>
            <c:strRef>
              <c:f>'2. Loss Trend Factor -- 1'!$AG$32</c:f>
              <c:strCache>
                <c:ptCount val="1"/>
                <c:pt idx="0">
                  <c:v>20-pt fit</c:v>
                </c:pt>
              </c:strCache>
            </c:strRef>
          </c:tx>
          <c:spPr>
            <a:ln>
              <a:solidFill>
                <a:srgbClr val="FFFF00"/>
              </a:solidFill>
            </a:ln>
          </c:spPr>
          <c:marker>
            <c:symbol val="diamond"/>
            <c:size val="7"/>
            <c:spPr>
              <a:solidFill>
                <a:srgbClr val="FFFF00"/>
              </a:solidFill>
              <a:ln>
                <a:noFill/>
              </a:ln>
            </c:spPr>
          </c:marker>
          <c:cat>
            <c:numRef>
              <c:f>'2. Loss Trend Factor -- 1'!$W$33:$W$52</c:f>
              <c:numCache>
                <c:formatCode>General</c:formatCode>
                <c:ptCount val="20"/>
              </c:numCache>
            </c:numRef>
          </c:cat>
          <c:val>
            <c:numRef>
              <c:f>'2. Loss Trend Factor -- 1'!$AG$33:$AG$52</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1-7471-463E-BE6E-33CFF5B864A5}"/>
            </c:ext>
          </c:extLst>
        </c:ser>
        <c:ser>
          <c:idx val="2"/>
          <c:order val="2"/>
          <c:tx>
            <c:strRef>
              <c:f>'2. Loss Trend Factor -- 1'!$AH$32</c:f>
              <c:strCache>
                <c:ptCount val="1"/>
                <c:pt idx="0">
                  <c:v>12-pt fit</c:v>
                </c:pt>
              </c:strCache>
            </c:strRef>
          </c:tx>
          <c:spPr>
            <a:ln>
              <a:solidFill>
                <a:srgbClr val="00B050"/>
              </a:solidFill>
            </a:ln>
          </c:spPr>
          <c:marker>
            <c:symbol val="star"/>
            <c:size val="7"/>
            <c:spPr>
              <a:solidFill>
                <a:srgbClr val="00B050"/>
              </a:solidFill>
              <a:ln>
                <a:noFill/>
              </a:ln>
            </c:spPr>
          </c:marker>
          <c:cat>
            <c:numRef>
              <c:f>'2. Loss Trend Factor -- 1'!$W$33:$W$52</c:f>
              <c:numCache>
                <c:formatCode>General</c:formatCode>
                <c:ptCount val="20"/>
              </c:numCache>
            </c:numRef>
          </c:cat>
          <c:val>
            <c:numRef>
              <c:f>'2. Loss Trend Factor -- 1'!$AH$33:$AH$52</c:f>
              <c:numCache>
                <c:formatCode>"$"#,##0.00</c:formatCode>
                <c:ptCount val="20"/>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7471-463E-BE6E-33CFF5B864A5}"/>
            </c:ext>
          </c:extLst>
        </c:ser>
        <c:ser>
          <c:idx val="3"/>
          <c:order val="3"/>
          <c:tx>
            <c:strRef>
              <c:f>'2. Loss Trend Factor -- 1'!$AI$32</c:f>
              <c:strCache>
                <c:ptCount val="1"/>
                <c:pt idx="0">
                  <c:v>6-pt fit</c:v>
                </c:pt>
              </c:strCache>
            </c:strRef>
          </c:tx>
          <c:spPr>
            <a:ln>
              <a:solidFill>
                <a:srgbClr val="FF0000"/>
              </a:solidFill>
            </a:ln>
          </c:spPr>
          <c:marker>
            <c:spPr>
              <a:solidFill>
                <a:srgbClr val="FF0000"/>
              </a:solidFill>
              <a:ln>
                <a:noFill/>
              </a:ln>
            </c:spPr>
          </c:marker>
          <c:cat>
            <c:numRef>
              <c:f>'2. Loss Trend Factor -- 1'!$W$33:$W$52</c:f>
              <c:numCache>
                <c:formatCode>General</c:formatCode>
                <c:ptCount val="20"/>
              </c:numCache>
            </c:numRef>
          </c:cat>
          <c:val>
            <c:numRef>
              <c:f>'2. Loss Trend Factor -- 1'!$AI$33:$AI$52</c:f>
              <c:numCache>
                <c:formatCode>"$"#,##0.00</c:formatCode>
                <c:ptCount val="20"/>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3-7471-463E-BE6E-33CFF5B864A5}"/>
            </c:ext>
          </c:extLst>
        </c:ser>
        <c:dLbls>
          <c:showLegendKey val="0"/>
          <c:showVal val="0"/>
          <c:showCatName val="0"/>
          <c:showSerName val="0"/>
          <c:showPercent val="0"/>
          <c:showBubbleSize val="0"/>
        </c:dLbls>
        <c:marker val="1"/>
        <c:smooth val="0"/>
        <c:axId val="454001704"/>
        <c:axId val="454015992"/>
      </c:lineChart>
      <c:catAx>
        <c:axId val="454001704"/>
        <c:scaling>
          <c:orientation val="minMax"/>
        </c:scaling>
        <c:delete val="0"/>
        <c:axPos val="b"/>
        <c:title>
          <c:tx>
            <c:rich>
              <a:bodyPr/>
              <a:lstStyle/>
              <a:p>
                <a:pPr>
                  <a:defRPr/>
                </a:pPr>
                <a:r>
                  <a:rPr lang="en-US"/>
                  <a:t>Year Ending Quarter</a:t>
                </a:r>
              </a:p>
            </c:rich>
          </c:tx>
          <c:overlay val="0"/>
        </c:title>
        <c:numFmt formatCode="General" sourceLinked="0"/>
        <c:majorTickMark val="out"/>
        <c:minorTickMark val="none"/>
        <c:tickLblPos val="nextTo"/>
        <c:crossAx val="454015992"/>
        <c:crosses val="autoZero"/>
        <c:auto val="1"/>
        <c:lblAlgn val="ctr"/>
        <c:lblOffset val="100"/>
        <c:noMultiLvlLbl val="0"/>
      </c:catAx>
      <c:valAx>
        <c:axId val="454015992"/>
        <c:scaling>
          <c:orientation val="minMax"/>
        </c:scaling>
        <c:delete val="0"/>
        <c:axPos val="l"/>
        <c:majorGridlines/>
        <c:title>
          <c:tx>
            <c:rich>
              <a:bodyPr rot="-5400000" vert="horz"/>
              <a:lstStyle/>
              <a:p>
                <a:pPr>
                  <a:defRPr/>
                </a:pPr>
                <a:r>
                  <a:rPr lang="en-US"/>
                  <a:t>Loss Cost</a:t>
                </a:r>
              </a:p>
            </c:rich>
          </c:tx>
          <c:overlay val="0"/>
        </c:title>
        <c:numFmt formatCode="&quot;$&quot;#,##0.00" sourceLinked="1"/>
        <c:majorTickMark val="out"/>
        <c:minorTickMark val="none"/>
        <c:tickLblPos val="nextTo"/>
        <c:crossAx val="454001704"/>
        <c:crosses val="autoZero"/>
        <c:crossBetween val="between"/>
      </c:valAx>
    </c:plotArea>
    <c:legend>
      <c:legendPos val="r"/>
      <c:overlay val="0"/>
    </c:legend>
    <c:plotVisOnly val="1"/>
    <c:dispBlanksAs val="gap"/>
    <c:showDLblsOverMax val="0"/>
  </c:chart>
  <c:printSettings>
    <c:headerFooter/>
    <c:pageMargins b="0.750000000000002" l="0.70000000000000195" r="0.70000000000000195" t="0.750000000000002"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726968</xdr:colOff>
      <xdr:row>0</xdr:row>
      <xdr:rowOff>148896</xdr:rowOff>
    </xdr:from>
    <xdr:to>
      <xdr:col>3</xdr:col>
      <xdr:colOff>584343</xdr:colOff>
      <xdr:row>5</xdr:row>
      <xdr:rowOff>164417</xdr:rowOff>
    </xdr:to>
    <xdr:pic>
      <xdr:nvPicPr>
        <xdr:cNvPr id="5" name="Picture 4">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6899" y="148896"/>
          <a:ext cx="1276272" cy="1285521"/>
        </a:xfrm>
        <a:prstGeom prst="rect">
          <a:avLst/>
        </a:prstGeom>
      </xdr:spPr>
    </xdr:pic>
    <xdr:clientData/>
  </xdr:twoCellAnchor>
  <xdr:twoCellAnchor editAs="oneCell">
    <xdr:from>
      <xdr:col>3</xdr:col>
      <xdr:colOff>630620</xdr:colOff>
      <xdr:row>0</xdr:row>
      <xdr:rowOff>0</xdr:rowOff>
    </xdr:from>
    <xdr:to>
      <xdr:col>3</xdr:col>
      <xdr:colOff>2242207</xdr:colOff>
      <xdr:row>6</xdr:row>
      <xdr:rowOff>157656</xdr:rowOff>
    </xdr:to>
    <xdr:pic>
      <xdr:nvPicPr>
        <xdr:cNvPr id="3" name="Picture 2">
          <a:extLst>
            <a:ext uri="{FF2B5EF4-FFF2-40B4-BE49-F238E27FC236}">
              <a16:creationId xmlns:a16="http://schemas.microsoft.com/office/drawing/2014/main" id="{8D7BCC57-3402-444A-A929-2B8249184BF9}"/>
            </a:ext>
          </a:extLst>
        </xdr:cNvPr>
        <xdr:cNvPicPr>
          <a:picLocks noChangeAspect="1"/>
        </xdr:cNvPicPr>
      </xdr:nvPicPr>
      <xdr:blipFill>
        <a:blip xmlns:r="http://schemas.openxmlformats.org/officeDocument/2006/relationships" r:embed="rId2"/>
        <a:stretch>
          <a:fillRect/>
        </a:stretch>
      </xdr:blipFill>
      <xdr:spPr>
        <a:xfrm>
          <a:off x="3249448" y="0"/>
          <a:ext cx="1611587" cy="1611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21</xdr:col>
      <xdr:colOff>0</xdr:colOff>
      <xdr:row>54</xdr:row>
      <xdr:rowOff>97491</xdr:rowOff>
    </xdr:from>
    <xdr:to>
      <xdr:col>27</xdr:col>
      <xdr:colOff>0</xdr:colOff>
      <xdr:row>74</xdr:row>
      <xdr:rowOff>78441</xdr:rowOff>
    </xdr:to>
    <xdr:graphicFrame macro="">
      <xdr:nvGraphicFramePr>
        <xdr:cNvPr id="5" name="Chart 4">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799355</xdr:colOff>
      <xdr:row>54</xdr:row>
      <xdr:rowOff>101227</xdr:rowOff>
    </xdr:from>
    <xdr:to>
      <xdr:col>33</xdr:col>
      <xdr:colOff>343648</xdr:colOff>
      <xdr:row>74</xdr:row>
      <xdr:rowOff>104589</xdr:rowOff>
    </xdr:to>
    <xdr:graphicFrame macro="">
      <xdr:nvGraphicFramePr>
        <xdr:cNvPr id="6" name="Chart 5">
          <a:extLst>
            <a:ext uri="{FF2B5EF4-FFF2-40B4-BE49-F238E27FC236}">
              <a16:creationId xmlns:a16="http://schemas.microsoft.com/office/drawing/2014/main" id="{00000000-0008-0000-0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33</xdr:col>
      <xdr:colOff>351119</xdr:colOff>
      <xdr:row>54</xdr:row>
      <xdr:rowOff>142312</xdr:rowOff>
    </xdr:from>
    <xdr:to>
      <xdr:col>40</xdr:col>
      <xdr:colOff>627529</xdr:colOff>
      <xdr:row>74</xdr:row>
      <xdr:rowOff>179291</xdr:rowOff>
    </xdr:to>
    <xdr:graphicFrame macro="">
      <xdr:nvGraphicFramePr>
        <xdr:cNvPr id="10" name="Chart 9">
          <a:extLst>
            <a:ext uri="{FF2B5EF4-FFF2-40B4-BE49-F238E27FC236}">
              <a16:creationId xmlns:a16="http://schemas.microsoft.com/office/drawing/2014/main" id="{00000000-0008-0000-05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casact.org/library/studynotes/Friedland_estimating.pdf" TargetMode="External"/><Relationship Id="rId1" Type="http://schemas.openxmlformats.org/officeDocument/2006/relationships/hyperlink" Target="http://www.casact.org/library/studynotes/Werner_Modlin_Ratemaking.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B3" sqref="B3"/>
    </sheetView>
  </sheetViews>
  <sheetFormatPr defaultColWidth="8.77734375" defaultRowHeight="14.4" x14ac:dyDescent="0.3"/>
  <cols>
    <col min="1" max="1" width="9.6640625" bestFit="1" customWidth="1"/>
    <col min="2" max="2" width="39.44140625" bestFit="1" customWidth="1"/>
    <col min="3" max="3" width="104.6640625" bestFit="1" customWidth="1"/>
  </cols>
  <sheetData>
    <row r="1" spans="1:3" x14ac:dyDescent="0.3">
      <c r="A1" t="s">
        <v>18</v>
      </c>
      <c r="B1" t="s">
        <v>19</v>
      </c>
    </row>
    <row r="2" spans="1:3" x14ac:dyDescent="0.3">
      <c r="A2" s="158">
        <v>42608</v>
      </c>
      <c r="B2" t="s">
        <v>21</v>
      </c>
    </row>
    <row r="3" spans="1:3" x14ac:dyDescent="0.3">
      <c r="B3" t="s">
        <v>20</v>
      </c>
      <c r="C3" s="152" t="s">
        <v>16</v>
      </c>
    </row>
    <row r="4" spans="1:3" x14ac:dyDescent="0.3">
      <c r="C4" s="153" t="s">
        <v>17</v>
      </c>
    </row>
  </sheetData>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3:H55"/>
  <sheetViews>
    <sheetView showGridLines="0" topLeftCell="A8" zoomScale="87" zoomScaleNormal="87" zoomScalePageLayoutView="87" workbookViewId="0">
      <selection activeCell="E7" sqref="E7"/>
    </sheetView>
  </sheetViews>
  <sheetFormatPr defaultColWidth="8.77734375" defaultRowHeight="14.4" x14ac:dyDescent="0.3"/>
  <cols>
    <col min="1" max="1" width="8.6640625" customWidth="1"/>
    <col min="2" max="2" width="8.77734375" customWidth="1"/>
    <col min="3" max="3" width="20.6640625" customWidth="1"/>
    <col min="4" max="4" width="45.77734375" customWidth="1"/>
    <col min="5" max="5" width="163.77734375" customWidth="1"/>
    <col min="6" max="6" width="8.77734375" customWidth="1"/>
  </cols>
  <sheetData>
    <row r="3" spans="2:8" ht="31.2" x14ac:dyDescent="0.6">
      <c r="E3" s="161" t="s">
        <v>165</v>
      </c>
    </row>
    <row r="4" spans="2:8" ht="25.8" x14ac:dyDescent="0.5">
      <c r="E4" s="162" t="s">
        <v>166</v>
      </c>
    </row>
    <row r="5" spans="2:8" x14ac:dyDescent="0.3">
      <c r="E5" t="s">
        <v>167</v>
      </c>
    </row>
    <row r="7" spans="2:8" x14ac:dyDescent="0.3">
      <c r="E7" t="s">
        <v>168</v>
      </c>
    </row>
    <row r="10" spans="2:8" x14ac:dyDescent="0.3">
      <c r="B10" s="1" t="s">
        <v>78</v>
      </c>
    </row>
    <row r="12" spans="2:8" ht="14.25" customHeight="1" x14ac:dyDescent="0.3">
      <c r="B12" t="s">
        <v>45</v>
      </c>
      <c r="C12" s="51" t="s">
        <v>40</v>
      </c>
    </row>
    <row r="13" spans="2:8" ht="14.25" customHeight="1" x14ac:dyDescent="0.3">
      <c r="C13" s="51"/>
      <c r="D13" s="51"/>
      <c r="E13" s="51"/>
      <c r="F13" s="50"/>
      <c r="G13" s="51"/>
      <c r="H13" s="51"/>
    </row>
    <row r="14" spans="2:8" ht="14.25" customHeight="1" x14ac:dyDescent="0.3">
      <c r="C14" s="44" t="s">
        <v>52</v>
      </c>
      <c r="D14" s="52" t="s">
        <v>53</v>
      </c>
      <c r="E14" s="79" t="s">
        <v>57</v>
      </c>
      <c r="F14" s="50"/>
      <c r="G14" s="51"/>
      <c r="H14" s="51"/>
    </row>
    <row r="15" spans="2:8" ht="14.25" customHeight="1" x14ac:dyDescent="0.3">
      <c r="C15" s="177">
        <v>1</v>
      </c>
      <c r="D15" s="165" t="s">
        <v>54</v>
      </c>
      <c r="E15" s="79" t="s">
        <v>41</v>
      </c>
      <c r="F15" s="50"/>
      <c r="G15" s="51"/>
      <c r="H15" s="51"/>
    </row>
    <row r="16" spans="2:8" ht="14.25" customHeight="1" x14ac:dyDescent="0.3">
      <c r="C16" s="177"/>
      <c r="D16" s="175"/>
      <c r="E16" s="108" t="s">
        <v>2</v>
      </c>
      <c r="F16" s="50"/>
      <c r="G16" s="51"/>
      <c r="H16" s="51"/>
    </row>
    <row r="17" spans="3:8" ht="14.25" customHeight="1" x14ac:dyDescent="0.3">
      <c r="C17" s="177"/>
      <c r="D17" s="175"/>
      <c r="E17" s="108" t="s">
        <v>3</v>
      </c>
      <c r="F17" s="50"/>
      <c r="G17" s="51"/>
      <c r="H17" s="51"/>
    </row>
    <row r="18" spans="3:8" x14ac:dyDescent="0.3">
      <c r="C18" s="177"/>
      <c r="D18" s="175"/>
      <c r="E18" s="77" t="s">
        <v>64</v>
      </c>
    </row>
    <row r="19" spans="3:8" x14ac:dyDescent="0.3">
      <c r="C19" s="177"/>
      <c r="D19" s="175"/>
      <c r="E19" s="77" t="s">
        <v>65</v>
      </c>
    </row>
    <row r="20" spans="3:8" x14ac:dyDescent="0.3">
      <c r="C20" s="177"/>
      <c r="D20" s="166"/>
      <c r="E20" s="82" t="s">
        <v>66</v>
      </c>
    </row>
    <row r="21" spans="3:8" x14ac:dyDescent="0.3">
      <c r="C21" s="177">
        <v>2</v>
      </c>
      <c r="D21" s="165" t="s">
        <v>55</v>
      </c>
      <c r="E21" s="79" t="s">
        <v>42</v>
      </c>
    </row>
    <row r="22" spans="3:8" x14ac:dyDescent="0.3">
      <c r="C22" s="177"/>
      <c r="D22" s="175"/>
      <c r="E22" s="77" t="s">
        <v>67</v>
      </c>
    </row>
    <row r="23" spans="3:8" x14ac:dyDescent="0.3">
      <c r="C23" s="177"/>
      <c r="D23" s="175" t="s">
        <v>59</v>
      </c>
      <c r="E23" s="81" t="s">
        <v>68</v>
      </c>
    </row>
    <row r="24" spans="3:8" x14ac:dyDescent="0.3">
      <c r="C24" s="177"/>
      <c r="D24" s="166"/>
      <c r="E24" s="81" t="s">
        <v>69</v>
      </c>
    </row>
    <row r="25" spans="3:8" x14ac:dyDescent="0.3">
      <c r="C25" s="167">
        <v>3</v>
      </c>
      <c r="D25" s="165" t="s">
        <v>56</v>
      </c>
      <c r="E25" s="79" t="s">
        <v>0</v>
      </c>
    </row>
    <row r="26" spans="3:8" x14ac:dyDescent="0.3">
      <c r="C26" s="174"/>
      <c r="D26" s="175"/>
      <c r="E26" s="77" t="s">
        <v>70</v>
      </c>
    </row>
    <row r="27" spans="3:8" x14ac:dyDescent="0.3">
      <c r="C27" s="174"/>
      <c r="D27" s="175"/>
      <c r="E27" s="77" t="s">
        <v>71</v>
      </c>
    </row>
    <row r="28" spans="3:8" x14ac:dyDescent="0.3">
      <c r="C28" s="168"/>
      <c r="D28" s="166"/>
      <c r="E28" s="81" t="s">
        <v>72</v>
      </c>
    </row>
    <row r="29" spans="3:8" ht="14.25" customHeight="1" x14ac:dyDescent="0.3">
      <c r="C29" s="169">
        <v>4</v>
      </c>
      <c r="D29" s="165" t="s">
        <v>60</v>
      </c>
      <c r="E29" s="79" t="s">
        <v>1</v>
      </c>
      <c r="F29" s="50"/>
      <c r="G29" s="51"/>
      <c r="H29" s="51"/>
    </row>
    <row r="30" spans="3:8" ht="14.25" customHeight="1" x14ac:dyDescent="0.3">
      <c r="C30" s="176"/>
      <c r="D30" s="175"/>
      <c r="E30" s="82" t="s">
        <v>73</v>
      </c>
      <c r="F30" s="50"/>
      <c r="G30" s="51"/>
      <c r="H30" s="51"/>
    </row>
    <row r="31" spans="3:8" ht="14.25" customHeight="1" x14ac:dyDescent="0.3">
      <c r="C31" s="176"/>
      <c r="D31" s="175"/>
      <c r="E31" s="82" t="s">
        <v>74</v>
      </c>
      <c r="F31" s="50"/>
      <c r="G31" s="51"/>
      <c r="H31" s="51"/>
    </row>
    <row r="32" spans="3:8" ht="14.25" customHeight="1" x14ac:dyDescent="0.3">
      <c r="C32" s="170"/>
      <c r="D32" s="166"/>
      <c r="E32" s="78" t="s">
        <v>75</v>
      </c>
      <c r="F32" s="50"/>
      <c r="G32" s="51"/>
      <c r="H32" s="51"/>
    </row>
    <row r="33" spans="2:8" ht="14.25" customHeight="1" x14ac:dyDescent="0.3">
      <c r="C33" s="51"/>
      <c r="D33" s="51"/>
      <c r="E33" s="51"/>
      <c r="F33" s="50"/>
      <c r="G33" s="51"/>
      <c r="H33" s="51"/>
    </row>
    <row r="34" spans="2:8" ht="14.25" customHeight="1" x14ac:dyDescent="0.3">
      <c r="B34" t="s">
        <v>46</v>
      </c>
      <c r="C34" s="51" t="s">
        <v>39</v>
      </c>
      <c r="D34" s="51"/>
      <c r="E34" s="51"/>
      <c r="F34" s="51"/>
      <c r="G34" s="51"/>
      <c r="H34" s="51"/>
    </row>
    <row r="35" spans="2:8" ht="14.25" customHeight="1" x14ac:dyDescent="0.3">
      <c r="C35" s="152" t="s">
        <v>16</v>
      </c>
      <c r="D35" s="151"/>
      <c r="E35" s="51"/>
      <c r="F35" s="51"/>
      <c r="G35" s="51"/>
      <c r="H35" s="51"/>
    </row>
    <row r="36" spans="2:8" ht="14.25" customHeight="1" x14ac:dyDescent="0.3">
      <c r="C36" s="153" t="s">
        <v>17</v>
      </c>
      <c r="D36" s="51"/>
      <c r="E36" s="51"/>
      <c r="F36" s="51"/>
      <c r="G36" s="51"/>
      <c r="H36" s="51"/>
    </row>
    <row r="37" spans="2:8" ht="14.25" customHeight="1" x14ac:dyDescent="0.3">
      <c r="C37" s="51"/>
      <c r="D37" s="51"/>
      <c r="E37" s="51"/>
      <c r="F37" s="51"/>
      <c r="G37" s="51"/>
      <c r="H37" s="51"/>
    </row>
    <row r="38" spans="2:8" ht="14.25" customHeight="1" x14ac:dyDescent="0.3">
      <c r="C38" s="44" t="s">
        <v>52</v>
      </c>
      <c r="D38" s="52" t="s">
        <v>53</v>
      </c>
      <c r="E38" s="79" t="s">
        <v>57</v>
      </c>
    </row>
    <row r="39" spans="2:8" ht="14.25" customHeight="1" x14ac:dyDescent="0.3">
      <c r="C39" s="167">
        <v>1</v>
      </c>
      <c r="D39" s="171" t="s">
        <v>58</v>
      </c>
      <c r="E39" s="84" t="s">
        <v>34</v>
      </c>
    </row>
    <row r="40" spans="2:8" ht="28.8" x14ac:dyDescent="0.3">
      <c r="C40" s="174"/>
      <c r="D40" s="172"/>
      <c r="E40" s="107" t="s">
        <v>37</v>
      </c>
      <c r="F40" s="25"/>
      <c r="G40" s="25"/>
    </row>
    <row r="41" spans="2:8" ht="14.25" customHeight="1" x14ac:dyDescent="0.3">
      <c r="C41" s="174"/>
      <c r="D41" s="172"/>
      <c r="E41" s="77" t="s">
        <v>35</v>
      </c>
    </row>
    <row r="42" spans="2:8" ht="28.8" x14ac:dyDescent="0.3">
      <c r="C42" s="174"/>
      <c r="D42" s="172"/>
      <c r="E42" s="107" t="s">
        <v>38</v>
      </c>
    </row>
    <row r="43" spans="2:8" ht="14.25" customHeight="1" x14ac:dyDescent="0.3">
      <c r="C43" s="168"/>
      <c r="D43" s="173"/>
      <c r="E43" s="80" t="s">
        <v>36</v>
      </c>
    </row>
    <row r="44" spans="2:8" ht="14.25" customHeight="1" x14ac:dyDescent="0.3">
      <c r="C44" s="167">
        <v>2</v>
      </c>
      <c r="D44" s="165" t="s">
        <v>54</v>
      </c>
      <c r="E44" s="77" t="s">
        <v>76</v>
      </c>
    </row>
    <row r="45" spans="2:8" ht="14.25" customHeight="1" x14ac:dyDescent="0.3">
      <c r="C45" s="168"/>
      <c r="D45" s="166"/>
      <c r="E45" s="78" t="s">
        <v>77</v>
      </c>
    </row>
    <row r="46" spans="2:8" x14ac:dyDescent="0.3">
      <c r="C46" s="167">
        <v>3</v>
      </c>
      <c r="D46" s="86" t="s">
        <v>55</v>
      </c>
      <c r="E46" s="85" t="s">
        <v>22</v>
      </c>
    </row>
    <row r="47" spans="2:8" x14ac:dyDescent="0.3">
      <c r="C47" s="168"/>
      <c r="D47" s="87" t="s">
        <v>59</v>
      </c>
      <c r="E47" s="83" t="s">
        <v>23</v>
      </c>
    </row>
    <row r="48" spans="2:8" x14ac:dyDescent="0.3">
      <c r="C48" s="169">
        <v>4</v>
      </c>
      <c r="D48" s="165" t="s">
        <v>56</v>
      </c>
      <c r="E48" s="84" t="s">
        <v>24</v>
      </c>
    </row>
    <row r="49" spans="2:5" x14ac:dyDescent="0.3">
      <c r="C49" s="170"/>
      <c r="D49" s="166"/>
      <c r="E49" s="83" t="s">
        <v>25</v>
      </c>
    </row>
    <row r="50" spans="2:5" x14ac:dyDescent="0.3">
      <c r="C50" s="169">
        <v>5</v>
      </c>
      <c r="D50" s="165" t="s">
        <v>60</v>
      </c>
      <c r="E50" s="82" t="s">
        <v>26</v>
      </c>
    </row>
    <row r="51" spans="2:5" x14ac:dyDescent="0.3">
      <c r="C51" s="170"/>
      <c r="D51" s="166"/>
      <c r="E51" s="78" t="s">
        <v>27</v>
      </c>
    </row>
    <row r="54" spans="2:5" ht="14.25" customHeight="1" x14ac:dyDescent="0.3"/>
    <row r="55" spans="2:5" ht="14.25" customHeight="1" x14ac:dyDescent="0.3">
      <c r="B55" t="s">
        <v>47</v>
      </c>
      <c r="C55" s="51" t="str">
        <f>"After developing and trending the losses in the above two scenarios, which one give a lower loss? Is it worth the expense of safety features? Should "&amp;Inputs!A11&amp;" add safety features to its commercial cars? Study the case and give a presentation."</f>
        <v>After developing and trending the losses in the above two scenarios, which one give a lower loss? Is it worth the expense of safety features? Should EDU add safety features to its commercial cars? Study the case and give a presentation.</v>
      </c>
    </row>
  </sheetData>
  <mergeCells count="18">
    <mergeCell ref="D15:D20"/>
    <mergeCell ref="C15:C20"/>
    <mergeCell ref="C21:C24"/>
    <mergeCell ref="D21:D22"/>
    <mergeCell ref="D23:D24"/>
    <mergeCell ref="D39:D43"/>
    <mergeCell ref="C39:C43"/>
    <mergeCell ref="D25:D28"/>
    <mergeCell ref="C25:C28"/>
    <mergeCell ref="D29:D32"/>
    <mergeCell ref="C29:C32"/>
    <mergeCell ref="D44:D45"/>
    <mergeCell ref="D48:D49"/>
    <mergeCell ref="D50:D51"/>
    <mergeCell ref="C44:C45"/>
    <mergeCell ref="C46:C47"/>
    <mergeCell ref="C48:C49"/>
    <mergeCell ref="C50:C51"/>
  </mergeCells>
  <phoneticPr fontId="13" type="noConversion"/>
  <hyperlinks>
    <hyperlink ref="E16" r:id="rId1" xr:uid="{00000000-0004-0000-0100-000000000000}"/>
    <hyperlink ref="E17" r:id="rId2" xr:uid="{00000000-0004-0000-0100-000001000000}"/>
  </hyperlinks>
  <pageMargins left="0.2" right="0.2" top="0.25" bottom="0.25" header="0.3" footer="0.3"/>
  <headerFooter>
    <oddFooter>&amp;C© 2014 by the Casualty Actuarial Society. All rights reserved.</oddFooter>
  </headerFooter>
  <drawing r:id="rId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23"/>
  <sheetViews>
    <sheetView showGridLines="0" workbookViewId="0">
      <selection activeCell="C15" sqref="C15"/>
    </sheetView>
  </sheetViews>
  <sheetFormatPr defaultColWidth="8.77734375" defaultRowHeight="14.4" x14ac:dyDescent="0.3"/>
  <cols>
    <col min="1" max="1" width="28.33203125" customWidth="1"/>
    <col min="2" max="2" width="26.33203125" customWidth="1"/>
    <col min="3" max="3" width="28.77734375" customWidth="1"/>
  </cols>
  <sheetData>
    <row r="3" spans="1:4" x14ac:dyDescent="0.3">
      <c r="A3" s="44">
        <v>2014</v>
      </c>
      <c r="B3" t="s">
        <v>126</v>
      </c>
    </row>
    <row r="4" spans="1:4" x14ac:dyDescent="0.3">
      <c r="A4" s="45">
        <v>42004</v>
      </c>
      <c r="B4" t="s">
        <v>127</v>
      </c>
    </row>
    <row r="5" spans="1:4" x14ac:dyDescent="0.3">
      <c r="A5" s="45">
        <v>42552</v>
      </c>
      <c r="B5" t="s">
        <v>128</v>
      </c>
    </row>
    <row r="7" spans="1:4" x14ac:dyDescent="0.3">
      <c r="A7" s="44" t="s">
        <v>62</v>
      </c>
      <c r="B7" s="44" t="s">
        <v>141</v>
      </c>
    </row>
    <row r="8" spans="1:4" x14ac:dyDescent="0.3">
      <c r="A8" s="44" t="s">
        <v>157</v>
      </c>
      <c r="B8" s="44" t="s">
        <v>142</v>
      </c>
    </row>
    <row r="9" spans="1:4" x14ac:dyDescent="0.3">
      <c r="A9" s="44" t="s">
        <v>30</v>
      </c>
      <c r="B9" s="44" t="s">
        <v>28</v>
      </c>
    </row>
    <row r="10" spans="1:4" x14ac:dyDescent="0.3">
      <c r="A10" s="44" t="s">
        <v>31</v>
      </c>
      <c r="B10" s="44" t="s">
        <v>29</v>
      </c>
    </row>
    <row r="11" spans="1:4" x14ac:dyDescent="0.3">
      <c r="A11" s="49" t="s">
        <v>62</v>
      </c>
      <c r="B11" s="49" t="s">
        <v>48</v>
      </c>
    </row>
    <row r="12" spans="1:4" x14ac:dyDescent="0.3">
      <c r="A12" s="44" t="s">
        <v>63</v>
      </c>
      <c r="B12" s="49" t="s">
        <v>49</v>
      </c>
    </row>
    <row r="14" spans="1:4" x14ac:dyDescent="0.3">
      <c r="D14" s="13"/>
    </row>
    <row r="23" ht="15" customHeight="1" x14ac:dyDescent="0.3"/>
  </sheetData>
  <pageMargins left="0.7" right="0.7" top="0.75" bottom="0.75" header="0.3" footer="0.3"/>
  <headerFooter>
    <oddFooter>&amp;C© 2014 by the Casualty Actuarial Society. All rights reserved.</oddFooter>
  </headerFooter>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6:G18"/>
  <sheetViews>
    <sheetView workbookViewId="0">
      <selection activeCell="G18" sqref="G18"/>
    </sheetView>
  </sheetViews>
  <sheetFormatPr defaultColWidth="10.77734375" defaultRowHeight="14.4" x14ac:dyDescent="0.3"/>
  <cols>
    <col min="1" max="3" width="10.77734375" style="51"/>
    <col min="4" max="4" width="28.6640625" style="51" customWidth="1"/>
    <col min="5" max="5" width="21.6640625" style="54" customWidth="1"/>
    <col min="6" max="6" width="31.109375" style="54" customWidth="1"/>
    <col min="7" max="7" width="24.6640625" style="51" customWidth="1"/>
    <col min="8" max="16384" width="10.77734375" style="51"/>
  </cols>
  <sheetData>
    <row r="6" spans="5:7" x14ac:dyDescent="0.3">
      <c r="E6" s="51"/>
      <c r="F6" s="54" t="str">
        <f>State</f>
        <v>EDU</v>
      </c>
      <c r="G6" s="54"/>
    </row>
    <row r="7" spans="5:7" x14ac:dyDescent="0.3">
      <c r="E7" s="51"/>
      <c r="F7" s="54" t="str">
        <f>Company</f>
        <v>Self-Insured Auto Program</v>
      </c>
      <c r="G7" s="54"/>
    </row>
    <row r="8" spans="5:7" x14ac:dyDescent="0.3">
      <c r="E8" s="51"/>
      <c r="G8" s="54"/>
    </row>
    <row r="9" spans="5:7" x14ac:dyDescent="0.3">
      <c r="E9" s="51"/>
      <c r="G9" s="54"/>
    </row>
    <row r="10" spans="5:7" x14ac:dyDescent="0.3">
      <c r="E10" s="51"/>
      <c r="G10" s="54"/>
    </row>
    <row r="11" spans="5:7" x14ac:dyDescent="0.3">
      <c r="E11" s="51"/>
      <c r="G11" s="54"/>
    </row>
    <row r="12" spans="5:7" x14ac:dyDescent="0.3">
      <c r="E12" s="51"/>
      <c r="G12" s="54"/>
    </row>
    <row r="13" spans="5:7" x14ac:dyDescent="0.3">
      <c r="E13" s="51"/>
      <c r="G13" s="54"/>
    </row>
    <row r="14" spans="5:7" x14ac:dyDescent="0.3">
      <c r="E14" s="51"/>
      <c r="G14" s="54"/>
    </row>
    <row r="15" spans="5:7" x14ac:dyDescent="0.3">
      <c r="E15" s="52" t="s">
        <v>33</v>
      </c>
      <c r="F15" s="97" t="str">
        <f>LOB</f>
        <v>Cars without Safety Features</v>
      </c>
      <c r="G15" s="97" t="str">
        <f>Inputs!A10</f>
        <v>Cars with Safety Features</v>
      </c>
    </row>
    <row r="16" spans="5:7" x14ac:dyDescent="0.3">
      <c r="E16" s="52" t="s">
        <v>108</v>
      </c>
      <c r="F16" s="106">
        <v>1</v>
      </c>
      <c r="G16" s="116">
        <v>0.85</v>
      </c>
    </row>
    <row r="17" spans="5:7" x14ac:dyDescent="0.3">
      <c r="E17" s="52" t="s">
        <v>109</v>
      </c>
      <c r="F17" s="106">
        <v>1</v>
      </c>
      <c r="G17" s="116">
        <v>0.8</v>
      </c>
    </row>
    <row r="18" spans="5:7" x14ac:dyDescent="0.3">
      <c r="E18" s="51"/>
      <c r="F18" s="51"/>
    </row>
  </sheetData>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T41"/>
  <sheetViews>
    <sheetView topLeftCell="B5" workbookViewId="0">
      <selection activeCell="E19" sqref="E19"/>
    </sheetView>
  </sheetViews>
  <sheetFormatPr defaultColWidth="8.77734375" defaultRowHeight="14.4" x14ac:dyDescent="0.3"/>
  <cols>
    <col min="1" max="1" width="9" style="51" bestFit="1" customWidth="1"/>
    <col min="2" max="2" width="18.33203125" style="51" bestFit="1" customWidth="1"/>
    <col min="3" max="3" width="9.88671875" style="51" bestFit="1" customWidth="1"/>
    <col min="4" max="7" width="10.109375" style="51" customWidth="1"/>
    <col min="8" max="8" width="10.44140625" style="51" bestFit="1" customWidth="1"/>
    <col min="9" max="9" width="8.77734375" style="60"/>
    <col min="10" max="10" width="8.77734375" style="61"/>
    <col min="11" max="11" width="9" style="51" bestFit="1" customWidth="1"/>
    <col min="12" max="12" width="18.33203125" style="51" bestFit="1" customWidth="1"/>
    <col min="13" max="13" width="9.88671875" style="51" bestFit="1" customWidth="1"/>
    <col min="14" max="17" width="10.109375" style="51" customWidth="1"/>
    <col min="18" max="18" width="10.44140625" style="51" bestFit="1" customWidth="1"/>
    <col min="19" max="16384" width="8.77734375" style="51"/>
  </cols>
  <sheetData>
    <row r="2" spans="2:20" x14ac:dyDescent="0.3">
      <c r="B2" s="53"/>
      <c r="C2" s="53"/>
      <c r="D2" s="53"/>
      <c r="E2" s="54" t="str">
        <f>State</f>
        <v>EDU</v>
      </c>
      <c r="F2" s="53"/>
      <c r="G2" s="53"/>
      <c r="H2" s="53"/>
      <c r="I2" s="64"/>
      <c r="L2" s="53"/>
      <c r="M2" s="53"/>
      <c r="N2" s="53"/>
      <c r="O2" s="54" t="str">
        <f>State</f>
        <v>EDU</v>
      </c>
      <c r="P2" s="53"/>
      <c r="Q2" s="53"/>
      <c r="R2" s="53"/>
      <c r="S2" s="53"/>
    </row>
    <row r="3" spans="2:20" x14ac:dyDescent="0.3">
      <c r="B3" s="53"/>
      <c r="C3" s="53"/>
      <c r="D3" s="53"/>
      <c r="E3" s="54" t="str">
        <f>Company</f>
        <v>Self-Insured Auto Program</v>
      </c>
      <c r="F3" s="53"/>
      <c r="G3" s="53"/>
      <c r="H3" s="53"/>
      <c r="I3" s="64"/>
      <c r="L3" s="53"/>
      <c r="M3" s="53"/>
      <c r="N3" s="53"/>
      <c r="O3" s="54" t="str">
        <f>Company</f>
        <v>Self-Insured Auto Program</v>
      </c>
      <c r="P3" s="53"/>
      <c r="Q3" s="53"/>
      <c r="R3" s="53"/>
      <c r="S3" s="53"/>
    </row>
    <row r="4" spans="2:20" x14ac:dyDescent="0.3">
      <c r="B4" s="53"/>
      <c r="C4" s="53"/>
      <c r="D4" s="53"/>
      <c r="E4" s="54" t="str">
        <f>LOB</f>
        <v>Cars without Safety Features</v>
      </c>
      <c r="F4" s="53"/>
      <c r="G4" s="53"/>
      <c r="H4" s="53"/>
      <c r="I4" s="64"/>
      <c r="L4" s="53"/>
      <c r="M4" s="53"/>
      <c r="N4" s="53"/>
      <c r="O4" s="54" t="str">
        <f>Inputs!A10&amp;": History Restated as if These Had Been in Place Historically"</f>
        <v>Cars with Safety Features: History Restated as if These Had Been in Place Historically</v>
      </c>
      <c r="P4" s="53"/>
      <c r="Q4" s="53"/>
      <c r="R4" s="53"/>
      <c r="S4" s="53"/>
    </row>
    <row r="6" spans="2:20" x14ac:dyDescent="0.3">
      <c r="D6" s="51" t="s">
        <v>97</v>
      </c>
      <c r="N6" s="51" t="s">
        <v>97</v>
      </c>
    </row>
    <row r="7" spans="2:20" x14ac:dyDescent="0.3">
      <c r="B7" s="51" t="s">
        <v>95</v>
      </c>
      <c r="D7" s="54" t="s">
        <v>158</v>
      </c>
      <c r="E7" s="54" t="s">
        <v>159</v>
      </c>
      <c r="F7" s="54" t="s">
        <v>160</v>
      </c>
      <c r="G7" s="54" t="s">
        <v>161</v>
      </c>
      <c r="H7" s="54" t="s">
        <v>162</v>
      </c>
      <c r="J7" s="62"/>
      <c r="L7" s="51" t="s">
        <v>95</v>
      </c>
      <c r="N7" s="54" t="s">
        <v>158</v>
      </c>
      <c r="O7" s="54" t="s">
        <v>159</v>
      </c>
      <c r="P7" s="54" t="s">
        <v>160</v>
      </c>
      <c r="Q7" s="54" t="s">
        <v>161</v>
      </c>
      <c r="R7" s="54" t="s">
        <v>162</v>
      </c>
      <c r="T7" s="54"/>
    </row>
    <row r="9" spans="2:20" x14ac:dyDescent="0.3">
      <c r="B9" s="51">
        <f t="shared" ref="B9:B14" si="0">B10-1</f>
        <v>2008</v>
      </c>
      <c r="D9" s="120">
        <v>397029.13699999999</v>
      </c>
      <c r="E9" s="120">
        <v>478357.06699999998</v>
      </c>
      <c r="F9" s="120">
        <v>484942.09600000002</v>
      </c>
      <c r="G9" s="120">
        <v>490841.98700000002</v>
      </c>
      <c r="H9" s="120">
        <v>497292.41700000002</v>
      </c>
      <c r="J9" s="63"/>
      <c r="L9" s="51">
        <f t="shared" ref="L9:L14" si="1">L10-1</f>
        <v>2008</v>
      </c>
      <c r="N9" s="105">
        <f>D9*'0. Adjust losses for new book'!$G$16*'0. Adjust losses for new book'!$G$17</f>
        <v>269979.81316000002</v>
      </c>
      <c r="O9" s="105">
        <f>E9*'0. Adjust losses for new book'!$G$16*'0. Adjust losses for new book'!$G$17</f>
        <v>325282.80556000001</v>
      </c>
      <c r="P9" s="105">
        <f>F9*'0. Adjust losses for new book'!$G$16*'0. Adjust losses for new book'!$G$17</f>
        <v>329760.62528000004</v>
      </c>
      <c r="Q9" s="105">
        <f>G9*'0. Adjust losses for new book'!$G$16*'0. Adjust losses for new book'!$G$17</f>
        <v>333772.55116000003</v>
      </c>
      <c r="R9" s="105">
        <f>H9*'0. Adjust losses for new book'!$G$16*'0. Adjust losses for new book'!$G$17</f>
        <v>338158.84356000001</v>
      </c>
      <c r="T9" s="55"/>
    </row>
    <row r="10" spans="2:20" x14ac:dyDescent="0.3">
      <c r="B10" s="51">
        <f t="shared" si="0"/>
        <v>2009</v>
      </c>
      <c r="D10" s="120">
        <v>445166.70199999993</v>
      </c>
      <c r="E10" s="120">
        <v>526698.25399999996</v>
      </c>
      <c r="F10" s="120">
        <v>532809.47900000005</v>
      </c>
      <c r="G10" s="120">
        <v>538696.80900000001</v>
      </c>
      <c r="H10" s="120">
        <v>543961.78599999996</v>
      </c>
      <c r="J10" s="63"/>
      <c r="L10" s="51">
        <f t="shared" si="1"/>
        <v>2009</v>
      </c>
      <c r="N10" s="105">
        <f>D10*'0. Adjust losses for new book'!$G$16*'0. Adjust losses for new book'!$G$17</f>
        <v>302713.35735999997</v>
      </c>
      <c r="O10" s="105">
        <f>E10*'0. Adjust losses for new book'!$G$16*'0. Adjust losses for new book'!$G$17</f>
        <v>358154.81271999999</v>
      </c>
      <c r="P10" s="105">
        <f>F10*'0. Adjust losses for new book'!$G$16*'0. Adjust losses for new book'!$G$17</f>
        <v>362310.44572000002</v>
      </c>
      <c r="Q10" s="105">
        <f>G10*'0. Adjust losses for new book'!$G$16*'0. Adjust losses for new book'!$G$17</f>
        <v>366313.83012000006</v>
      </c>
      <c r="R10" s="105">
        <f>H10*'0. Adjust losses for new book'!$G$16*'0. Adjust losses for new book'!$G$17</f>
        <v>369894.01447999995</v>
      </c>
      <c r="T10" s="55"/>
    </row>
    <row r="11" spans="2:20" x14ac:dyDescent="0.3">
      <c r="B11" s="51">
        <f t="shared" si="0"/>
        <v>2010</v>
      </c>
      <c r="D11" s="120">
        <v>447878.25</v>
      </c>
      <c r="E11" s="120">
        <v>536538.59600000014</v>
      </c>
      <c r="F11" s="120">
        <v>555271.26900000009</v>
      </c>
      <c r="G11" s="120">
        <v>573971.07000000007</v>
      </c>
      <c r="H11" s="120">
        <v>573657.46254324075</v>
      </c>
      <c r="J11" s="63"/>
      <c r="L11" s="51">
        <f t="shared" si="1"/>
        <v>2010</v>
      </c>
      <c r="N11" s="105">
        <f>D11*'0. Adjust losses for new book'!$G$16*'0. Adjust losses for new book'!$G$17</f>
        <v>304557.21000000002</v>
      </c>
      <c r="O11" s="105">
        <f>E11*'0. Adjust losses for new book'!$G$16*'0. Adjust losses for new book'!$G$17</f>
        <v>364846.24528000015</v>
      </c>
      <c r="P11" s="105">
        <f>F11*'0. Adjust losses for new book'!$G$16*'0. Adjust losses for new book'!$G$17</f>
        <v>377584.46292000008</v>
      </c>
      <c r="Q11" s="105">
        <f>G11*'0. Adjust losses for new book'!$G$16*'0. Adjust losses for new book'!$G$17</f>
        <v>390300.32760000008</v>
      </c>
      <c r="R11" s="105">
        <f>H11*'0. Adjust losses for new book'!$G$16*'0. Adjust losses for new book'!$G$17</f>
        <v>390087.0745294037</v>
      </c>
      <c r="T11" s="55"/>
    </row>
    <row r="12" spans="2:20" x14ac:dyDescent="0.3">
      <c r="B12" s="51">
        <f t="shared" si="0"/>
        <v>2011</v>
      </c>
      <c r="D12" s="120">
        <v>459925.57300000003</v>
      </c>
      <c r="E12" s="120">
        <v>547838.63000000012</v>
      </c>
      <c r="F12" s="120">
        <v>578783.326</v>
      </c>
      <c r="G12" s="120">
        <v>578678.10181119642</v>
      </c>
      <c r="H12" s="120"/>
      <c r="J12" s="63"/>
      <c r="L12" s="51">
        <f t="shared" si="1"/>
        <v>2011</v>
      </c>
      <c r="N12" s="105">
        <f>D12*'0. Adjust losses for new book'!$G$16*'0. Adjust losses for new book'!$G$17</f>
        <v>312749.38964000001</v>
      </c>
      <c r="O12" s="105">
        <f>E12*'0. Adjust losses for new book'!$G$16*'0. Adjust losses for new book'!$G$17</f>
        <v>372530.26840000012</v>
      </c>
      <c r="P12" s="105">
        <f>F12*'0. Adjust losses for new book'!$G$16*'0. Adjust losses for new book'!$G$17</f>
        <v>393572.66168000002</v>
      </c>
      <c r="Q12" s="105">
        <f>G12*'0. Adjust losses for new book'!$G$16*'0. Adjust losses for new book'!$G$17</f>
        <v>393501.10923161358</v>
      </c>
      <c r="R12" s="105"/>
      <c r="T12" s="55"/>
    </row>
    <row r="13" spans="2:20" x14ac:dyDescent="0.3">
      <c r="B13" s="51">
        <f t="shared" si="0"/>
        <v>2012</v>
      </c>
      <c r="D13" s="120">
        <v>388302.41600000003</v>
      </c>
      <c r="E13" s="120">
        <v>507214.75899999996</v>
      </c>
      <c r="F13" s="120">
        <v>508408.70905770716</v>
      </c>
      <c r="G13" s="120"/>
      <c r="H13" s="120"/>
      <c r="J13" s="63"/>
      <c r="L13" s="51">
        <f t="shared" si="1"/>
        <v>2012</v>
      </c>
      <c r="N13" s="105">
        <f>D13*'0. Adjust losses for new book'!$G$16*'0. Adjust losses for new book'!$G$17</f>
        <v>264045.64288000006</v>
      </c>
      <c r="O13" s="105">
        <f>E13*'0. Adjust losses for new book'!$G$16*'0. Adjust losses for new book'!$G$17</f>
        <v>344906.03612</v>
      </c>
      <c r="P13" s="105">
        <f>F13*'0. Adjust losses for new book'!$G$16*'0. Adjust losses for new book'!$G$17</f>
        <v>345717.92215924087</v>
      </c>
      <c r="Q13" s="105"/>
      <c r="R13" s="105"/>
      <c r="T13" s="55"/>
    </row>
    <row r="14" spans="2:20" x14ac:dyDescent="0.3">
      <c r="B14" s="51">
        <f t="shared" si="0"/>
        <v>2013</v>
      </c>
      <c r="D14" s="120">
        <v>463178.44900000002</v>
      </c>
      <c r="E14" s="120">
        <v>577819.69192047068</v>
      </c>
      <c r="F14" s="120"/>
      <c r="G14" s="120"/>
      <c r="H14" s="120"/>
      <c r="J14" s="63"/>
      <c r="L14" s="51">
        <f t="shared" si="1"/>
        <v>2013</v>
      </c>
      <c r="N14" s="105">
        <f>D14*'0. Adjust losses for new book'!$G$16*'0. Adjust losses for new book'!$G$17</f>
        <v>314961.34532000002</v>
      </c>
      <c r="O14" s="105">
        <f>E14*'0. Adjust losses for new book'!$G$16*'0. Adjust losses for new book'!$G$17</f>
        <v>392917.39050592011</v>
      </c>
      <c r="P14" s="105"/>
      <c r="Q14" s="105"/>
      <c r="R14" s="105"/>
      <c r="T14" s="55"/>
    </row>
    <row r="15" spans="2:20" x14ac:dyDescent="0.3">
      <c r="B15" s="51">
        <f>LatestYear</f>
        <v>2014</v>
      </c>
      <c r="D15" s="120">
        <v>583508.75541126193</v>
      </c>
      <c r="E15" s="120"/>
      <c r="F15" s="120"/>
      <c r="G15" s="120"/>
      <c r="H15" s="120"/>
      <c r="J15" s="63"/>
      <c r="L15" s="51">
        <f>LatestYear</f>
        <v>2014</v>
      </c>
      <c r="N15" s="105">
        <f>D15*'0. Adjust losses for new book'!$G$16*'0. Adjust losses for new book'!$G$17</f>
        <v>396785.95367965812</v>
      </c>
      <c r="O15" s="105"/>
      <c r="P15" s="105"/>
      <c r="Q15" s="105"/>
      <c r="R15" s="105"/>
      <c r="T15" s="55"/>
    </row>
    <row r="16" spans="2:20" x14ac:dyDescent="0.3">
      <c r="B16" s="164" t="s">
        <v>170</v>
      </c>
      <c r="C16" s="163">
        <f xml:space="preserve"> D15 +E14+F13+G12+H11+H10+H9</f>
        <v>3863326.9237438766</v>
      </c>
      <c r="L16" s="51" t="s">
        <v>171</v>
      </c>
      <c r="M16" s="163">
        <f>N15+O14+P13+Q12+R11+R10+R9</f>
        <v>2627062.308145836</v>
      </c>
    </row>
    <row r="17" spans="1:18" x14ac:dyDescent="0.3">
      <c r="L17" s="51" t="s">
        <v>172</v>
      </c>
      <c r="M17" s="163">
        <f xml:space="preserve"> C16- M16</f>
        <v>1236264.6155980406</v>
      </c>
    </row>
    <row r="18" spans="1:18" x14ac:dyDescent="0.3">
      <c r="B18" s="51" t="s">
        <v>96</v>
      </c>
      <c r="D18" s="56" t="str">
        <f>LEFT(D7,2)&amp;"-"&amp;LEFT(E7,2)</f>
        <v>12-24</v>
      </c>
      <c r="E18" s="56" t="str">
        <f t="shared" ref="E18:G18" si="2">LEFT(E7,2)&amp;"-"&amp;LEFT(F7,2)</f>
        <v>24-36</v>
      </c>
      <c r="F18" s="56" t="str">
        <f t="shared" si="2"/>
        <v>36-48</v>
      </c>
      <c r="G18" s="56" t="str">
        <f t="shared" si="2"/>
        <v>48-60</v>
      </c>
      <c r="H18" s="56" t="str">
        <f>LEFT(H7,2)&amp;"-Ult"</f>
        <v>60-Ult</v>
      </c>
      <c r="L18" s="51" t="s">
        <v>96</v>
      </c>
      <c r="N18" s="56" t="str">
        <f>LEFT(N7,2)&amp;"-"&amp;LEFT(O7,2)</f>
        <v>12-24</v>
      </c>
      <c r="O18" s="56" t="str">
        <f t="shared" ref="O18" si="3">LEFT(O7,2)&amp;"-"&amp;LEFT(P7,2)</f>
        <v>24-36</v>
      </c>
      <c r="P18" s="56" t="str">
        <f t="shared" ref="P18" si="4">LEFT(P7,2)&amp;"-"&amp;LEFT(Q7,2)</f>
        <v>36-48</v>
      </c>
      <c r="Q18" s="56" t="str">
        <f t="shared" ref="Q18" si="5">LEFT(Q7,2)&amp;"-"&amp;LEFT(R7,2)</f>
        <v>48-60</v>
      </c>
      <c r="R18" s="56" t="str">
        <f>LEFT(R7,2)&amp;"-Ult"</f>
        <v>60-Ult</v>
      </c>
    </row>
    <row r="19" spans="1:18" x14ac:dyDescent="0.3">
      <c r="B19" s="51">
        <f t="shared" ref="B19:B24" si="6">B9</f>
        <v>2008</v>
      </c>
      <c r="D19" s="57">
        <f>IF(ISBLANK(E9),"",E9/D9)</f>
        <v>1.2048412129510786</v>
      </c>
      <c r="E19" s="57">
        <f t="shared" ref="D19:H24" si="7">IF(ISBLANK(F9),"",F9/E9)</f>
        <v>1.0137659281199667</v>
      </c>
      <c r="F19" s="57">
        <f t="shared" si="7"/>
        <v>1.0121661762273573</v>
      </c>
      <c r="G19" s="57">
        <f t="shared" si="7"/>
        <v>1.0131415611761836</v>
      </c>
      <c r="H19" s="57" t="str">
        <f t="shared" si="7"/>
        <v/>
      </c>
      <c r="L19" s="51">
        <f t="shared" ref="L19:L24" si="8">L9</f>
        <v>2008</v>
      </c>
      <c r="N19" s="57">
        <f t="shared" ref="N19:N24" si="9">IF(ISBLANK(O9),"",O9/N9)</f>
        <v>1.2048412129510786</v>
      </c>
      <c r="O19" s="57">
        <f t="shared" ref="O19:O24" si="10">IF(ISBLANK(P9),"",P9/O9)</f>
        <v>1.0137659281199667</v>
      </c>
      <c r="P19" s="57">
        <f t="shared" ref="P19:P24" si="11">IF(ISBLANK(Q9),"",Q9/P9)</f>
        <v>1.0121661762273573</v>
      </c>
      <c r="Q19" s="57">
        <f t="shared" ref="Q19:Q24" si="12">IF(ISBLANK(R9),"",R9/Q9)</f>
        <v>1.0131415611761836</v>
      </c>
      <c r="R19" s="57" t="str">
        <f t="shared" ref="R19:R24" si="13">IF(ISBLANK(S9),"",S9/R9)</f>
        <v/>
      </c>
    </row>
    <row r="20" spans="1:18" x14ac:dyDescent="0.3">
      <c r="B20" s="51">
        <f t="shared" si="6"/>
        <v>2009</v>
      </c>
      <c r="D20" s="57">
        <f t="shared" si="7"/>
        <v>1.1831483613525076</v>
      </c>
      <c r="E20" s="57">
        <f t="shared" si="7"/>
        <v>1.0116028958774563</v>
      </c>
      <c r="F20" s="57">
        <f t="shared" si="7"/>
        <v>1.0110495969610931</v>
      </c>
      <c r="G20" s="57">
        <f t="shared" si="7"/>
        <v>1.0097735440641897</v>
      </c>
      <c r="H20" s="57" t="str">
        <f t="shared" si="7"/>
        <v/>
      </c>
      <c r="L20" s="51">
        <f t="shared" si="8"/>
        <v>2009</v>
      </c>
      <c r="N20" s="57">
        <f t="shared" si="9"/>
        <v>1.1831483613525076</v>
      </c>
      <c r="O20" s="57">
        <f t="shared" si="10"/>
        <v>1.0116028958774563</v>
      </c>
      <c r="P20" s="57">
        <f t="shared" si="11"/>
        <v>1.0110495969610933</v>
      </c>
      <c r="Q20" s="57">
        <f t="shared" si="12"/>
        <v>1.0097735440641897</v>
      </c>
      <c r="R20" s="57" t="str">
        <f t="shared" si="13"/>
        <v/>
      </c>
    </row>
    <row r="21" spans="1:18" x14ac:dyDescent="0.3">
      <c r="B21" s="51">
        <f t="shared" si="6"/>
        <v>2010</v>
      </c>
      <c r="D21" s="57">
        <f t="shared" si="7"/>
        <v>1.1979563553264758</v>
      </c>
      <c r="E21" s="57">
        <f t="shared" si="7"/>
        <v>1.0349139337592033</v>
      </c>
      <c r="F21" s="57">
        <f t="shared" si="7"/>
        <v>1.033676874788924</v>
      </c>
      <c r="G21" s="57">
        <f t="shared" si="7"/>
        <v>0.99945361800768229</v>
      </c>
      <c r="H21" s="57" t="str">
        <f t="shared" si="7"/>
        <v/>
      </c>
      <c r="L21" s="51">
        <f t="shared" si="8"/>
        <v>2010</v>
      </c>
      <c r="N21" s="57">
        <f t="shared" si="9"/>
        <v>1.1979563553264758</v>
      </c>
      <c r="O21" s="57">
        <f t="shared" si="10"/>
        <v>1.0349139337592033</v>
      </c>
      <c r="P21" s="57">
        <f t="shared" si="11"/>
        <v>1.033676874788924</v>
      </c>
      <c r="Q21" s="57">
        <f t="shared" si="12"/>
        <v>0.99945361800768218</v>
      </c>
      <c r="R21" s="57" t="str">
        <f t="shared" si="13"/>
        <v/>
      </c>
    </row>
    <row r="22" spans="1:18" x14ac:dyDescent="0.3">
      <c r="B22" s="51">
        <f t="shared" si="6"/>
        <v>2011</v>
      </c>
      <c r="D22" s="57">
        <f t="shared" si="7"/>
        <v>1.1911462683550325</v>
      </c>
      <c r="E22" s="57">
        <f t="shared" si="7"/>
        <v>1.0564850565576216</v>
      </c>
      <c r="F22" s="57">
        <f t="shared" si="7"/>
        <v>0.99981819761545176</v>
      </c>
      <c r="G22" s="57" t="str">
        <f t="shared" si="7"/>
        <v/>
      </c>
      <c r="H22" s="57" t="str">
        <f t="shared" si="7"/>
        <v/>
      </c>
      <c r="L22" s="51">
        <f t="shared" si="8"/>
        <v>2011</v>
      </c>
      <c r="N22" s="57">
        <f t="shared" si="9"/>
        <v>1.1911462683550327</v>
      </c>
      <c r="O22" s="57">
        <f t="shared" si="10"/>
        <v>1.0564850565576214</v>
      </c>
      <c r="P22" s="57">
        <f t="shared" si="11"/>
        <v>0.99981819761545165</v>
      </c>
      <c r="Q22" s="57" t="str">
        <f t="shared" si="12"/>
        <v/>
      </c>
      <c r="R22" s="57" t="str">
        <f t="shared" si="13"/>
        <v/>
      </c>
    </row>
    <row r="23" spans="1:18" x14ac:dyDescent="0.3">
      <c r="B23" s="51">
        <f t="shared" si="6"/>
        <v>2012</v>
      </c>
      <c r="D23" s="57">
        <f t="shared" si="7"/>
        <v>1.3062364232109231</v>
      </c>
      <c r="E23" s="57">
        <f t="shared" si="7"/>
        <v>1.0023539339826411</v>
      </c>
      <c r="F23" s="57" t="str">
        <f t="shared" si="7"/>
        <v/>
      </c>
      <c r="G23" s="57" t="str">
        <f t="shared" si="7"/>
        <v/>
      </c>
      <c r="H23" s="57" t="str">
        <f t="shared" si="7"/>
        <v/>
      </c>
      <c r="L23" s="51">
        <f t="shared" si="8"/>
        <v>2012</v>
      </c>
      <c r="N23" s="57">
        <f t="shared" si="9"/>
        <v>1.3062364232109231</v>
      </c>
      <c r="O23" s="57">
        <f t="shared" si="10"/>
        <v>1.0023539339826411</v>
      </c>
      <c r="P23" s="57" t="str">
        <f t="shared" si="11"/>
        <v/>
      </c>
      <c r="Q23" s="57" t="str">
        <f t="shared" si="12"/>
        <v/>
      </c>
      <c r="R23" s="57" t="str">
        <f t="shared" si="13"/>
        <v/>
      </c>
    </row>
    <row r="24" spans="1:18" x14ac:dyDescent="0.3">
      <c r="B24" s="51">
        <f t="shared" si="6"/>
        <v>2013</v>
      </c>
      <c r="D24" s="57">
        <f t="shared" si="7"/>
        <v>1.2475098812735794</v>
      </c>
      <c r="E24" s="57" t="str">
        <f t="shared" si="7"/>
        <v/>
      </c>
      <c r="F24" s="57" t="str">
        <f t="shared" si="7"/>
        <v/>
      </c>
      <c r="G24" s="57" t="str">
        <f t="shared" si="7"/>
        <v/>
      </c>
      <c r="H24" s="57" t="str">
        <f t="shared" si="7"/>
        <v/>
      </c>
      <c r="L24" s="51">
        <f t="shared" si="8"/>
        <v>2013</v>
      </c>
      <c r="N24" s="57">
        <f t="shared" si="9"/>
        <v>1.2475098812735794</v>
      </c>
      <c r="O24" s="57" t="str">
        <f t="shared" si="10"/>
        <v/>
      </c>
      <c r="P24" s="57" t="str">
        <f t="shared" si="11"/>
        <v/>
      </c>
      <c r="Q24" s="57" t="str">
        <f t="shared" si="12"/>
        <v/>
      </c>
      <c r="R24" s="57" t="str">
        <f t="shared" si="13"/>
        <v/>
      </c>
    </row>
    <row r="26" spans="1:18" x14ac:dyDescent="0.3">
      <c r="A26" s="58">
        <v>1</v>
      </c>
      <c r="B26" s="51" t="s">
        <v>98</v>
      </c>
      <c r="D26" s="57">
        <f>AVERAGE(D19:D24)</f>
        <v>1.2218064170782663</v>
      </c>
      <c r="E26" s="57">
        <f t="shared" ref="E26:G26" si="14">AVERAGE(E19:E24)</f>
        <v>1.0238243496593777</v>
      </c>
      <c r="F26" s="57">
        <f t="shared" si="14"/>
        <v>1.0141777113982064</v>
      </c>
      <c r="G26" s="57">
        <f t="shared" si="14"/>
        <v>1.0074562410826851</v>
      </c>
      <c r="K26" s="58">
        <v>1</v>
      </c>
      <c r="L26" s="51" t="s">
        <v>98</v>
      </c>
      <c r="N26" s="57">
        <f>AVERAGE(N19:N24)</f>
        <v>1.2218064170782663</v>
      </c>
      <c r="O26" s="57">
        <f t="shared" ref="O26:Q26" si="15">AVERAGE(O19:O24)</f>
        <v>1.0238243496593777</v>
      </c>
      <c r="P26" s="57">
        <f t="shared" si="15"/>
        <v>1.0141777113982064</v>
      </c>
      <c r="Q26" s="57">
        <f t="shared" si="15"/>
        <v>1.0074562410826851</v>
      </c>
    </row>
    <row r="27" spans="1:18" x14ac:dyDescent="0.3">
      <c r="A27" s="58">
        <f t="shared" ref="A27:A33" si="16">A26+1</f>
        <v>2</v>
      </c>
      <c r="B27" s="51" t="s">
        <v>99</v>
      </c>
      <c r="D27" s="57">
        <f>AVERAGE(D22:D24)</f>
        <v>1.2482975242798451</v>
      </c>
      <c r="E27" s="57">
        <f>AVERAGE(E21:E23)</f>
        <v>1.0312509747664886</v>
      </c>
      <c r="F27" s="57">
        <f>AVERAGE(F20:F22)</f>
        <v>1.014848223121823</v>
      </c>
      <c r="G27" s="57">
        <f>AVERAGE(G19:G21)</f>
        <v>1.0074562410826851</v>
      </c>
      <c r="K27" s="58">
        <f t="shared" ref="K27:K33" si="17">K26+1</f>
        <v>2</v>
      </c>
      <c r="L27" s="51" t="s">
        <v>99</v>
      </c>
      <c r="N27" s="57">
        <f>AVERAGE(N22:N24)</f>
        <v>1.2482975242798451</v>
      </c>
      <c r="O27" s="57">
        <f>AVERAGE(O21:O23)</f>
        <v>1.0312509747664886</v>
      </c>
      <c r="P27" s="57">
        <f>AVERAGE(P20:P22)</f>
        <v>1.014848223121823</v>
      </c>
      <c r="Q27" s="57">
        <f>AVERAGE(Q19:Q21)</f>
        <v>1.0074562410826851</v>
      </c>
    </row>
    <row r="28" spans="1:18" x14ac:dyDescent="0.3">
      <c r="A28" s="58">
        <f t="shared" si="16"/>
        <v>3</v>
      </c>
      <c r="B28" s="51" t="s">
        <v>100</v>
      </c>
      <c r="D28" s="57">
        <f t="shared" ref="D28" si="18">AVERAGE(D21:D24)</f>
        <v>1.2357122320415028</v>
      </c>
      <c r="E28" s="57">
        <f>AVERAGE(E20:E23)</f>
        <v>1.0263389550442306</v>
      </c>
      <c r="F28" s="57">
        <f>AVERAGE(F19:F22)</f>
        <v>1.0141777113982064</v>
      </c>
      <c r="G28" s="57"/>
      <c r="K28" s="58">
        <f t="shared" si="17"/>
        <v>3</v>
      </c>
      <c r="L28" s="51" t="s">
        <v>100</v>
      </c>
      <c r="N28" s="57">
        <f t="shared" ref="N28" si="19">AVERAGE(N21:N24)</f>
        <v>1.2357122320415028</v>
      </c>
      <c r="O28" s="57">
        <f>AVERAGE(O20:O23)</f>
        <v>1.0263389550442303</v>
      </c>
      <c r="P28" s="57">
        <f>AVERAGE(P19:P22)</f>
        <v>1.0141777113982064</v>
      </c>
      <c r="Q28" s="57"/>
    </row>
    <row r="29" spans="1:18" x14ac:dyDescent="0.3">
      <c r="A29" s="58">
        <f t="shared" si="16"/>
        <v>4</v>
      </c>
      <c r="B29" s="51" t="s">
        <v>101</v>
      </c>
      <c r="D29" s="57">
        <f>(SUM(D19:D24)-MIN(D19:D24)-MAX(D19:D24))/(COUNT(D19:D24)-2)</f>
        <v>1.2103634294765417</v>
      </c>
      <c r="E29" s="57">
        <f>(SUM(E19:E24)-MIN(E19:E24)-MAX(E19:E24))/(COUNT(E19:E24)-2)</f>
        <v>1.0200942525855419</v>
      </c>
      <c r="F29" s="57">
        <f t="shared" ref="F29:G29" si="20">(SUM(F19:F24)-MIN(F19:F24)-MAX(F19:F24))/(COUNT(F19:F24)-2)</f>
        <v>1.0116078865942248</v>
      </c>
      <c r="G29" s="57">
        <f t="shared" si="20"/>
        <v>1.0097735440641895</v>
      </c>
      <c r="K29" s="58">
        <f t="shared" si="17"/>
        <v>4</v>
      </c>
      <c r="L29" s="51" t="s">
        <v>101</v>
      </c>
      <c r="N29" s="57">
        <f>(SUM(N19:N24)-MIN(N19:N24)-MAX(N19:N24))/(COUNT(N19:N24)-2)</f>
        <v>1.2103634294765417</v>
      </c>
      <c r="O29" s="57">
        <f t="shared" ref="O29:Q29" si="21">(SUM(O19:O24)-MIN(O19:O24)-MAX(O19:O24))/(COUNT(O19:O24)-2)</f>
        <v>1.0200942525855421</v>
      </c>
      <c r="P29" s="57">
        <f t="shared" si="21"/>
        <v>1.0116078865942253</v>
      </c>
      <c r="Q29" s="57">
        <f t="shared" si="21"/>
        <v>1.0097735440641895</v>
      </c>
    </row>
    <row r="30" spans="1:18" x14ac:dyDescent="0.3">
      <c r="A30" s="58">
        <f t="shared" si="16"/>
        <v>5</v>
      </c>
      <c r="B30" s="51" t="s">
        <v>102</v>
      </c>
      <c r="D30" s="57">
        <f>PRODUCT(D19:D24)^(1/COUNT(D19:D24))</f>
        <v>1.2210688412395703</v>
      </c>
      <c r="E30" s="57">
        <f t="shared" ref="E30:G30" si="22">PRODUCT(E19:E24)^(1/COUNT(E19:E24))</f>
        <v>1.0236400971096331</v>
      </c>
      <c r="F30" s="57">
        <f t="shared" si="22"/>
        <v>1.0141040789457243</v>
      </c>
      <c r="G30" s="57">
        <f t="shared" si="22"/>
        <v>1.0074393758766256</v>
      </c>
      <c r="K30" s="58">
        <f t="shared" si="17"/>
        <v>5</v>
      </c>
      <c r="L30" s="51" t="s">
        <v>102</v>
      </c>
      <c r="N30" s="57">
        <f>PRODUCT(N19:N24)^(1/COUNT(N19:N24))</f>
        <v>1.2210688412395703</v>
      </c>
      <c r="O30" s="57">
        <f t="shared" ref="O30:Q30" si="23">PRODUCT(O19:O24)^(1/COUNT(O19:O24))</f>
        <v>1.0236400971096331</v>
      </c>
      <c r="P30" s="57">
        <f t="shared" si="23"/>
        <v>1.0141040789457243</v>
      </c>
      <c r="Q30" s="57">
        <f t="shared" si="23"/>
        <v>1.0074393758766256</v>
      </c>
    </row>
    <row r="32" spans="1:18" x14ac:dyDescent="0.3">
      <c r="A32" s="58">
        <f>A30+1</f>
        <v>6</v>
      </c>
      <c r="B32" s="52" t="s">
        <v>103</v>
      </c>
      <c r="D32" s="117">
        <f>D27</f>
        <v>1.2482975242798451</v>
      </c>
      <c r="E32" s="118">
        <f>E27</f>
        <v>1.0312509747664886</v>
      </c>
      <c r="F32" s="118">
        <f>F27</f>
        <v>1.014848223121823</v>
      </c>
      <c r="G32" s="118">
        <f>G27</f>
        <v>1.0074562410826851</v>
      </c>
      <c r="H32" s="119">
        <v>1</v>
      </c>
      <c r="K32" s="58">
        <f>K30+1</f>
        <v>6</v>
      </c>
      <c r="L32" s="52" t="s">
        <v>103</v>
      </c>
      <c r="N32" s="117">
        <f t="shared" ref="N32:R32" si="24">D32</f>
        <v>1.2482975242798451</v>
      </c>
      <c r="O32" s="118">
        <f t="shared" si="24"/>
        <v>1.0312509747664886</v>
      </c>
      <c r="P32" s="118">
        <f t="shared" si="24"/>
        <v>1.014848223121823</v>
      </c>
      <c r="Q32" s="118">
        <f t="shared" si="24"/>
        <v>1.0074562410826851</v>
      </c>
      <c r="R32" s="119">
        <f t="shared" si="24"/>
        <v>1</v>
      </c>
    </row>
    <row r="33" spans="1:18" x14ac:dyDescent="0.3">
      <c r="A33" s="58">
        <f t="shared" si="16"/>
        <v>7</v>
      </c>
      <c r="B33" s="51" t="s">
        <v>104</v>
      </c>
      <c r="D33" s="146">
        <f>PRODUCT(D32:$H32)</f>
        <v>1.31616327514089</v>
      </c>
      <c r="E33" s="146">
        <f>PRODUCT(E32:$H32)</f>
        <v>1.0543666470060473</v>
      </c>
      <c r="F33" s="146">
        <f>PRODUCT(F32:$H32)</f>
        <v>1.0224151761357538</v>
      </c>
      <c r="G33" s="146">
        <f>PRODUCT(G32:$H32)</f>
        <v>1.0074562410826851</v>
      </c>
      <c r="H33" s="146">
        <f>PRODUCT(H32:$H32)</f>
        <v>1</v>
      </c>
      <c r="K33" s="58">
        <f t="shared" si="17"/>
        <v>7</v>
      </c>
      <c r="L33" s="51" t="s">
        <v>104</v>
      </c>
      <c r="N33" s="146">
        <f>PRODUCT(N32:$R32)</f>
        <v>1.31616327514089</v>
      </c>
      <c r="O33" s="146">
        <f>PRODUCT(O32:$R32)</f>
        <v>1.0543666470060473</v>
      </c>
      <c r="P33" s="146">
        <f>PRODUCT(P32:$R32)</f>
        <v>1.0224151761357538</v>
      </c>
      <c r="Q33" s="146">
        <f>PRODUCT(Q32:$R32)</f>
        <v>1.0074562410826851</v>
      </c>
      <c r="R33" s="146">
        <f>PRODUCT(R32:$R32)</f>
        <v>1</v>
      </c>
    </row>
    <row r="35" spans="1:18" x14ac:dyDescent="0.3">
      <c r="A35" s="58">
        <v>1</v>
      </c>
      <c r="B35" s="51" t="s">
        <v>131</v>
      </c>
      <c r="K35" s="58">
        <v>1</v>
      </c>
      <c r="L35" s="51" t="s">
        <v>131</v>
      </c>
    </row>
    <row r="36" spans="1:18" x14ac:dyDescent="0.3">
      <c r="A36" s="58">
        <f t="shared" ref="A36:A39" si="25">A35+1</f>
        <v>2</v>
      </c>
      <c r="B36" s="51" t="s">
        <v>131</v>
      </c>
      <c r="K36" s="58">
        <f t="shared" ref="K36:K39" si="26">K35+1</f>
        <v>2</v>
      </c>
      <c r="L36" s="51" t="s">
        <v>131</v>
      </c>
    </row>
    <row r="37" spans="1:18" x14ac:dyDescent="0.3">
      <c r="A37" s="58">
        <f t="shared" si="25"/>
        <v>3</v>
      </c>
      <c r="B37" s="51" t="s">
        <v>131</v>
      </c>
      <c r="K37" s="58">
        <f t="shared" si="26"/>
        <v>3</v>
      </c>
      <c r="L37" s="51" t="s">
        <v>131</v>
      </c>
    </row>
    <row r="38" spans="1:18" x14ac:dyDescent="0.3">
      <c r="A38" s="58">
        <f t="shared" si="25"/>
        <v>4</v>
      </c>
      <c r="B38" s="51" t="s">
        <v>132</v>
      </c>
      <c r="K38" s="58">
        <f t="shared" si="26"/>
        <v>4</v>
      </c>
      <c r="L38" s="51" t="s">
        <v>132</v>
      </c>
    </row>
    <row r="39" spans="1:18" x14ac:dyDescent="0.3">
      <c r="A39" s="58">
        <f t="shared" si="25"/>
        <v>5</v>
      </c>
      <c r="B39" s="59" t="s">
        <v>133</v>
      </c>
      <c r="K39" s="58">
        <f t="shared" si="26"/>
        <v>5</v>
      </c>
      <c r="L39" s="59" t="s">
        <v>133</v>
      </c>
    </row>
    <row r="40" spans="1:18" x14ac:dyDescent="0.3">
      <c r="A40" s="58">
        <f>A39+2</f>
        <v>7</v>
      </c>
      <c r="B40" s="59" t="s">
        <v>134</v>
      </c>
      <c r="K40" s="58">
        <f>K39+2</f>
        <v>7</v>
      </c>
      <c r="L40" s="59" t="s">
        <v>134</v>
      </c>
    </row>
    <row r="41" spans="1:18" x14ac:dyDescent="0.3">
      <c r="A41" s="58"/>
      <c r="K41" s="58"/>
    </row>
  </sheetData>
  <pageMargins left="0.75" right="0.75" top="1" bottom="1" header="0.5" footer="0.5"/>
  <colBreaks count="1" manualBreakCount="1">
    <brk id="10"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O84"/>
  <sheetViews>
    <sheetView showGridLines="0" tabSelected="1" zoomScale="110" zoomScaleNormal="110" zoomScalePageLayoutView="110" workbookViewId="0">
      <selection activeCell="N16" sqref="N16"/>
    </sheetView>
  </sheetViews>
  <sheetFormatPr defaultColWidth="8.77734375" defaultRowHeight="14.4" x14ac:dyDescent="0.3"/>
  <cols>
    <col min="3" max="4" width="9.33203125" bestFit="1" customWidth="1"/>
    <col min="5" max="5" width="10.44140625" customWidth="1"/>
    <col min="6" max="6" width="10.44140625" bestFit="1" customWidth="1"/>
    <col min="7" max="7" width="11.44140625" bestFit="1" customWidth="1"/>
    <col min="8" max="8" width="12.44140625" customWidth="1"/>
    <col min="9" max="9" width="10.6640625" customWidth="1"/>
    <col min="11" max="11" width="10.77734375" customWidth="1"/>
    <col min="13" max="13" width="10.44140625" customWidth="1"/>
    <col min="14" max="14" width="10.33203125" customWidth="1"/>
    <col min="15" max="15" width="9.33203125" bestFit="1" customWidth="1"/>
    <col min="16" max="16" width="10.109375" customWidth="1"/>
    <col min="17" max="17" width="10.44140625" bestFit="1" customWidth="1"/>
    <col min="18" max="18" width="12.44140625" customWidth="1"/>
    <col min="19" max="19" width="10.109375" bestFit="1" customWidth="1"/>
    <col min="20" max="20" width="9.33203125" style="66" bestFit="1" customWidth="1"/>
    <col min="21" max="21" width="3.33203125" style="25" customWidth="1"/>
    <col min="23" max="23" width="7.77734375" customWidth="1"/>
    <col min="24" max="24" width="9.6640625" customWidth="1"/>
    <col min="25" max="25" width="9.33203125" style="15" bestFit="1" customWidth="1"/>
    <col min="26" max="26" width="11.44140625" customWidth="1"/>
    <col min="27" max="27" width="10.44140625" bestFit="1" customWidth="1"/>
    <col min="28" max="28" width="11.44140625" bestFit="1" customWidth="1"/>
    <col min="29" max="29" width="12.44140625" customWidth="1"/>
    <col min="30" max="30" width="9.109375" customWidth="1"/>
    <col min="31" max="31" width="10.6640625" bestFit="1" customWidth="1"/>
    <col min="32" max="32" width="13" customWidth="1"/>
    <col min="34" max="34" width="10.77734375" customWidth="1"/>
    <col min="35" max="35" width="10.33203125" customWidth="1"/>
    <col min="36" max="36" width="9.33203125" bestFit="1" customWidth="1"/>
    <col min="37" max="38" width="9.6640625" customWidth="1"/>
    <col min="39" max="39" width="13.109375" customWidth="1"/>
    <col min="40" max="40" width="10.109375" customWidth="1"/>
    <col min="41" max="41" width="10.44140625" style="25" bestFit="1" customWidth="1"/>
  </cols>
  <sheetData>
    <row r="1" spans="1:37" x14ac:dyDescent="0.3">
      <c r="A1" t="s">
        <v>169</v>
      </c>
    </row>
    <row r="2" spans="1:37" x14ac:dyDescent="0.3">
      <c r="A2" s="14" t="str">
        <f>State</f>
        <v>EDU</v>
      </c>
      <c r="B2" s="14"/>
      <c r="C2" s="14"/>
      <c r="D2" s="14"/>
      <c r="E2" s="14"/>
      <c r="F2" s="14"/>
      <c r="G2" s="14"/>
      <c r="H2" s="14"/>
      <c r="W2" s="14"/>
      <c r="Z2" s="15" t="str">
        <f>State</f>
        <v>EDU</v>
      </c>
      <c r="AA2" s="14"/>
      <c r="AB2" s="14"/>
      <c r="AC2" s="14"/>
    </row>
    <row r="3" spans="1:37" x14ac:dyDescent="0.3">
      <c r="A3" s="14" t="str">
        <f>Company</f>
        <v>Self-Insured Auto Program</v>
      </c>
      <c r="B3" s="14"/>
      <c r="C3" s="14"/>
      <c r="D3" s="14"/>
      <c r="E3" s="14"/>
      <c r="F3" s="14"/>
      <c r="G3" s="14"/>
      <c r="H3" s="14"/>
      <c r="W3" s="14"/>
      <c r="Z3" s="15" t="str">
        <f>Company</f>
        <v>Self-Insured Auto Program</v>
      </c>
      <c r="AA3" s="14"/>
      <c r="AB3" s="14"/>
      <c r="AC3" s="14"/>
    </row>
    <row r="4" spans="1:37" x14ac:dyDescent="0.3">
      <c r="A4" s="14" t="str">
        <f>LOB</f>
        <v>Cars without Safety Features</v>
      </c>
      <c r="B4" s="14"/>
      <c r="C4" s="14"/>
      <c r="D4" s="14"/>
      <c r="E4" s="14"/>
      <c r="F4" s="14"/>
      <c r="G4" s="14"/>
      <c r="H4" s="14"/>
      <c r="W4" s="14"/>
      <c r="Z4" s="15" t="str">
        <f>Inputs!A10&amp;": History Restated as if These Had Been in Place Historically"</f>
        <v>Cars with Safety Features: History Restated as if These Had Been in Place Historically</v>
      </c>
      <c r="AA4" s="14"/>
      <c r="AB4" s="14"/>
      <c r="AC4" s="14"/>
    </row>
    <row r="6" spans="1:37" x14ac:dyDescent="0.3">
      <c r="C6" s="38">
        <v>1</v>
      </c>
      <c r="D6" s="38">
        <f t="shared" ref="D6:H6" si="0">C6+1</f>
        <v>2</v>
      </c>
      <c r="E6" s="38">
        <f t="shared" si="0"/>
        <v>3</v>
      </c>
      <c r="F6" s="38">
        <f t="shared" si="0"/>
        <v>4</v>
      </c>
      <c r="G6" s="38">
        <f t="shared" si="0"/>
        <v>5</v>
      </c>
      <c r="H6" s="38">
        <f t="shared" si="0"/>
        <v>6</v>
      </c>
      <c r="N6" s="8" t="s">
        <v>87</v>
      </c>
      <c r="O6" s="14"/>
      <c r="P6" s="14"/>
      <c r="X6" s="38">
        <v>1</v>
      </c>
      <c r="Y6" s="38">
        <f t="shared" ref="Y6" si="1">X6+1</f>
        <v>2</v>
      </c>
      <c r="Z6" s="38">
        <f t="shared" ref="Z6" si="2">Y6+1</f>
        <v>3</v>
      </c>
      <c r="AA6" s="38">
        <f t="shared" ref="AA6" si="3">Z6+1</f>
        <v>4</v>
      </c>
      <c r="AB6" s="38">
        <f t="shared" ref="AB6" si="4">AA6+1</f>
        <v>5</v>
      </c>
      <c r="AC6" s="38">
        <f t="shared" ref="AC6" si="5">AB6+1</f>
        <v>6</v>
      </c>
      <c r="AI6" s="8" t="s">
        <v>87</v>
      </c>
      <c r="AJ6" s="14"/>
      <c r="AK6" s="14"/>
    </row>
    <row r="7" spans="1:37" ht="43.2" x14ac:dyDescent="0.3">
      <c r="A7" s="39" t="s">
        <v>130</v>
      </c>
      <c r="B7" s="39" t="s">
        <v>86</v>
      </c>
      <c r="C7" s="39" t="s">
        <v>94</v>
      </c>
      <c r="D7" s="39" t="s">
        <v>107</v>
      </c>
      <c r="E7" s="39" t="s">
        <v>106</v>
      </c>
      <c r="F7" s="39" t="s">
        <v>108</v>
      </c>
      <c r="G7" s="39" t="s">
        <v>109</v>
      </c>
      <c r="H7" s="39" t="s">
        <v>32</v>
      </c>
      <c r="M7" s="8"/>
      <c r="N7" s="3" t="s">
        <v>108</v>
      </c>
      <c r="O7" s="3" t="s">
        <v>109</v>
      </c>
      <c r="P7" s="3" t="s">
        <v>110</v>
      </c>
      <c r="V7" s="39" t="s">
        <v>130</v>
      </c>
      <c r="W7" s="39" t="s">
        <v>86</v>
      </c>
      <c r="X7" s="39" t="s">
        <v>94</v>
      </c>
      <c r="Y7" s="39" t="s">
        <v>107</v>
      </c>
      <c r="Z7" s="39" t="s">
        <v>106</v>
      </c>
      <c r="AA7" s="39" t="s">
        <v>108</v>
      </c>
      <c r="AB7" s="39" t="s">
        <v>109</v>
      </c>
      <c r="AC7" s="39" t="s">
        <v>32</v>
      </c>
      <c r="AH7" s="8"/>
      <c r="AI7" s="3" t="s">
        <v>108</v>
      </c>
      <c r="AJ7" s="3" t="s">
        <v>109</v>
      </c>
      <c r="AK7" s="3" t="s">
        <v>110</v>
      </c>
    </row>
    <row r="8" spans="1:37" x14ac:dyDescent="0.3">
      <c r="A8" s="15">
        <f t="shared" ref="A8:A20" si="6">IF(B9=1,A9-1,A9)</f>
        <v>2010</v>
      </c>
      <c r="B8" s="15">
        <f t="shared" ref="B8:B20" si="7">IF(B9=1,4,B9-1)</f>
        <v>1</v>
      </c>
      <c r="C8" s="124">
        <v>879</v>
      </c>
      <c r="D8" s="125">
        <v>33</v>
      </c>
      <c r="E8" s="126">
        <v>107130</v>
      </c>
      <c r="F8" s="41">
        <f>D8/C8</f>
        <v>3.7542662116040959E-2</v>
      </c>
      <c r="G8" s="47">
        <f>E8/D8</f>
        <v>3246.3636363636365</v>
      </c>
      <c r="H8" s="48">
        <f>E8/C8</f>
        <v>121.87713310580205</v>
      </c>
      <c r="I8" s="109"/>
      <c r="M8" t="s">
        <v>88</v>
      </c>
      <c r="N8" s="40">
        <f>LOGEST(F$8:F$27)^4-1</f>
        <v>-1.6807177162067144E-2</v>
      </c>
      <c r="O8" s="40">
        <f>LOGEST(G$8:G$27)^4-1</f>
        <v>4.7396447785255535E-2</v>
      </c>
      <c r="P8" s="40">
        <f>LOGEST(H$8:H$27)^4-1</f>
        <v>2.9792670128409249E-2</v>
      </c>
      <c r="V8" s="15">
        <f t="shared" ref="V8:V23" si="8">IF(W9=1,V9-1,V9)</f>
        <v>2010</v>
      </c>
      <c r="W8" s="15">
        <f t="shared" ref="W8:W23" si="9">IF(W9=1,4,W9-1)</f>
        <v>1</v>
      </c>
      <c r="X8" s="128">
        <f>C8</f>
        <v>879</v>
      </c>
      <c r="Y8" s="129">
        <f t="shared" ref="Y8:Y27" si="10">AA8*X8</f>
        <v>28.05</v>
      </c>
      <c r="Z8" s="130">
        <f t="shared" ref="Z8:Z27" si="11">X8*AC8</f>
        <v>72848.400000000009</v>
      </c>
      <c r="AA8" s="131">
        <f>F8*'0. Adjust losses for new book'!$G$16</f>
        <v>3.1911262798634814E-2</v>
      </c>
      <c r="AB8" s="132">
        <f>G8*'0. Adjust losses for new book'!$G$17</f>
        <v>2597.0909090909095</v>
      </c>
      <c r="AC8" s="127">
        <f t="shared" ref="AC8:AC27" si="12">AA8*AB8</f>
        <v>82.876450511945407</v>
      </c>
      <c r="AD8" s="109"/>
      <c r="AH8" t="s">
        <v>88</v>
      </c>
      <c r="AI8" s="40">
        <f>LOGEST(AA$8:AA$27)^4-1</f>
        <v>-1.6807177162067144E-2</v>
      </c>
      <c r="AJ8" s="40">
        <f>LOGEST(AB$8:AB$27)^4-1</f>
        <v>4.7396447785255535E-2</v>
      </c>
      <c r="AK8" s="40">
        <f>LOGEST(AC$8:AC$27)^4-1</f>
        <v>2.9792670128408361E-2</v>
      </c>
    </row>
    <row r="9" spans="1:37" x14ac:dyDescent="0.3">
      <c r="A9" s="15">
        <f t="shared" si="6"/>
        <v>2010</v>
      </c>
      <c r="B9" s="15">
        <f t="shared" si="7"/>
        <v>2</v>
      </c>
      <c r="C9" s="124">
        <v>885</v>
      </c>
      <c r="D9" s="125">
        <v>30</v>
      </c>
      <c r="E9" s="126">
        <v>83125</v>
      </c>
      <c r="F9" s="41">
        <f t="shared" ref="F9:F27" si="13">D9/C9</f>
        <v>3.3898305084745763E-2</v>
      </c>
      <c r="G9" s="47">
        <f t="shared" ref="G9:G27" si="14">E9/D9</f>
        <v>2770.8333333333335</v>
      </c>
      <c r="H9" s="48">
        <f t="shared" ref="H9:H27" si="15">E9/C9</f>
        <v>93.926553672316388</v>
      </c>
      <c r="M9" t="s">
        <v>89</v>
      </c>
      <c r="N9" s="40">
        <f>LOGEST(F$12:F$27)^4-1</f>
        <v>-1.6847071125880575E-3</v>
      </c>
      <c r="O9" s="40">
        <f>LOGEST(G$12:G$27)^4-1</f>
        <v>2.9138259167820202E-2</v>
      </c>
      <c r="P9" s="40">
        <f>LOGEST(H$12:H$27)^4-1</f>
        <v>2.7404462622763859E-2</v>
      </c>
      <c r="V9" s="15">
        <f t="shared" si="8"/>
        <v>2010</v>
      </c>
      <c r="W9" s="15">
        <f t="shared" si="9"/>
        <v>2</v>
      </c>
      <c r="X9" s="128">
        <f t="shared" ref="X9:X27" si="16">C9</f>
        <v>885</v>
      </c>
      <c r="Y9" s="129">
        <f t="shared" si="10"/>
        <v>25.5</v>
      </c>
      <c r="Z9" s="130">
        <f t="shared" si="11"/>
        <v>56525.000000000007</v>
      </c>
      <c r="AA9" s="131">
        <f>F9*'0. Adjust losses for new book'!$G$16</f>
        <v>2.8813559322033899E-2</v>
      </c>
      <c r="AB9" s="132">
        <f>G9*'0. Adjust losses for new book'!$G$17</f>
        <v>2216.666666666667</v>
      </c>
      <c r="AC9" s="127">
        <f t="shared" si="12"/>
        <v>63.870056497175149</v>
      </c>
      <c r="AH9" t="s">
        <v>89</v>
      </c>
      <c r="AI9" s="40">
        <f>LOGEST(AA$12:AA$27)^4-1</f>
        <v>-1.6847071125880575E-3</v>
      </c>
      <c r="AJ9" s="40">
        <f>LOGEST(AB$12:AB$27)^4-1</f>
        <v>2.9138259167820202E-2</v>
      </c>
      <c r="AK9" s="40">
        <f>LOGEST(AC$12:AC$27)^4-1</f>
        <v>2.7404462622763859E-2</v>
      </c>
    </row>
    <row r="10" spans="1:37" x14ac:dyDescent="0.3">
      <c r="A10" s="15">
        <f t="shared" si="6"/>
        <v>2010</v>
      </c>
      <c r="B10" s="15">
        <f t="shared" si="7"/>
        <v>3</v>
      </c>
      <c r="C10" s="124">
        <v>891</v>
      </c>
      <c r="D10" s="125">
        <v>30</v>
      </c>
      <c r="E10" s="126">
        <v>100391</v>
      </c>
      <c r="F10" s="41">
        <f t="shared" si="13"/>
        <v>3.3670033670033669E-2</v>
      </c>
      <c r="G10" s="47">
        <f t="shared" si="14"/>
        <v>3346.3666666666668</v>
      </c>
      <c r="H10" s="48">
        <f t="shared" si="15"/>
        <v>112.67227833894501</v>
      </c>
      <c r="M10" t="s">
        <v>90</v>
      </c>
      <c r="N10" s="40">
        <f>LOGEST(F$16:F$27)^4-1</f>
        <v>2.3866572275518694E-2</v>
      </c>
      <c r="O10" s="40">
        <f>LOGEST(G$16:G$27)^4-1</f>
        <v>5.9101408864538518E-2</v>
      </c>
      <c r="P10" s="40">
        <f>LOGEST(H$16:H$27)^4-1</f>
        <v>8.4378529186308393E-2</v>
      </c>
      <c r="V10" s="15">
        <f t="shared" si="8"/>
        <v>2010</v>
      </c>
      <c r="W10" s="15">
        <f t="shared" si="9"/>
        <v>3</v>
      </c>
      <c r="X10" s="128">
        <f t="shared" si="16"/>
        <v>891</v>
      </c>
      <c r="Y10" s="129">
        <f t="shared" si="10"/>
        <v>25.5</v>
      </c>
      <c r="Z10" s="130">
        <f t="shared" si="11"/>
        <v>68265.88</v>
      </c>
      <c r="AA10" s="131">
        <f>F10*'0. Adjust losses for new book'!$G$16</f>
        <v>2.8619528619528618E-2</v>
      </c>
      <c r="AB10" s="132">
        <f>G10*'0. Adjust losses for new book'!$G$17</f>
        <v>2677.0933333333337</v>
      </c>
      <c r="AC10" s="127">
        <f t="shared" si="12"/>
        <v>76.617149270482614</v>
      </c>
      <c r="AH10" t="s">
        <v>90</v>
      </c>
      <c r="AI10" s="40">
        <f>LOGEST(AA$16:AA$27)^4-1</f>
        <v>2.3866572275518694E-2</v>
      </c>
      <c r="AJ10" s="40">
        <f>LOGEST(AB$16:AB$27)^4-1</f>
        <v>5.9101408864538518E-2</v>
      </c>
      <c r="AK10" s="40">
        <f>LOGEST(AC$16:AC$27)^4-1</f>
        <v>8.4378529186308393E-2</v>
      </c>
    </row>
    <row r="11" spans="1:37" x14ac:dyDescent="0.3">
      <c r="A11" s="15">
        <f t="shared" si="6"/>
        <v>2010</v>
      </c>
      <c r="B11" s="15">
        <f t="shared" si="7"/>
        <v>4</v>
      </c>
      <c r="C11" s="124">
        <v>901</v>
      </c>
      <c r="D11" s="125">
        <v>50</v>
      </c>
      <c r="E11" s="126">
        <v>182188</v>
      </c>
      <c r="F11" s="41">
        <f t="shared" si="13"/>
        <v>5.549389567147614E-2</v>
      </c>
      <c r="G11" s="47">
        <f t="shared" si="14"/>
        <v>3643.76</v>
      </c>
      <c r="H11" s="48">
        <f t="shared" si="15"/>
        <v>202.20643729189788</v>
      </c>
      <c r="M11" t="s">
        <v>91</v>
      </c>
      <c r="N11" s="40">
        <f>LOGEST(F$20:F$27)^4-1</f>
        <v>6.0659163341602262E-2</v>
      </c>
      <c r="O11" s="40">
        <f>LOGEST(G$20:G$27)^4-1</f>
        <v>1.3088468400187514E-2</v>
      </c>
      <c r="P11" s="40">
        <f>LOGEST(H$20:H$27)^4-1</f>
        <v>7.4541567284368115E-2</v>
      </c>
      <c r="V11" s="15">
        <f t="shared" si="8"/>
        <v>2010</v>
      </c>
      <c r="W11" s="15">
        <f t="shared" si="9"/>
        <v>4</v>
      </c>
      <c r="X11" s="128">
        <f t="shared" si="16"/>
        <v>901</v>
      </c>
      <c r="Y11" s="129">
        <f t="shared" si="10"/>
        <v>42.5</v>
      </c>
      <c r="Z11" s="130">
        <f t="shared" si="11"/>
        <v>123887.84000000003</v>
      </c>
      <c r="AA11" s="131">
        <f>F11*'0. Adjust losses for new book'!$G$16</f>
        <v>4.716981132075472E-2</v>
      </c>
      <c r="AB11" s="132">
        <f>G11*'0. Adjust losses for new book'!$G$17</f>
        <v>2915.0080000000003</v>
      </c>
      <c r="AC11" s="127">
        <f t="shared" si="12"/>
        <v>137.5003773584906</v>
      </c>
      <c r="AH11" t="s">
        <v>91</v>
      </c>
      <c r="AI11" s="40">
        <f>LOGEST(AA$20:AA$27)^4-1</f>
        <v>6.0659163341602262E-2</v>
      </c>
      <c r="AJ11" s="40">
        <f>LOGEST(AB$20:AB$27)^4-1</f>
        <v>1.3088468400187514E-2</v>
      </c>
      <c r="AK11" s="40">
        <f>LOGEST(AC$20:AC$27)^4-1</f>
        <v>7.4541567284368115E-2</v>
      </c>
    </row>
    <row r="12" spans="1:37" x14ac:dyDescent="0.3">
      <c r="A12" s="15">
        <f t="shared" si="6"/>
        <v>2011</v>
      </c>
      <c r="B12" s="15">
        <f t="shared" si="7"/>
        <v>1</v>
      </c>
      <c r="C12" s="124">
        <v>916</v>
      </c>
      <c r="D12" s="125">
        <v>33</v>
      </c>
      <c r="E12" s="126">
        <v>128962</v>
      </c>
      <c r="F12" s="41">
        <f t="shared" si="13"/>
        <v>3.6026200873362446E-2</v>
      </c>
      <c r="G12" s="47">
        <f t="shared" si="14"/>
        <v>3907.939393939394</v>
      </c>
      <c r="H12" s="48">
        <f t="shared" si="15"/>
        <v>140.7882096069869</v>
      </c>
      <c r="M12" t="s">
        <v>92</v>
      </c>
      <c r="N12" s="40">
        <f>LOGEST(F$22:F$27)^4-1</f>
        <v>4.8955276918282609E-2</v>
      </c>
      <c r="O12" s="40">
        <f>LOGEST(G$22:G$27)^4-1</f>
        <v>-4.9273434903386648E-2</v>
      </c>
      <c r="P12" s="40">
        <f>LOGEST(H$22:H$27)^4-1</f>
        <v>-2.7303526355147989E-3</v>
      </c>
      <c r="V12" s="15">
        <f t="shared" si="8"/>
        <v>2011</v>
      </c>
      <c r="W12" s="15">
        <f t="shared" si="9"/>
        <v>1</v>
      </c>
      <c r="X12" s="128">
        <f t="shared" si="16"/>
        <v>916</v>
      </c>
      <c r="Y12" s="129">
        <f t="shared" si="10"/>
        <v>28.05</v>
      </c>
      <c r="Z12" s="130">
        <f t="shared" si="11"/>
        <v>87694.16</v>
      </c>
      <c r="AA12" s="131">
        <f>F12*'0. Adjust losses for new book'!$G$16</f>
        <v>3.0622270742358078E-2</v>
      </c>
      <c r="AB12" s="132">
        <f>G12*'0. Adjust losses for new book'!$G$17</f>
        <v>3126.3515151515153</v>
      </c>
      <c r="AC12" s="127">
        <f t="shared" si="12"/>
        <v>95.735982532751095</v>
      </c>
      <c r="AH12" t="s">
        <v>92</v>
      </c>
      <c r="AI12" s="40">
        <f>LOGEST(AA$22:AA$27)^4-1</f>
        <v>4.8955276918282609E-2</v>
      </c>
      <c r="AJ12" s="40">
        <f>LOGEST(AB$22:AB$27)^4-1</f>
        <v>-4.9273434903386204E-2</v>
      </c>
      <c r="AK12" s="40">
        <f>LOGEST(AC$22:AC$27)^4-1</f>
        <v>-2.730352635515243E-3</v>
      </c>
    </row>
    <row r="13" spans="1:37" x14ac:dyDescent="0.3">
      <c r="A13" s="15">
        <f t="shared" si="6"/>
        <v>2011</v>
      </c>
      <c r="B13" s="15">
        <f t="shared" si="7"/>
        <v>2</v>
      </c>
      <c r="C13" s="124">
        <v>927</v>
      </c>
      <c r="D13" s="125">
        <v>32</v>
      </c>
      <c r="E13" s="126">
        <v>99681</v>
      </c>
      <c r="F13" s="41">
        <f t="shared" si="13"/>
        <v>3.4519956850053934E-2</v>
      </c>
      <c r="G13" s="47">
        <f t="shared" si="14"/>
        <v>3115.03125</v>
      </c>
      <c r="H13" s="48">
        <f t="shared" si="15"/>
        <v>107.53074433656958</v>
      </c>
      <c r="M13" t="s">
        <v>93</v>
      </c>
      <c r="N13" s="40">
        <f>LOGEST(F$24:F$27)^4-1</f>
        <v>0.30302589101502408</v>
      </c>
      <c r="O13" s="40">
        <f>LOGEST(G$24:G$27)^4-1</f>
        <v>0.17531377358847466</v>
      </c>
      <c r="P13" s="40">
        <f>LOGEST(H$24:H$27)^4-1</f>
        <v>0.53146427705235277</v>
      </c>
      <c r="V13" s="15">
        <f t="shared" si="8"/>
        <v>2011</v>
      </c>
      <c r="W13" s="15">
        <f t="shared" si="9"/>
        <v>2</v>
      </c>
      <c r="X13" s="128">
        <f t="shared" si="16"/>
        <v>927</v>
      </c>
      <c r="Y13" s="129">
        <f t="shared" si="10"/>
        <v>27.199999999999996</v>
      </c>
      <c r="Z13" s="130">
        <f t="shared" si="11"/>
        <v>67783.079999999987</v>
      </c>
      <c r="AA13" s="131">
        <f>F13*'0. Adjust losses for new book'!$G$16</f>
        <v>2.9341963322545843E-2</v>
      </c>
      <c r="AB13" s="132">
        <f>G13*'0. Adjust losses for new book'!$G$17</f>
        <v>2492.0250000000001</v>
      </c>
      <c r="AC13" s="127">
        <f t="shared" si="12"/>
        <v>73.120906148867306</v>
      </c>
      <c r="AH13" t="s">
        <v>93</v>
      </c>
      <c r="AI13" s="40">
        <f>LOGEST(AA$24:AA$27)^4-1</f>
        <v>0.30302589101502408</v>
      </c>
      <c r="AJ13" s="40">
        <f>LOGEST(AB$24:AB$27)^4-1</f>
        <v>0.17531377358847466</v>
      </c>
      <c r="AK13" s="40">
        <f>LOGEST(AC$24:AC$27)^4-1</f>
        <v>0.53146427705235277</v>
      </c>
    </row>
    <row r="14" spans="1:37" x14ac:dyDescent="0.3">
      <c r="A14" s="15">
        <f t="shared" si="6"/>
        <v>2011</v>
      </c>
      <c r="B14" s="15">
        <f t="shared" si="7"/>
        <v>3</v>
      </c>
      <c r="C14" s="124">
        <v>936</v>
      </c>
      <c r="D14" s="125">
        <v>32</v>
      </c>
      <c r="E14" s="126">
        <v>135595</v>
      </c>
      <c r="F14" s="41">
        <f t="shared" si="13"/>
        <v>3.4188034188034191E-2</v>
      </c>
      <c r="G14" s="47">
        <f t="shared" si="14"/>
        <v>4237.34375</v>
      </c>
      <c r="H14" s="48">
        <f t="shared" si="15"/>
        <v>144.866452991453</v>
      </c>
      <c r="V14" s="15">
        <f t="shared" si="8"/>
        <v>2011</v>
      </c>
      <c r="W14" s="15">
        <f t="shared" si="9"/>
        <v>3</v>
      </c>
      <c r="X14" s="128">
        <f t="shared" si="16"/>
        <v>936</v>
      </c>
      <c r="Y14" s="129">
        <f t="shared" si="10"/>
        <v>27.2</v>
      </c>
      <c r="Z14" s="130">
        <f t="shared" si="11"/>
        <v>92204.6</v>
      </c>
      <c r="AA14" s="131">
        <f>F14*'0. Adjust losses for new book'!$G$16</f>
        <v>2.9059829059829061E-2</v>
      </c>
      <c r="AB14" s="132">
        <f>G14*'0. Adjust losses for new book'!$G$17</f>
        <v>3389.875</v>
      </c>
      <c r="AC14" s="127">
        <f t="shared" si="12"/>
        <v>98.509188034188043</v>
      </c>
    </row>
    <row r="15" spans="1:37" x14ac:dyDescent="0.3">
      <c r="A15" s="15">
        <f t="shared" si="6"/>
        <v>2011</v>
      </c>
      <c r="B15" s="15">
        <f t="shared" si="7"/>
        <v>4</v>
      </c>
      <c r="C15" s="124">
        <v>940</v>
      </c>
      <c r="D15" s="125">
        <v>41</v>
      </c>
      <c r="E15" s="126">
        <v>157440</v>
      </c>
      <c r="F15" s="41">
        <f t="shared" si="13"/>
        <v>4.3617021276595745E-2</v>
      </c>
      <c r="G15" s="47">
        <f t="shared" si="14"/>
        <v>3840</v>
      </c>
      <c r="H15" s="48">
        <f t="shared" si="15"/>
        <v>167.48936170212767</v>
      </c>
      <c r="M15" s="44" t="s">
        <v>111</v>
      </c>
      <c r="P15" s="115"/>
      <c r="V15" s="15">
        <f t="shared" si="8"/>
        <v>2011</v>
      </c>
      <c r="W15" s="15">
        <f t="shared" si="9"/>
        <v>4</v>
      </c>
      <c r="X15" s="128">
        <f t="shared" si="16"/>
        <v>940</v>
      </c>
      <c r="Y15" s="129">
        <f t="shared" si="10"/>
        <v>34.849999999999994</v>
      </c>
      <c r="Z15" s="130">
        <f t="shared" si="11"/>
        <v>107059.2</v>
      </c>
      <c r="AA15" s="131">
        <f>F15*'0. Adjust losses for new book'!$G$16</f>
        <v>3.707446808510638E-2</v>
      </c>
      <c r="AB15" s="132">
        <f>G15*'0. Adjust losses for new book'!$G$17</f>
        <v>3072</v>
      </c>
      <c r="AC15" s="127">
        <f t="shared" si="12"/>
        <v>113.8927659574468</v>
      </c>
      <c r="AH15" s="44" t="s">
        <v>111</v>
      </c>
      <c r="AK15" s="115"/>
    </row>
    <row r="16" spans="1:37" x14ac:dyDescent="0.3">
      <c r="A16" s="15">
        <f t="shared" si="6"/>
        <v>2012</v>
      </c>
      <c r="B16" s="15">
        <f t="shared" si="7"/>
        <v>1</v>
      </c>
      <c r="C16" s="124">
        <v>936</v>
      </c>
      <c r="D16" s="125">
        <v>31</v>
      </c>
      <c r="E16" s="126">
        <v>131837</v>
      </c>
      <c r="F16" s="41">
        <f t="shared" si="13"/>
        <v>3.311965811965812E-2</v>
      </c>
      <c r="G16" s="47">
        <f t="shared" si="14"/>
        <v>4252.8064516129034</v>
      </c>
      <c r="H16" s="48">
        <f t="shared" si="15"/>
        <v>140.85149572649573</v>
      </c>
      <c r="M16" t="s">
        <v>112</v>
      </c>
      <c r="N16" s="122">
        <v>2.5000000000000001E-2</v>
      </c>
      <c r="O16" s="123">
        <v>0.03</v>
      </c>
      <c r="P16" s="121">
        <f t="shared" ref="P16:P17" si="17">(1+N16)*(1+O16)-1</f>
        <v>5.5749999999999966E-2</v>
      </c>
      <c r="V16" s="15">
        <f t="shared" si="8"/>
        <v>2012</v>
      </c>
      <c r="W16" s="15">
        <f t="shared" si="9"/>
        <v>1</v>
      </c>
      <c r="X16" s="128">
        <f t="shared" si="16"/>
        <v>936</v>
      </c>
      <c r="Y16" s="129">
        <f t="shared" si="10"/>
        <v>26.35</v>
      </c>
      <c r="Z16" s="130">
        <f t="shared" si="11"/>
        <v>89649.160000000018</v>
      </c>
      <c r="AA16" s="131">
        <f>F16*'0. Adjust losses for new book'!$G$16</f>
        <v>2.8151709401709402E-2</v>
      </c>
      <c r="AB16" s="132">
        <f>G16*'0. Adjust losses for new book'!$G$17</f>
        <v>3402.2451612903228</v>
      </c>
      <c r="AC16" s="127">
        <f t="shared" si="12"/>
        <v>95.779017094017107</v>
      </c>
      <c r="AH16" t="s">
        <v>112</v>
      </c>
      <c r="AI16" s="122">
        <v>2.5000000000000001E-2</v>
      </c>
      <c r="AJ16" s="123">
        <v>0.03</v>
      </c>
      <c r="AK16" s="121">
        <f t="shared" ref="AK16:AK17" si="18">(1+AI16)*(1+AJ16)-1</f>
        <v>5.5749999999999966E-2</v>
      </c>
    </row>
    <row r="17" spans="1:37" x14ac:dyDescent="0.3">
      <c r="A17" s="15">
        <f t="shared" si="6"/>
        <v>2012</v>
      </c>
      <c r="B17" s="15">
        <f t="shared" si="7"/>
        <v>2</v>
      </c>
      <c r="C17" s="124">
        <v>931</v>
      </c>
      <c r="D17" s="125">
        <v>31</v>
      </c>
      <c r="E17" s="126">
        <v>100536</v>
      </c>
      <c r="F17" s="41">
        <f t="shared" si="13"/>
        <v>3.3297529538131039E-2</v>
      </c>
      <c r="G17" s="47">
        <f t="shared" si="14"/>
        <v>3243.0967741935483</v>
      </c>
      <c r="H17" s="48">
        <f t="shared" si="15"/>
        <v>107.98711063372717</v>
      </c>
      <c r="M17" t="s">
        <v>113</v>
      </c>
      <c r="N17" s="122">
        <v>0.05</v>
      </c>
      <c r="O17" s="123">
        <v>0.05</v>
      </c>
      <c r="P17" s="121">
        <f t="shared" si="17"/>
        <v>0.10250000000000004</v>
      </c>
      <c r="V17" s="15">
        <f t="shared" si="8"/>
        <v>2012</v>
      </c>
      <c r="W17" s="15">
        <f t="shared" si="9"/>
        <v>2</v>
      </c>
      <c r="X17" s="128">
        <f t="shared" si="16"/>
        <v>931</v>
      </c>
      <c r="Y17" s="129">
        <f t="shared" si="10"/>
        <v>26.349999999999994</v>
      </c>
      <c r="Z17" s="130">
        <f t="shared" si="11"/>
        <v>68364.479999999981</v>
      </c>
      <c r="AA17" s="131">
        <f>F17*'0. Adjust losses for new book'!$G$16</f>
        <v>2.8302900107411381E-2</v>
      </c>
      <c r="AB17" s="132">
        <f>G17*'0. Adjust losses for new book'!$G$17</f>
        <v>2594.4774193548387</v>
      </c>
      <c r="AC17" s="127">
        <f t="shared" si="12"/>
        <v>73.431235230934462</v>
      </c>
      <c r="AH17" t="s">
        <v>113</v>
      </c>
      <c r="AI17" s="122">
        <v>0.05</v>
      </c>
      <c r="AJ17" s="123">
        <v>0.05</v>
      </c>
      <c r="AK17" s="121">
        <f t="shared" si="18"/>
        <v>0.10250000000000004</v>
      </c>
    </row>
    <row r="18" spans="1:37" x14ac:dyDescent="0.3">
      <c r="A18" s="15">
        <f t="shared" si="6"/>
        <v>2012</v>
      </c>
      <c r="B18" s="15">
        <f t="shared" si="7"/>
        <v>3</v>
      </c>
      <c r="C18" s="124">
        <v>927</v>
      </c>
      <c r="D18" s="125">
        <v>32</v>
      </c>
      <c r="E18" s="126">
        <v>107848</v>
      </c>
      <c r="F18" s="41">
        <f t="shared" si="13"/>
        <v>3.4519956850053934E-2</v>
      </c>
      <c r="G18" s="47">
        <f t="shared" si="14"/>
        <v>3370.25</v>
      </c>
      <c r="H18" s="48">
        <f t="shared" si="15"/>
        <v>116.34088457389429</v>
      </c>
      <c r="V18" s="15">
        <f t="shared" si="8"/>
        <v>2012</v>
      </c>
      <c r="W18" s="15">
        <f t="shared" si="9"/>
        <v>3</v>
      </c>
      <c r="X18" s="128">
        <f t="shared" si="16"/>
        <v>927</v>
      </c>
      <c r="Y18" s="129">
        <f t="shared" si="10"/>
        <v>27.199999999999996</v>
      </c>
      <c r="Z18" s="130">
        <f t="shared" si="11"/>
        <v>73336.639999999999</v>
      </c>
      <c r="AA18" s="131">
        <f>F18*'0. Adjust losses for new book'!$G$16</f>
        <v>2.9341963322545843E-2</v>
      </c>
      <c r="AB18" s="132">
        <f>G18*'0. Adjust losses for new book'!$G$17</f>
        <v>2696.2000000000003</v>
      </c>
      <c r="AC18" s="127">
        <f t="shared" si="12"/>
        <v>79.111801510248114</v>
      </c>
    </row>
    <row r="19" spans="1:37" x14ac:dyDescent="0.3">
      <c r="A19" s="15">
        <f t="shared" si="6"/>
        <v>2012</v>
      </c>
      <c r="B19" s="15">
        <f t="shared" si="7"/>
        <v>4</v>
      </c>
      <c r="C19" s="124">
        <v>927</v>
      </c>
      <c r="D19" s="125">
        <v>37</v>
      </c>
      <c r="E19" s="126">
        <v>109682</v>
      </c>
      <c r="F19" s="41">
        <f t="shared" si="13"/>
        <v>3.9913700107874865E-2</v>
      </c>
      <c r="G19" s="47">
        <f t="shared" si="14"/>
        <v>2964.3783783783783</v>
      </c>
      <c r="H19" s="48">
        <f t="shared" si="15"/>
        <v>118.31930960086299</v>
      </c>
      <c r="I19" s="12">
        <v>1</v>
      </c>
      <c r="J19" t="s">
        <v>43</v>
      </c>
      <c r="V19" s="15">
        <f t="shared" si="8"/>
        <v>2012</v>
      </c>
      <c r="W19" s="15">
        <f t="shared" si="9"/>
        <v>4</v>
      </c>
      <c r="X19" s="128">
        <f t="shared" si="16"/>
        <v>927</v>
      </c>
      <c r="Y19" s="129">
        <f t="shared" si="10"/>
        <v>31.450000000000003</v>
      </c>
      <c r="Z19" s="130">
        <f t="shared" si="11"/>
        <v>74583.760000000009</v>
      </c>
      <c r="AA19" s="131">
        <f>F19*'0. Adjust losses for new book'!$G$16</f>
        <v>3.3926645091693637E-2</v>
      </c>
      <c r="AB19" s="132">
        <f>G19*'0. Adjust losses for new book'!$G$17</f>
        <v>2371.5027027027027</v>
      </c>
      <c r="AC19" s="127">
        <f t="shared" si="12"/>
        <v>80.457130528586845</v>
      </c>
      <c r="AD19" s="12">
        <v>1</v>
      </c>
      <c r="AE19" t="s">
        <v>43</v>
      </c>
    </row>
    <row r="20" spans="1:37" x14ac:dyDescent="0.3">
      <c r="A20" s="15">
        <f t="shared" si="6"/>
        <v>2013</v>
      </c>
      <c r="B20" s="15">
        <f t="shared" si="7"/>
        <v>1</v>
      </c>
      <c r="C20" s="124">
        <v>928</v>
      </c>
      <c r="D20" s="125">
        <v>30</v>
      </c>
      <c r="E20" s="126">
        <v>118936</v>
      </c>
      <c r="F20" s="41">
        <f t="shared" si="13"/>
        <v>3.2327586206896554E-2</v>
      </c>
      <c r="G20" s="47">
        <f t="shared" si="14"/>
        <v>3964.5333333333333</v>
      </c>
      <c r="H20" s="48">
        <f t="shared" si="15"/>
        <v>128.16379310344828</v>
      </c>
      <c r="I20" s="12">
        <f>I19+1</f>
        <v>2</v>
      </c>
      <c r="J20" t="s">
        <v>135</v>
      </c>
      <c r="V20" s="15">
        <f t="shared" si="8"/>
        <v>2013</v>
      </c>
      <c r="W20" s="15">
        <f t="shared" si="9"/>
        <v>1</v>
      </c>
      <c r="X20" s="128">
        <f t="shared" si="16"/>
        <v>928</v>
      </c>
      <c r="Y20" s="129">
        <f t="shared" si="10"/>
        <v>25.5</v>
      </c>
      <c r="Z20" s="130">
        <f t="shared" si="11"/>
        <v>80876.48000000001</v>
      </c>
      <c r="AA20" s="131">
        <f>F20*'0. Adjust losses for new book'!$G$16</f>
        <v>2.7478448275862068E-2</v>
      </c>
      <c r="AB20" s="132">
        <f>G20*'0. Adjust losses for new book'!$G$17</f>
        <v>3171.626666666667</v>
      </c>
      <c r="AC20" s="127">
        <f t="shared" si="12"/>
        <v>87.151379310344836</v>
      </c>
      <c r="AD20" s="112">
        <f>AD19+1</f>
        <v>2</v>
      </c>
      <c r="AE20" s="113" t="s">
        <v>6</v>
      </c>
    </row>
    <row r="21" spans="1:37" x14ac:dyDescent="0.3">
      <c r="A21" s="15">
        <f t="shared" ref="A21:A23" si="19">IF(B22=1,A22-1,A22)</f>
        <v>2013</v>
      </c>
      <c r="B21" s="15">
        <f t="shared" ref="B21:B23" si="20">IF(B22=1,4,B22-1)</f>
        <v>2</v>
      </c>
      <c r="C21" s="124">
        <v>931</v>
      </c>
      <c r="D21" s="125">
        <v>32</v>
      </c>
      <c r="E21" s="126">
        <v>116245</v>
      </c>
      <c r="F21" s="41">
        <f t="shared" si="13"/>
        <v>3.4371643394199784E-2</v>
      </c>
      <c r="G21" s="47">
        <f t="shared" si="14"/>
        <v>3632.65625</v>
      </c>
      <c r="H21" s="48">
        <f t="shared" si="15"/>
        <v>124.86036519871107</v>
      </c>
      <c r="I21" s="12">
        <f>I20+1</f>
        <v>3</v>
      </c>
      <c r="J21" t="s">
        <v>156</v>
      </c>
      <c r="V21" s="15">
        <f t="shared" si="8"/>
        <v>2013</v>
      </c>
      <c r="W21" s="15">
        <f t="shared" si="9"/>
        <v>2</v>
      </c>
      <c r="X21" s="128">
        <f t="shared" si="16"/>
        <v>931</v>
      </c>
      <c r="Y21" s="129">
        <f t="shared" si="10"/>
        <v>27.199999999999996</v>
      </c>
      <c r="Z21" s="130">
        <f t="shared" si="11"/>
        <v>79046.599999999991</v>
      </c>
      <c r="AA21" s="131">
        <f>F21*'0. Adjust losses for new book'!$G$16</f>
        <v>2.9215896885069814E-2</v>
      </c>
      <c r="AB21" s="132">
        <f>G21*'0. Adjust losses for new book'!$G$17</f>
        <v>2906.125</v>
      </c>
      <c r="AC21" s="127">
        <f t="shared" si="12"/>
        <v>84.90504833512351</v>
      </c>
      <c r="AD21" s="112">
        <f>AD20+1</f>
        <v>3</v>
      </c>
      <c r="AE21" s="113" t="s">
        <v>5</v>
      </c>
    </row>
    <row r="22" spans="1:37" x14ac:dyDescent="0.3">
      <c r="A22" s="15">
        <f t="shared" si="19"/>
        <v>2013</v>
      </c>
      <c r="B22" s="15">
        <f t="shared" si="20"/>
        <v>3</v>
      </c>
      <c r="C22" s="124">
        <v>933</v>
      </c>
      <c r="D22" s="125">
        <v>30</v>
      </c>
      <c r="E22" s="126">
        <v>147148</v>
      </c>
      <c r="F22" s="41">
        <f t="shared" si="13"/>
        <v>3.215434083601286E-2</v>
      </c>
      <c r="G22" s="47">
        <f t="shared" si="14"/>
        <v>4904.9333333333334</v>
      </c>
      <c r="H22" s="48">
        <f t="shared" si="15"/>
        <v>157.71489817792067</v>
      </c>
      <c r="I22" s="12">
        <f>I21+1</f>
        <v>4</v>
      </c>
      <c r="J22" s="13" t="s">
        <v>136</v>
      </c>
      <c r="V22" s="15">
        <f t="shared" si="8"/>
        <v>2013</v>
      </c>
      <c r="W22" s="15">
        <f t="shared" si="9"/>
        <v>3</v>
      </c>
      <c r="X22" s="128">
        <f t="shared" si="16"/>
        <v>933</v>
      </c>
      <c r="Y22" s="129">
        <f t="shared" si="10"/>
        <v>25.499999999999996</v>
      </c>
      <c r="Z22" s="130">
        <f t="shared" si="11"/>
        <v>100060.64</v>
      </c>
      <c r="AA22" s="131">
        <f>F22*'0. Adjust losses for new book'!$G$16</f>
        <v>2.733118971061093E-2</v>
      </c>
      <c r="AB22" s="132">
        <f>G22*'0. Adjust losses for new book'!$G$17</f>
        <v>3923.9466666666667</v>
      </c>
      <c r="AC22" s="127">
        <f t="shared" si="12"/>
        <v>107.24613076098606</v>
      </c>
      <c r="AD22" s="112">
        <f>AD21+1</f>
        <v>4</v>
      </c>
      <c r="AE22" s="113" t="s">
        <v>7</v>
      </c>
    </row>
    <row r="23" spans="1:37" x14ac:dyDescent="0.3">
      <c r="A23" s="15">
        <f t="shared" si="19"/>
        <v>2013</v>
      </c>
      <c r="B23" s="15">
        <f t="shared" si="20"/>
        <v>4</v>
      </c>
      <c r="C23" s="124">
        <v>934</v>
      </c>
      <c r="D23" s="125">
        <v>40</v>
      </c>
      <c r="E23" s="126">
        <v>147390</v>
      </c>
      <c r="F23" s="41">
        <f t="shared" si="13"/>
        <v>4.2826552462526764E-2</v>
      </c>
      <c r="G23" s="47">
        <f t="shared" si="14"/>
        <v>3684.75</v>
      </c>
      <c r="H23" s="48">
        <f t="shared" si="15"/>
        <v>157.80513918629549</v>
      </c>
      <c r="I23" s="12">
        <f>I22+1</f>
        <v>5</v>
      </c>
      <c r="J23" s="13" t="s">
        <v>129</v>
      </c>
      <c r="V23" s="15">
        <f t="shared" si="8"/>
        <v>2013</v>
      </c>
      <c r="W23" s="15">
        <f t="shared" si="9"/>
        <v>4</v>
      </c>
      <c r="X23" s="128">
        <f t="shared" si="16"/>
        <v>934</v>
      </c>
      <c r="Y23" s="129">
        <f t="shared" si="10"/>
        <v>34</v>
      </c>
      <c r="Z23" s="130">
        <f t="shared" si="11"/>
        <v>100225.2</v>
      </c>
      <c r="AA23" s="131">
        <f>F23*'0. Adjust losses for new book'!$G$16</f>
        <v>3.6402569593147749E-2</v>
      </c>
      <c r="AB23" s="132">
        <f>G23*'0. Adjust losses for new book'!$G$17</f>
        <v>2947.8</v>
      </c>
      <c r="AC23" s="127">
        <f t="shared" si="12"/>
        <v>107.30749464668094</v>
      </c>
      <c r="AD23" s="112">
        <f>AD22+1</f>
        <v>5</v>
      </c>
      <c r="AE23" s="113" t="s">
        <v>8</v>
      </c>
    </row>
    <row r="24" spans="1:37" x14ac:dyDescent="0.3">
      <c r="A24" s="15">
        <f>MAX('4. Expected loss and loss ratio'!$A$8:$A$13)</f>
        <v>2014</v>
      </c>
      <c r="B24" s="15">
        <f t="shared" ref="B24:B26" si="21">B25-1</f>
        <v>1</v>
      </c>
      <c r="C24" s="124">
        <v>938</v>
      </c>
      <c r="D24" s="125">
        <v>31</v>
      </c>
      <c r="E24" s="126">
        <v>125000</v>
      </c>
      <c r="F24" s="41">
        <f t="shared" si="13"/>
        <v>3.3049040511727079E-2</v>
      </c>
      <c r="G24" s="47">
        <f t="shared" si="14"/>
        <v>4032.2580645161293</v>
      </c>
      <c r="H24" s="48">
        <f t="shared" si="15"/>
        <v>133.26226012793177</v>
      </c>
      <c r="I24" s="12">
        <f>I23+1</f>
        <v>6</v>
      </c>
      <c r="J24" s="13" t="s">
        <v>137</v>
      </c>
      <c r="V24" s="15">
        <f>MAX('4. Expected loss and loss ratio'!$A$8:$A$13)</f>
        <v>2014</v>
      </c>
      <c r="W24" s="15">
        <f t="shared" ref="W24:W26" si="22">W25-1</f>
        <v>1</v>
      </c>
      <c r="X24" s="128">
        <f t="shared" si="16"/>
        <v>938</v>
      </c>
      <c r="Y24" s="129">
        <f t="shared" si="10"/>
        <v>26.349999999999998</v>
      </c>
      <c r="Z24" s="130">
        <f t="shared" si="11"/>
        <v>85000</v>
      </c>
      <c r="AA24" s="131">
        <f>F24*'0. Adjust losses for new book'!$G$16</f>
        <v>2.8091684434968015E-2</v>
      </c>
      <c r="AB24" s="132">
        <f>G24*'0. Adjust losses for new book'!$G$17</f>
        <v>3225.8064516129034</v>
      </c>
      <c r="AC24" s="127">
        <f t="shared" si="12"/>
        <v>90.618336886993603</v>
      </c>
      <c r="AD24" s="112">
        <f>AD23+1</f>
        <v>6</v>
      </c>
      <c r="AE24" s="113" t="s">
        <v>4</v>
      </c>
    </row>
    <row r="25" spans="1:37" x14ac:dyDescent="0.3">
      <c r="A25" s="15">
        <f>MAX('4. Expected loss and loss ratio'!$A$8:$A$13)</f>
        <v>2014</v>
      </c>
      <c r="B25" s="15">
        <f t="shared" si="21"/>
        <v>2</v>
      </c>
      <c r="C25" s="124">
        <v>944</v>
      </c>
      <c r="D25" s="125">
        <v>33</v>
      </c>
      <c r="E25" s="126">
        <v>97389</v>
      </c>
      <c r="F25" s="41">
        <f t="shared" si="13"/>
        <v>3.4957627118644065E-2</v>
      </c>
      <c r="G25" s="47">
        <f>E25/D25</f>
        <v>2951.181818181818</v>
      </c>
      <c r="H25" s="48">
        <f t="shared" si="15"/>
        <v>103.16631355932203</v>
      </c>
      <c r="V25" s="15">
        <f>MAX('4. Expected loss and loss ratio'!$A$8:$A$13)</f>
        <v>2014</v>
      </c>
      <c r="W25" s="15">
        <f t="shared" si="22"/>
        <v>2</v>
      </c>
      <c r="X25" s="128">
        <f t="shared" si="16"/>
        <v>944</v>
      </c>
      <c r="Y25" s="129">
        <f t="shared" si="10"/>
        <v>28.049999999999997</v>
      </c>
      <c r="Z25" s="130">
        <f t="shared" si="11"/>
        <v>66224.51999999999</v>
      </c>
      <c r="AA25" s="131">
        <f>F25*'0. Adjust losses for new book'!$G$16</f>
        <v>2.9713983050847454E-2</v>
      </c>
      <c r="AB25" s="132">
        <f>G25*'0. Adjust losses for new book'!$G$17</f>
        <v>2360.9454545454546</v>
      </c>
      <c r="AC25" s="127">
        <f t="shared" si="12"/>
        <v>70.153093220338974</v>
      </c>
    </row>
    <row r="26" spans="1:37" x14ac:dyDescent="0.3">
      <c r="A26" s="15">
        <f>MAX('4. Expected loss and loss ratio'!$A$8:$A$13)</f>
        <v>2014</v>
      </c>
      <c r="B26" s="15">
        <f t="shared" si="21"/>
        <v>3</v>
      </c>
      <c r="C26" s="124">
        <v>945</v>
      </c>
      <c r="D26" s="125">
        <v>27</v>
      </c>
      <c r="E26" s="126">
        <v>149892</v>
      </c>
      <c r="F26" s="41">
        <f t="shared" si="13"/>
        <v>2.8571428571428571E-2</v>
      </c>
      <c r="G26" s="47">
        <f t="shared" si="14"/>
        <v>5551.5555555555557</v>
      </c>
      <c r="H26" s="48">
        <f t="shared" si="15"/>
        <v>158.61587301587301</v>
      </c>
      <c r="I26" s="43"/>
      <c r="J26" s="46"/>
      <c r="V26" s="15">
        <f>MAX('4. Expected loss and loss ratio'!$A$8:$A$13)</f>
        <v>2014</v>
      </c>
      <c r="W26" s="15">
        <f t="shared" si="22"/>
        <v>3</v>
      </c>
      <c r="X26" s="128">
        <f t="shared" si="16"/>
        <v>945</v>
      </c>
      <c r="Y26" s="129">
        <f t="shared" si="10"/>
        <v>22.95</v>
      </c>
      <c r="Z26" s="130">
        <f t="shared" si="11"/>
        <v>101926.56000000001</v>
      </c>
      <c r="AA26" s="131">
        <f>F26*'0. Adjust losses for new book'!$G$16</f>
        <v>2.4285714285714285E-2</v>
      </c>
      <c r="AB26" s="132">
        <f>G26*'0. Adjust losses for new book'!$G$17</f>
        <v>4441.2444444444445</v>
      </c>
      <c r="AC26" s="127">
        <f t="shared" si="12"/>
        <v>107.85879365079366</v>
      </c>
      <c r="AD26" s="43"/>
      <c r="AE26" s="46"/>
    </row>
    <row r="27" spans="1:37" x14ac:dyDescent="0.3">
      <c r="A27" s="15">
        <f>MAX('4. Expected loss and loss ratio'!$A$8:$A$13)</f>
        <v>2014</v>
      </c>
      <c r="B27" s="15">
        <v>4</v>
      </c>
      <c r="C27" s="124">
        <v>953</v>
      </c>
      <c r="D27" s="125">
        <v>42</v>
      </c>
      <c r="E27" s="126">
        <v>156959</v>
      </c>
      <c r="F27" s="41">
        <f t="shared" si="13"/>
        <v>4.4071353620146907E-2</v>
      </c>
      <c r="G27" s="47">
        <f t="shared" si="14"/>
        <v>3737.1190476190477</v>
      </c>
      <c r="H27" s="48">
        <f t="shared" si="15"/>
        <v>164.69989506820568</v>
      </c>
      <c r="I27" s="43"/>
      <c r="J27" s="46"/>
      <c r="V27" s="15">
        <f>MAX('4. Expected loss and loss ratio'!$A$8:$A$13)</f>
        <v>2014</v>
      </c>
      <c r="W27" s="15">
        <v>4</v>
      </c>
      <c r="X27" s="128">
        <f t="shared" si="16"/>
        <v>953</v>
      </c>
      <c r="Y27" s="129">
        <f t="shared" si="10"/>
        <v>35.699999999999996</v>
      </c>
      <c r="Z27" s="130">
        <f t="shared" si="11"/>
        <v>106732.12000000001</v>
      </c>
      <c r="AA27" s="131">
        <f>F27*'0. Adjust losses for new book'!$G$16</f>
        <v>3.7460650577124867E-2</v>
      </c>
      <c r="AB27" s="132">
        <f>G27*'0. Adjust losses for new book'!$G$17</f>
        <v>2989.6952380952384</v>
      </c>
      <c r="AC27" s="127">
        <f t="shared" si="12"/>
        <v>111.99592864637987</v>
      </c>
      <c r="AD27" s="43"/>
      <c r="AE27" s="46"/>
    </row>
    <row r="28" spans="1:37" x14ac:dyDescent="0.3">
      <c r="M28" s="7"/>
      <c r="N28" s="7"/>
      <c r="O28" s="7"/>
      <c r="P28" s="7"/>
      <c r="AH28" s="7"/>
      <c r="AI28" s="7"/>
      <c r="AJ28" s="7"/>
      <c r="AK28" s="7"/>
    </row>
    <row r="29" spans="1:37" x14ac:dyDescent="0.3">
      <c r="A29" s="25"/>
      <c r="B29" s="25"/>
      <c r="C29" s="25"/>
      <c r="D29" s="25"/>
      <c r="E29" s="25"/>
      <c r="F29" s="25"/>
      <c r="G29" s="25"/>
      <c r="H29" s="25"/>
      <c r="I29" s="25"/>
      <c r="J29" s="25"/>
      <c r="K29" s="25"/>
      <c r="L29" s="25"/>
      <c r="M29" s="25"/>
      <c r="N29" s="25"/>
      <c r="O29" s="25"/>
      <c r="P29" s="25"/>
      <c r="Q29" s="25"/>
      <c r="R29" s="25"/>
    </row>
    <row r="30" spans="1:37" x14ac:dyDescent="0.3">
      <c r="A30" s="25"/>
      <c r="B30" s="25"/>
      <c r="C30" s="25"/>
      <c r="D30" s="25"/>
      <c r="E30" s="25"/>
      <c r="F30" s="25"/>
      <c r="G30" s="25"/>
      <c r="H30" s="25"/>
      <c r="I30" s="25"/>
      <c r="J30" s="25"/>
      <c r="K30" s="25"/>
      <c r="L30" s="25"/>
      <c r="M30" s="25"/>
      <c r="N30" s="25"/>
      <c r="O30" s="25"/>
      <c r="P30" s="25"/>
      <c r="Q30" s="25"/>
      <c r="R30" s="25"/>
      <c r="U30" s="20"/>
      <c r="V30" s="18"/>
      <c r="W30" s="19"/>
      <c r="X30" s="18"/>
      <c r="Y30" s="98" t="s">
        <v>153</v>
      </c>
      <c r="Z30" s="24" t="s">
        <v>153</v>
      </c>
      <c r="AA30" s="19" t="s">
        <v>153</v>
      </c>
      <c r="AB30" s="18" t="s">
        <v>152</v>
      </c>
      <c r="AC30" s="24" t="s">
        <v>152</v>
      </c>
      <c r="AD30" s="24" t="s">
        <v>152</v>
      </c>
      <c r="AE30" s="19" t="s">
        <v>152</v>
      </c>
      <c r="AF30" s="18" t="s">
        <v>151</v>
      </c>
      <c r="AG30" s="24" t="s">
        <v>151</v>
      </c>
      <c r="AH30" s="24" t="s">
        <v>151</v>
      </c>
      <c r="AI30" s="19" t="s">
        <v>151</v>
      </c>
    </row>
    <row r="31" spans="1:37" x14ac:dyDescent="0.3">
      <c r="A31" s="25"/>
      <c r="B31" s="25"/>
      <c r="C31" s="25"/>
      <c r="D31" s="25"/>
      <c r="E31" s="25"/>
      <c r="F31" s="25"/>
      <c r="G31" s="25"/>
      <c r="H31" s="25"/>
      <c r="I31" s="25"/>
      <c r="J31" s="25"/>
      <c r="K31" s="25"/>
      <c r="L31" s="25"/>
      <c r="M31" s="25"/>
      <c r="N31" s="25"/>
      <c r="O31" s="25"/>
      <c r="P31" s="25"/>
      <c r="Q31" s="25"/>
      <c r="R31" s="25"/>
      <c r="U31" s="20"/>
      <c r="V31" s="20"/>
      <c r="W31" s="21"/>
      <c r="X31" s="20"/>
      <c r="Y31" s="99" t="s">
        <v>149</v>
      </c>
      <c r="Z31" s="25" t="s">
        <v>149</v>
      </c>
      <c r="AA31" s="21" t="s">
        <v>149</v>
      </c>
      <c r="AB31" s="20" t="s">
        <v>149</v>
      </c>
      <c r="AC31" s="25" t="s">
        <v>149</v>
      </c>
      <c r="AD31" s="25" t="s">
        <v>149</v>
      </c>
      <c r="AE31" s="21" t="s">
        <v>149</v>
      </c>
      <c r="AF31" s="20" t="s">
        <v>149</v>
      </c>
      <c r="AG31" s="25" t="s">
        <v>149</v>
      </c>
      <c r="AH31" s="25" t="s">
        <v>149</v>
      </c>
      <c r="AI31" s="21" t="s">
        <v>149</v>
      </c>
    </row>
    <row r="32" spans="1:37" x14ac:dyDescent="0.3">
      <c r="A32" s="25"/>
      <c r="B32" s="25"/>
      <c r="C32" s="25"/>
      <c r="D32" s="25"/>
      <c r="E32" s="25"/>
      <c r="F32" s="25"/>
      <c r="G32" s="25"/>
      <c r="H32" s="25"/>
      <c r="I32" s="25"/>
      <c r="J32" s="25"/>
      <c r="K32" s="25"/>
      <c r="L32" s="25"/>
      <c r="M32" s="25"/>
      <c r="N32" s="25"/>
      <c r="O32" s="25"/>
      <c r="P32" s="25"/>
      <c r="Q32" s="25"/>
      <c r="R32" s="25"/>
      <c r="U32" s="20"/>
      <c r="V32" s="20"/>
      <c r="W32" s="21"/>
      <c r="X32" s="20"/>
      <c r="Y32" s="99" t="s">
        <v>144</v>
      </c>
      <c r="Z32" s="25" t="s">
        <v>145</v>
      </c>
      <c r="AA32" s="21" t="s">
        <v>146</v>
      </c>
      <c r="AB32" s="20" t="s">
        <v>150</v>
      </c>
      <c r="AC32" s="25" t="s">
        <v>144</v>
      </c>
      <c r="AD32" s="25" t="s">
        <v>145</v>
      </c>
      <c r="AE32" s="21" t="s">
        <v>146</v>
      </c>
      <c r="AF32" s="20" t="s">
        <v>143</v>
      </c>
      <c r="AG32" s="25" t="s">
        <v>144</v>
      </c>
      <c r="AH32" s="25" t="s">
        <v>145</v>
      </c>
      <c r="AI32" s="21" t="s">
        <v>146</v>
      </c>
    </row>
    <row r="33" spans="1:35" x14ac:dyDescent="0.3">
      <c r="A33" s="25"/>
      <c r="B33" s="25"/>
      <c r="C33" s="33"/>
      <c r="D33" s="33"/>
      <c r="E33" s="33"/>
      <c r="F33" s="33"/>
      <c r="G33" s="27"/>
      <c r="H33" s="27"/>
      <c r="I33" s="27"/>
      <c r="J33" s="27"/>
      <c r="K33" s="27"/>
      <c r="L33" s="27"/>
      <c r="M33" s="27"/>
      <c r="N33" s="27"/>
      <c r="O33" s="25"/>
      <c r="P33" s="25"/>
      <c r="Q33" s="25"/>
      <c r="R33" s="25"/>
      <c r="U33" s="20"/>
      <c r="V33" s="20"/>
      <c r="W33" s="21"/>
      <c r="X33" s="32"/>
      <c r="Y33" s="100" t="e">
        <f t="shared" ref="Y33:Y52" si="23">GROWTH($X$33:$X$52,$A$33:$A$52,$A33)</f>
        <v>#VALUE!</v>
      </c>
      <c r="Z33" s="33"/>
      <c r="AA33" s="34"/>
      <c r="AB33" s="26">
        <f t="shared" ref="AB33:AB52" si="24">AB8</f>
        <v>2597.0909090909095</v>
      </c>
      <c r="AC33" s="27" t="e">
        <f t="shared" ref="AC33:AC52" si="25">GROWTH($AB$33:$AB$52,$A$33:$A$52,$A33)</f>
        <v>#VALUE!</v>
      </c>
      <c r="AD33" s="27"/>
      <c r="AE33" s="28"/>
      <c r="AF33" s="26">
        <f t="shared" ref="AF33:AF52" si="26">AC8</f>
        <v>82.876450511945407</v>
      </c>
      <c r="AG33" s="27" t="e">
        <f t="shared" ref="AG33:AG52" si="27">GROWTH($AF$33:$AF$52,$A$33:$A$52,$A33)</f>
        <v>#VALUE!</v>
      </c>
      <c r="AH33" s="27"/>
      <c r="AI33" s="28"/>
    </row>
    <row r="34" spans="1:35" x14ac:dyDescent="0.3">
      <c r="A34" s="25"/>
      <c r="B34" s="25"/>
      <c r="C34" s="33"/>
      <c r="D34" s="33"/>
      <c r="E34" s="33"/>
      <c r="F34" s="33"/>
      <c r="G34" s="27"/>
      <c r="H34" s="27"/>
      <c r="I34" s="27"/>
      <c r="J34" s="27"/>
      <c r="K34" s="27"/>
      <c r="L34" s="27"/>
      <c r="M34" s="27"/>
      <c r="N34" s="27"/>
      <c r="O34" s="25"/>
      <c r="P34" s="25"/>
      <c r="Q34" s="25"/>
      <c r="R34" s="25"/>
      <c r="U34" s="20"/>
      <c r="V34" s="20"/>
      <c r="W34" s="21"/>
      <c r="X34" s="32"/>
      <c r="Y34" s="100" t="e">
        <f t="shared" si="23"/>
        <v>#VALUE!</v>
      </c>
      <c r="Z34" s="33"/>
      <c r="AA34" s="34"/>
      <c r="AB34" s="26">
        <f t="shared" si="24"/>
        <v>2216.666666666667</v>
      </c>
      <c r="AC34" s="27" t="e">
        <f t="shared" si="25"/>
        <v>#VALUE!</v>
      </c>
      <c r="AD34" s="27"/>
      <c r="AE34" s="28"/>
      <c r="AF34" s="26">
        <f t="shared" si="26"/>
        <v>63.870056497175149</v>
      </c>
      <c r="AG34" s="27" t="e">
        <f t="shared" si="27"/>
        <v>#VALUE!</v>
      </c>
      <c r="AH34" s="27"/>
      <c r="AI34" s="28"/>
    </row>
    <row r="35" spans="1:35" x14ac:dyDescent="0.3">
      <c r="A35" s="25"/>
      <c r="B35" s="25"/>
      <c r="C35" s="33"/>
      <c r="D35" s="33"/>
      <c r="E35" s="33"/>
      <c r="F35" s="33"/>
      <c r="G35" s="27"/>
      <c r="H35" s="27"/>
      <c r="I35" s="27"/>
      <c r="J35" s="27"/>
      <c r="K35" s="27"/>
      <c r="L35" s="27"/>
      <c r="M35" s="27"/>
      <c r="N35" s="27"/>
      <c r="O35" s="25"/>
      <c r="P35" s="25"/>
      <c r="Q35" s="25"/>
      <c r="R35" s="25"/>
      <c r="U35" s="20"/>
      <c r="V35" s="20"/>
      <c r="W35" s="21"/>
      <c r="X35" s="32"/>
      <c r="Y35" s="100" t="e">
        <f t="shared" si="23"/>
        <v>#VALUE!</v>
      </c>
      <c r="Z35" s="33"/>
      <c r="AA35" s="34"/>
      <c r="AB35" s="26">
        <f t="shared" si="24"/>
        <v>2677.0933333333337</v>
      </c>
      <c r="AC35" s="27" t="e">
        <f t="shared" si="25"/>
        <v>#VALUE!</v>
      </c>
      <c r="AD35" s="27"/>
      <c r="AE35" s="28"/>
      <c r="AF35" s="26">
        <f t="shared" si="26"/>
        <v>76.617149270482614</v>
      </c>
      <c r="AG35" s="27" t="e">
        <f t="shared" si="27"/>
        <v>#VALUE!</v>
      </c>
      <c r="AH35" s="27"/>
      <c r="AI35" s="28"/>
    </row>
    <row r="36" spans="1:35" x14ac:dyDescent="0.3">
      <c r="A36" s="25"/>
      <c r="B36" s="25"/>
      <c r="C36" s="33"/>
      <c r="D36" s="33"/>
      <c r="E36" s="33"/>
      <c r="F36" s="33"/>
      <c r="G36" s="27"/>
      <c r="H36" s="27"/>
      <c r="I36" s="27"/>
      <c r="J36" s="27"/>
      <c r="K36" s="27"/>
      <c r="L36" s="27"/>
      <c r="M36" s="27"/>
      <c r="N36" s="27"/>
      <c r="O36" s="25"/>
      <c r="P36" s="25"/>
      <c r="Q36" s="25"/>
      <c r="R36" s="25"/>
      <c r="U36" s="20"/>
      <c r="V36" s="20"/>
      <c r="W36" s="21"/>
      <c r="X36" s="32"/>
      <c r="Y36" s="100" t="e">
        <f t="shared" si="23"/>
        <v>#VALUE!</v>
      </c>
      <c r="Z36" s="33"/>
      <c r="AA36" s="34"/>
      <c r="AB36" s="26">
        <f t="shared" si="24"/>
        <v>2915.0080000000003</v>
      </c>
      <c r="AC36" s="27" t="e">
        <f t="shared" si="25"/>
        <v>#VALUE!</v>
      </c>
      <c r="AD36" s="27"/>
      <c r="AE36" s="28"/>
      <c r="AF36" s="26">
        <f t="shared" si="26"/>
        <v>137.5003773584906</v>
      </c>
      <c r="AG36" s="27" t="e">
        <f t="shared" si="27"/>
        <v>#VALUE!</v>
      </c>
      <c r="AH36" s="27"/>
      <c r="AI36" s="28"/>
    </row>
    <row r="37" spans="1:35" x14ac:dyDescent="0.3">
      <c r="A37" s="25"/>
      <c r="B37" s="25"/>
      <c r="C37" s="33"/>
      <c r="D37" s="33"/>
      <c r="E37" s="33"/>
      <c r="F37" s="33"/>
      <c r="G37" s="27"/>
      <c r="H37" s="27"/>
      <c r="I37" s="27"/>
      <c r="J37" s="27"/>
      <c r="K37" s="27"/>
      <c r="L37" s="27"/>
      <c r="M37" s="27"/>
      <c r="N37" s="27"/>
      <c r="O37" s="25"/>
      <c r="P37" s="25"/>
      <c r="Q37" s="25"/>
      <c r="R37" s="25"/>
      <c r="U37" s="20"/>
      <c r="V37" s="20"/>
      <c r="W37" s="21"/>
      <c r="X37" s="32"/>
      <c r="Y37" s="100" t="e">
        <f t="shared" si="23"/>
        <v>#VALUE!</v>
      </c>
      <c r="Z37" s="33"/>
      <c r="AA37" s="34"/>
      <c r="AB37" s="26">
        <f t="shared" si="24"/>
        <v>3126.3515151515153</v>
      </c>
      <c r="AC37" s="27" t="e">
        <f t="shared" si="25"/>
        <v>#VALUE!</v>
      </c>
      <c r="AD37" s="27"/>
      <c r="AE37" s="28"/>
      <c r="AF37" s="26">
        <f t="shared" si="26"/>
        <v>95.735982532751095</v>
      </c>
      <c r="AG37" s="27" t="e">
        <f t="shared" si="27"/>
        <v>#VALUE!</v>
      </c>
      <c r="AH37" s="27"/>
      <c r="AI37" s="28"/>
    </row>
    <row r="38" spans="1:35" x14ac:dyDescent="0.3">
      <c r="A38" s="25"/>
      <c r="B38" s="25"/>
      <c r="C38" s="33"/>
      <c r="D38" s="33"/>
      <c r="E38" s="33"/>
      <c r="F38" s="33"/>
      <c r="G38" s="27"/>
      <c r="H38" s="27"/>
      <c r="I38" s="27"/>
      <c r="J38" s="27"/>
      <c r="K38" s="27"/>
      <c r="L38" s="27"/>
      <c r="M38" s="27"/>
      <c r="N38" s="27"/>
      <c r="O38" s="25"/>
      <c r="P38" s="25"/>
      <c r="Q38" s="25"/>
      <c r="R38" s="25"/>
      <c r="U38" s="20"/>
      <c r="V38" s="20"/>
      <c r="W38" s="21"/>
      <c r="X38" s="32"/>
      <c r="Y38" s="100" t="e">
        <f t="shared" si="23"/>
        <v>#VALUE!</v>
      </c>
      <c r="Z38" s="33"/>
      <c r="AA38" s="34"/>
      <c r="AB38" s="26">
        <f t="shared" si="24"/>
        <v>2492.0250000000001</v>
      </c>
      <c r="AC38" s="27" t="e">
        <f t="shared" si="25"/>
        <v>#VALUE!</v>
      </c>
      <c r="AD38" s="27"/>
      <c r="AE38" s="28"/>
      <c r="AF38" s="26">
        <f t="shared" si="26"/>
        <v>73.120906148867306</v>
      </c>
      <c r="AG38" s="27" t="e">
        <f t="shared" si="27"/>
        <v>#VALUE!</v>
      </c>
      <c r="AH38" s="27"/>
      <c r="AI38" s="28"/>
    </row>
    <row r="39" spans="1:35" x14ac:dyDescent="0.3">
      <c r="A39" s="25"/>
      <c r="B39" s="25"/>
      <c r="C39" s="33"/>
      <c r="D39" s="33"/>
      <c r="E39" s="33"/>
      <c r="F39" s="33"/>
      <c r="G39" s="27"/>
      <c r="H39" s="27"/>
      <c r="I39" s="27"/>
      <c r="J39" s="27"/>
      <c r="K39" s="27"/>
      <c r="L39" s="27"/>
      <c r="M39" s="27"/>
      <c r="N39" s="27"/>
      <c r="O39" s="25"/>
      <c r="P39" s="25"/>
      <c r="Q39" s="25"/>
      <c r="R39" s="25"/>
      <c r="U39" s="20"/>
      <c r="V39" s="20"/>
      <c r="W39" s="21"/>
      <c r="X39" s="32"/>
      <c r="Y39" s="100" t="e">
        <f t="shared" si="23"/>
        <v>#VALUE!</v>
      </c>
      <c r="Z39" s="33"/>
      <c r="AA39" s="34"/>
      <c r="AB39" s="26">
        <f t="shared" si="24"/>
        <v>3389.875</v>
      </c>
      <c r="AC39" s="27" t="e">
        <f t="shared" si="25"/>
        <v>#VALUE!</v>
      </c>
      <c r="AD39" s="27"/>
      <c r="AE39" s="28"/>
      <c r="AF39" s="26">
        <f t="shared" si="26"/>
        <v>98.509188034188043</v>
      </c>
      <c r="AG39" s="27" t="e">
        <f t="shared" si="27"/>
        <v>#VALUE!</v>
      </c>
      <c r="AH39" s="27"/>
      <c r="AI39" s="28"/>
    </row>
    <row r="40" spans="1:35" x14ac:dyDescent="0.3">
      <c r="A40" s="25"/>
      <c r="B40" s="25"/>
      <c r="C40" s="33"/>
      <c r="D40" s="33"/>
      <c r="E40" s="33"/>
      <c r="F40" s="33"/>
      <c r="G40" s="27"/>
      <c r="H40" s="27"/>
      <c r="I40" s="27"/>
      <c r="J40" s="27"/>
      <c r="K40" s="27"/>
      <c r="L40" s="27"/>
      <c r="M40" s="27"/>
      <c r="N40" s="27"/>
      <c r="O40" s="25"/>
      <c r="P40" s="25"/>
      <c r="Q40" s="25"/>
      <c r="R40" s="25"/>
      <c r="U40" s="20"/>
      <c r="V40" s="20"/>
      <c r="W40" s="21"/>
      <c r="X40" s="32"/>
      <c r="Y40" s="100" t="e">
        <f t="shared" si="23"/>
        <v>#VALUE!</v>
      </c>
      <c r="Z40" s="33"/>
      <c r="AA40" s="34"/>
      <c r="AB40" s="26">
        <f t="shared" si="24"/>
        <v>3072</v>
      </c>
      <c r="AC40" s="27" t="e">
        <f t="shared" si="25"/>
        <v>#VALUE!</v>
      </c>
      <c r="AD40" s="27"/>
      <c r="AE40" s="28"/>
      <c r="AF40" s="26">
        <f t="shared" si="26"/>
        <v>113.8927659574468</v>
      </c>
      <c r="AG40" s="27" t="e">
        <f t="shared" si="27"/>
        <v>#VALUE!</v>
      </c>
      <c r="AH40" s="27"/>
      <c r="AI40" s="28"/>
    </row>
    <row r="41" spans="1:35" x14ac:dyDescent="0.3">
      <c r="A41" s="25"/>
      <c r="B41" s="25"/>
      <c r="C41" s="33"/>
      <c r="D41" s="33"/>
      <c r="E41" s="33"/>
      <c r="F41" s="33"/>
      <c r="G41" s="27"/>
      <c r="H41" s="27"/>
      <c r="I41" s="27"/>
      <c r="J41" s="27"/>
      <c r="K41" s="27"/>
      <c r="L41" s="27"/>
      <c r="M41" s="27"/>
      <c r="N41" s="27"/>
      <c r="O41" s="25"/>
      <c r="P41" s="25"/>
      <c r="Q41" s="25"/>
      <c r="R41" s="25"/>
      <c r="U41" s="20"/>
      <c r="V41" s="20"/>
      <c r="W41" s="21"/>
      <c r="X41" s="32"/>
      <c r="Y41" s="100" t="e">
        <f t="shared" si="23"/>
        <v>#VALUE!</v>
      </c>
      <c r="Z41" s="33" t="e">
        <f t="shared" ref="Z41:Z52" si="28">GROWTH($X$41:$X$52,$A$41:$A$52,$A41)</f>
        <v>#VALUE!</v>
      </c>
      <c r="AA41" s="34"/>
      <c r="AB41" s="26">
        <f t="shared" si="24"/>
        <v>3402.2451612903228</v>
      </c>
      <c r="AC41" s="27" t="e">
        <f t="shared" si="25"/>
        <v>#VALUE!</v>
      </c>
      <c r="AD41" s="27" t="e">
        <f t="shared" ref="AD41:AD52" si="29">GROWTH($AB$41:$AB$52,$A$41:$A$52,$A41)</f>
        <v>#VALUE!</v>
      </c>
      <c r="AE41" s="28"/>
      <c r="AF41" s="26">
        <f t="shared" si="26"/>
        <v>95.779017094017107</v>
      </c>
      <c r="AG41" s="27" t="e">
        <f t="shared" si="27"/>
        <v>#VALUE!</v>
      </c>
      <c r="AH41" s="27" t="e">
        <f t="shared" ref="AH41:AH52" si="30">GROWTH($AF$41:$AF$52,$A$41:$A$52,$A41)</f>
        <v>#VALUE!</v>
      </c>
      <c r="AI41" s="28"/>
    </row>
    <row r="42" spans="1:35" x14ac:dyDescent="0.3">
      <c r="A42" s="25"/>
      <c r="B42" s="25"/>
      <c r="C42" s="33"/>
      <c r="D42" s="33"/>
      <c r="E42" s="33"/>
      <c r="F42" s="33"/>
      <c r="G42" s="27"/>
      <c r="H42" s="27"/>
      <c r="I42" s="27"/>
      <c r="J42" s="27"/>
      <c r="K42" s="27"/>
      <c r="L42" s="27"/>
      <c r="M42" s="27"/>
      <c r="N42" s="27"/>
      <c r="O42" s="25"/>
      <c r="P42" s="25"/>
      <c r="Q42" s="25"/>
      <c r="R42" s="25"/>
      <c r="U42" s="20"/>
      <c r="V42" s="20"/>
      <c r="W42" s="21"/>
      <c r="X42" s="32"/>
      <c r="Y42" s="100" t="e">
        <f t="shared" si="23"/>
        <v>#VALUE!</v>
      </c>
      <c r="Z42" s="33" t="e">
        <f t="shared" si="28"/>
        <v>#VALUE!</v>
      </c>
      <c r="AA42" s="34"/>
      <c r="AB42" s="26">
        <f t="shared" si="24"/>
        <v>2594.4774193548387</v>
      </c>
      <c r="AC42" s="27" t="e">
        <f t="shared" si="25"/>
        <v>#VALUE!</v>
      </c>
      <c r="AD42" s="27" t="e">
        <f t="shared" si="29"/>
        <v>#VALUE!</v>
      </c>
      <c r="AE42" s="28"/>
      <c r="AF42" s="26">
        <f t="shared" si="26"/>
        <v>73.431235230934462</v>
      </c>
      <c r="AG42" s="27" t="e">
        <f t="shared" si="27"/>
        <v>#VALUE!</v>
      </c>
      <c r="AH42" s="27" t="e">
        <f t="shared" si="30"/>
        <v>#VALUE!</v>
      </c>
      <c r="AI42" s="28"/>
    </row>
    <row r="43" spans="1:35" x14ac:dyDescent="0.3">
      <c r="A43" s="25"/>
      <c r="B43" s="25"/>
      <c r="C43" s="33"/>
      <c r="D43" s="33"/>
      <c r="E43" s="33"/>
      <c r="F43" s="33"/>
      <c r="G43" s="27"/>
      <c r="H43" s="27"/>
      <c r="I43" s="27"/>
      <c r="J43" s="27"/>
      <c r="K43" s="27"/>
      <c r="L43" s="27"/>
      <c r="M43" s="27"/>
      <c r="N43" s="27"/>
      <c r="O43" s="25"/>
      <c r="P43" s="25"/>
      <c r="Q43" s="25"/>
      <c r="R43" s="25"/>
      <c r="U43" s="20"/>
      <c r="V43" s="20"/>
      <c r="W43" s="21"/>
      <c r="X43" s="32"/>
      <c r="Y43" s="100" t="e">
        <f t="shared" si="23"/>
        <v>#VALUE!</v>
      </c>
      <c r="Z43" s="33" t="e">
        <f t="shared" si="28"/>
        <v>#VALUE!</v>
      </c>
      <c r="AA43" s="34"/>
      <c r="AB43" s="26">
        <f t="shared" si="24"/>
        <v>2696.2000000000003</v>
      </c>
      <c r="AC43" s="27" t="e">
        <f t="shared" si="25"/>
        <v>#VALUE!</v>
      </c>
      <c r="AD43" s="27" t="e">
        <f t="shared" si="29"/>
        <v>#VALUE!</v>
      </c>
      <c r="AE43" s="28"/>
      <c r="AF43" s="26">
        <f t="shared" si="26"/>
        <v>79.111801510248114</v>
      </c>
      <c r="AG43" s="27" t="e">
        <f t="shared" si="27"/>
        <v>#VALUE!</v>
      </c>
      <c r="AH43" s="27" t="e">
        <f t="shared" si="30"/>
        <v>#VALUE!</v>
      </c>
      <c r="AI43" s="28"/>
    </row>
    <row r="44" spans="1:35" x14ac:dyDescent="0.3">
      <c r="A44" s="25"/>
      <c r="B44" s="25"/>
      <c r="C44" s="33"/>
      <c r="D44" s="33"/>
      <c r="E44" s="33"/>
      <c r="F44" s="33"/>
      <c r="G44" s="27"/>
      <c r="H44" s="27"/>
      <c r="I44" s="27"/>
      <c r="J44" s="27"/>
      <c r="K44" s="27"/>
      <c r="L44" s="27"/>
      <c r="M44" s="27"/>
      <c r="N44" s="27"/>
      <c r="O44" s="25"/>
      <c r="P44" s="25"/>
      <c r="Q44" s="25"/>
      <c r="R44" s="25"/>
      <c r="U44" s="20"/>
      <c r="V44" s="20"/>
      <c r="W44" s="21"/>
      <c r="X44" s="32"/>
      <c r="Y44" s="100" t="e">
        <f t="shared" si="23"/>
        <v>#VALUE!</v>
      </c>
      <c r="Z44" s="33" t="e">
        <f t="shared" si="28"/>
        <v>#VALUE!</v>
      </c>
      <c r="AA44" s="34"/>
      <c r="AB44" s="26">
        <f t="shared" si="24"/>
        <v>2371.5027027027027</v>
      </c>
      <c r="AC44" s="27" t="e">
        <f t="shared" si="25"/>
        <v>#VALUE!</v>
      </c>
      <c r="AD44" s="27" t="e">
        <f t="shared" si="29"/>
        <v>#VALUE!</v>
      </c>
      <c r="AE44" s="28"/>
      <c r="AF44" s="26">
        <f t="shared" si="26"/>
        <v>80.457130528586845</v>
      </c>
      <c r="AG44" s="27" t="e">
        <f t="shared" si="27"/>
        <v>#VALUE!</v>
      </c>
      <c r="AH44" s="27" t="e">
        <f t="shared" si="30"/>
        <v>#VALUE!</v>
      </c>
      <c r="AI44" s="28"/>
    </row>
    <row r="45" spans="1:35" x14ac:dyDescent="0.3">
      <c r="A45" s="25"/>
      <c r="B45" s="25"/>
      <c r="C45" s="33"/>
      <c r="D45" s="33"/>
      <c r="E45" s="33"/>
      <c r="F45" s="33"/>
      <c r="G45" s="27"/>
      <c r="H45" s="27"/>
      <c r="I45" s="27"/>
      <c r="J45" s="27"/>
      <c r="K45" s="27"/>
      <c r="L45" s="27"/>
      <c r="M45" s="27"/>
      <c r="N45" s="27"/>
      <c r="O45" s="25"/>
      <c r="P45" s="25"/>
      <c r="Q45" s="25"/>
      <c r="R45" s="25"/>
      <c r="U45" s="20"/>
      <c r="V45" s="20"/>
      <c r="W45" s="21"/>
      <c r="X45" s="32"/>
      <c r="Y45" s="100" t="e">
        <f t="shared" si="23"/>
        <v>#VALUE!</v>
      </c>
      <c r="Z45" s="33" t="e">
        <f t="shared" si="28"/>
        <v>#VALUE!</v>
      </c>
      <c r="AA45" s="34"/>
      <c r="AB45" s="26">
        <f t="shared" si="24"/>
        <v>3171.626666666667</v>
      </c>
      <c r="AC45" s="27" t="e">
        <f t="shared" si="25"/>
        <v>#VALUE!</v>
      </c>
      <c r="AD45" s="27" t="e">
        <f t="shared" si="29"/>
        <v>#VALUE!</v>
      </c>
      <c r="AE45" s="28"/>
      <c r="AF45" s="26">
        <f t="shared" si="26"/>
        <v>87.151379310344836</v>
      </c>
      <c r="AG45" s="27" t="e">
        <f t="shared" si="27"/>
        <v>#VALUE!</v>
      </c>
      <c r="AH45" s="27" t="e">
        <f t="shared" si="30"/>
        <v>#VALUE!</v>
      </c>
      <c r="AI45" s="28"/>
    </row>
    <row r="46" spans="1:35" x14ac:dyDescent="0.3">
      <c r="A46" s="25"/>
      <c r="B46" s="25"/>
      <c r="C46" s="33"/>
      <c r="D46" s="33"/>
      <c r="E46" s="33"/>
      <c r="F46" s="33"/>
      <c r="G46" s="27"/>
      <c r="H46" s="27"/>
      <c r="I46" s="27"/>
      <c r="J46" s="27"/>
      <c r="K46" s="27"/>
      <c r="L46" s="27"/>
      <c r="M46" s="27"/>
      <c r="N46" s="27"/>
      <c r="O46" s="25"/>
      <c r="P46" s="25"/>
      <c r="Q46" s="25"/>
      <c r="R46" s="25"/>
      <c r="U46" s="20"/>
      <c r="V46" s="20"/>
      <c r="W46" s="21"/>
      <c r="X46" s="32"/>
      <c r="Y46" s="100" t="e">
        <f t="shared" si="23"/>
        <v>#VALUE!</v>
      </c>
      <c r="Z46" s="33" t="e">
        <f t="shared" si="28"/>
        <v>#VALUE!</v>
      </c>
      <c r="AA46" s="34"/>
      <c r="AB46" s="26">
        <f t="shared" si="24"/>
        <v>2906.125</v>
      </c>
      <c r="AC46" s="27" t="e">
        <f t="shared" si="25"/>
        <v>#VALUE!</v>
      </c>
      <c r="AD46" s="27" t="e">
        <f t="shared" si="29"/>
        <v>#VALUE!</v>
      </c>
      <c r="AE46" s="28"/>
      <c r="AF46" s="26">
        <f t="shared" si="26"/>
        <v>84.90504833512351</v>
      </c>
      <c r="AG46" s="27" t="e">
        <f t="shared" si="27"/>
        <v>#VALUE!</v>
      </c>
      <c r="AH46" s="27" t="e">
        <f t="shared" si="30"/>
        <v>#VALUE!</v>
      </c>
      <c r="AI46" s="28"/>
    </row>
    <row r="47" spans="1:35" x14ac:dyDescent="0.3">
      <c r="A47" s="25"/>
      <c r="B47" s="25"/>
      <c r="C47" s="33"/>
      <c r="D47" s="33"/>
      <c r="E47" s="33"/>
      <c r="F47" s="33"/>
      <c r="G47" s="27"/>
      <c r="H47" s="27"/>
      <c r="I47" s="27"/>
      <c r="J47" s="27"/>
      <c r="K47" s="27"/>
      <c r="L47" s="27"/>
      <c r="M47" s="27"/>
      <c r="N47" s="27"/>
      <c r="O47" s="25"/>
      <c r="P47" s="25"/>
      <c r="Q47" s="25"/>
      <c r="R47" s="25"/>
      <c r="U47" s="20"/>
      <c r="V47" s="20"/>
      <c r="W47" s="21"/>
      <c r="X47" s="32"/>
      <c r="Y47" s="100" t="e">
        <f t="shared" si="23"/>
        <v>#VALUE!</v>
      </c>
      <c r="Z47" s="33" t="e">
        <f t="shared" si="28"/>
        <v>#VALUE!</v>
      </c>
      <c r="AA47" s="34" t="e">
        <f t="shared" ref="AA47:AA52" si="31">GROWTH($X$47:$X$52,$A$47:$A$52,$A47)</f>
        <v>#VALUE!</v>
      </c>
      <c r="AB47" s="26">
        <f t="shared" si="24"/>
        <v>3923.9466666666667</v>
      </c>
      <c r="AC47" s="27" t="e">
        <f t="shared" si="25"/>
        <v>#VALUE!</v>
      </c>
      <c r="AD47" s="27" t="e">
        <f t="shared" si="29"/>
        <v>#VALUE!</v>
      </c>
      <c r="AE47" s="28" t="e">
        <f t="shared" ref="AE47:AE52" si="32">GROWTH($AB$47:$AB$52,$A$47:$A$52,$A47)</f>
        <v>#VALUE!</v>
      </c>
      <c r="AF47" s="26">
        <f t="shared" si="26"/>
        <v>107.24613076098606</v>
      </c>
      <c r="AG47" s="27" t="e">
        <f t="shared" si="27"/>
        <v>#VALUE!</v>
      </c>
      <c r="AH47" s="27" t="e">
        <f t="shared" si="30"/>
        <v>#VALUE!</v>
      </c>
      <c r="AI47" s="28" t="e">
        <f>GROWTH($AF$47:$AF$52,$A$47:$A$52,$A47)</f>
        <v>#VALUE!</v>
      </c>
    </row>
    <row r="48" spans="1:35" x14ac:dyDescent="0.3">
      <c r="A48" s="25"/>
      <c r="B48" s="25"/>
      <c r="C48" s="33"/>
      <c r="D48" s="33"/>
      <c r="E48" s="33"/>
      <c r="F48" s="33"/>
      <c r="G48" s="27"/>
      <c r="H48" s="27"/>
      <c r="I48" s="27"/>
      <c r="J48" s="27"/>
      <c r="K48" s="27"/>
      <c r="L48" s="27"/>
      <c r="M48" s="27"/>
      <c r="N48" s="27"/>
      <c r="O48" s="25"/>
      <c r="P48" s="25"/>
      <c r="Q48" s="25"/>
      <c r="R48" s="25"/>
      <c r="U48" s="20"/>
      <c r="V48" s="20"/>
      <c r="W48" s="21"/>
      <c r="X48" s="32"/>
      <c r="Y48" s="100" t="e">
        <f t="shared" si="23"/>
        <v>#VALUE!</v>
      </c>
      <c r="Z48" s="33" t="e">
        <f t="shared" si="28"/>
        <v>#VALUE!</v>
      </c>
      <c r="AA48" s="34" t="e">
        <f t="shared" si="31"/>
        <v>#VALUE!</v>
      </c>
      <c r="AB48" s="26">
        <f t="shared" si="24"/>
        <v>2947.8</v>
      </c>
      <c r="AC48" s="27" t="e">
        <f t="shared" si="25"/>
        <v>#VALUE!</v>
      </c>
      <c r="AD48" s="27" t="e">
        <f t="shared" si="29"/>
        <v>#VALUE!</v>
      </c>
      <c r="AE48" s="28" t="e">
        <f t="shared" si="32"/>
        <v>#VALUE!</v>
      </c>
      <c r="AF48" s="26">
        <f t="shared" si="26"/>
        <v>107.30749464668094</v>
      </c>
      <c r="AG48" s="27" t="e">
        <f t="shared" si="27"/>
        <v>#VALUE!</v>
      </c>
      <c r="AH48" s="27" t="e">
        <f t="shared" si="30"/>
        <v>#VALUE!</v>
      </c>
      <c r="AI48" s="28" t="e">
        <f t="shared" ref="AI48:AI52" si="33">GROWTH($AF$47:$AF$52,$A$47:$A$52,$A48)</f>
        <v>#VALUE!</v>
      </c>
    </row>
    <row r="49" spans="1:41" x14ac:dyDescent="0.3">
      <c r="A49" s="25"/>
      <c r="B49" s="25"/>
      <c r="C49" s="33"/>
      <c r="D49" s="33"/>
      <c r="E49" s="33"/>
      <c r="F49" s="33"/>
      <c r="G49" s="27"/>
      <c r="H49" s="27"/>
      <c r="I49" s="27"/>
      <c r="J49" s="27"/>
      <c r="K49" s="27"/>
      <c r="L49" s="27"/>
      <c r="M49" s="27"/>
      <c r="N49" s="27"/>
      <c r="O49" s="25"/>
      <c r="P49" s="25"/>
      <c r="Q49" s="25"/>
      <c r="R49" s="25"/>
      <c r="U49" s="20"/>
      <c r="V49" s="20"/>
      <c r="W49" s="21"/>
      <c r="X49" s="32"/>
      <c r="Y49" s="100" t="e">
        <f t="shared" si="23"/>
        <v>#VALUE!</v>
      </c>
      <c r="Z49" s="33" t="e">
        <f t="shared" si="28"/>
        <v>#VALUE!</v>
      </c>
      <c r="AA49" s="34" t="e">
        <f t="shared" si="31"/>
        <v>#VALUE!</v>
      </c>
      <c r="AB49" s="26">
        <f t="shared" si="24"/>
        <v>3225.8064516129034</v>
      </c>
      <c r="AC49" s="27" t="e">
        <f t="shared" si="25"/>
        <v>#VALUE!</v>
      </c>
      <c r="AD49" s="27" t="e">
        <f t="shared" si="29"/>
        <v>#VALUE!</v>
      </c>
      <c r="AE49" s="28" t="e">
        <f t="shared" si="32"/>
        <v>#VALUE!</v>
      </c>
      <c r="AF49" s="26">
        <f t="shared" si="26"/>
        <v>90.618336886993603</v>
      </c>
      <c r="AG49" s="27" t="e">
        <f t="shared" si="27"/>
        <v>#VALUE!</v>
      </c>
      <c r="AH49" s="27" t="e">
        <f t="shared" si="30"/>
        <v>#VALUE!</v>
      </c>
      <c r="AI49" s="28" t="e">
        <f t="shared" si="33"/>
        <v>#VALUE!</v>
      </c>
    </row>
    <row r="50" spans="1:41" x14ac:dyDescent="0.3">
      <c r="A50" s="25"/>
      <c r="B50" s="25"/>
      <c r="C50" s="33"/>
      <c r="D50" s="33"/>
      <c r="E50" s="33"/>
      <c r="F50" s="33"/>
      <c r="G50" s="27"/>
      <c r="H50" s="27"/>
      <c r="I50" s="27"/>
      <c r="J50" s="27"/>
      <c r="K50" s="27"/>
      <c r="L50" s="27"/>
      <c r="M50" s="27"/>
      <c r="N50" s="27"/>
      <c r="O50" s="25"/>
      <c r="P50" s="25"/>
      <c r="Q50" s="25"/>
      <c r="R50" s="25"/>
      <c r="U50" s="20"/>
      <c r="V50" s="20"/>
      <c r="W50" s="21"/>
      <c r="X50" s="32"/>
      <c r="Y50" s="100" t="e">
        <f t="shared" si="23"/>
        <v>#VALUE!</v>
      </c>
      <c r="Z50" s="33" t="e">
        <f t="shared" si="28"/>
        <v>#VALUE!</v>
      </c>
      <c r="AA50" s="34" t="e">
        <f t="shared" si="31"/>
        <v>#VALUE!</v>
      </c>
      <c r="AB50" s="26">
        <f t="shared" si="24"/>
        <v>2360.9454545454546</v>
      </c>
      <c r="AC50" s="27" t="e">
        <f t="shared" si="25"/>
        <v>#VALUE!</v>
      </c>
      <c r="AD50" s="27" t="e">
        <f t="shared" si="29"/>
        <v>#VALUE!</v>
      </c>
      <c r="AE50" s="28" t="e">
        <f t="shared" si="32"/>
        <v>#VALUE!</v>
      </c>
      <c r="AF50" s="26">
        <f t="shared" si="26"/>
        <v>70.153093220338974</v>
      </c>
      <c r="AG50" s="27" t="e">
        <f t="shared" si="27"/>
        <v>#VALUE!</v>
      </c>
      <c r="AH50" s="27" t="e">
        <f t="shared" si="30"/>
        <v>#VALUE!</v>
      </c>
      <c r="AI50" s="28" t="e">
        <f t="shared" si="33"/>
        <v>#VALUE!</v>
      </c>
    </row>
    <row r="51" spans="1:41" x14ac:dyDescent="0.3">
      <c r="A51" s="25"/>
      <c r="B51" s="25"/>
      <c r="C51" s="33"/>
      <c r="D51" s="33"/>
      <c r="E51" s="33"/>
      <c r="F51" s="33"/>
      <c r="G51" s="27"/>
      <c r="H51" s="27"/>
      <c r="I51" s="27"/>
      <c r="J51" s="27"/>
      <c r="K51" s="27"/>
      <c r="L51" s="27"/>
      <c r="M51" s="27"/>
      <c r="N51" s="27"/>
      <c r="O51" s="25"/>
      <c r="P51" s="25"/>
      <c r="Q51" s="25"/>
      <c r="R51" s="25"/>
      <c r="U51" s="20"/>
      <c r="V51" s="20"/>
      <c r="W51" s="21"/>
      <c r="X51" s="32"/>
      <c r="Y51" s="100" t="e">
        <f t="shared" si="23"/>
        <v>#VALUE!</v>
      </c>
      <c r="Z51" s="33" t="e">
        <f t="shared" si="28"/>
        <v>#VALUE!</v>
      </c>
      <c r="AA51" s="34" t="e">
        <f t="shared" si="31"/>
        <v>#VALUE!</v>
      </c>
      <c r="AB51" s="26">
        <f t="shared" si="24"/>
        <v>4441.2444444444445</v>
      </c>
      <c r="AC51" s="27" t="e">
        <f t="shared" si="25"/>
        <v>#VALUE!</v>
      </c>
      <c r="AD51" s="27" t="e">
        <f t="shared" si="29"/>
        <v>#VALUE!</v>
      </c>
      <c r="AE51" s="28" t="e">
        <f t="shared" si="32"/>
        <v>#VALUE!</v>
      </c>
      <c r="AF51" s="26">
        <f t="shared" si="26"/>
        <v>107.85879365079366</v>
      </c>
      <c r="AG51" s="27" t="e">
        <f t="shared" si="27"/>
        <v>#VALUE!</v>
      </c>
      <c r="AH51" s="27" t="e">
        <f t="shared" si="30"/>
        <v>#VALUE!</v>
      </c>
      <c r="AI51" s="28" t="e">
        <f t="shared" si="33"/>
        <v>#VALUE!</v>
      </c>
    </row>
    <row r="52" spans="1:41" x14ac:dyDescent="0.3">
      <c r="A52" s="25"/>
      <c r="B52" s="25"/>
      <c r="C52" s="33"/>
      <c r="D52" s="33"/>
      <c r="E52" s="33"/>
      <c r="F52" s="33"/>
      <c r="G52" s="27"/>
      <c r="H52" s="27"/>
      <c r="I52" s="27"/>
      <c r="J52" s="27"/>
      <c r="K52" s="27"/>
      <c r="L52" s="27"/>
      <c r="M52" s="27"/>
      <c r="N52" s="27"/>
      <c r="O52" s="25"/>
      <c r="P52" s="25"/>
      <c r="Q52" s="25"/>
      <c r="R52" s="25"/>
      <c r="U52" s="20"/>
      <c r="V52" s="22"/>
      <c r="W52" s="23"/>
      <c r="X52" s="35"/>
      <c r="Y52" s="101" t="e">
        <f t="shared" si="23"/>
        <v>#VALUE!</v>
      </c>
      <c r="Z52" s="36" t="e">
        <f t="shared" si="28"/>
        <v>#VALUE!</v>
      </c>
      <c r="AA52" s="37" t="e">
        <f t="shared" si="31"/>
        <v>#VALUE!</v>
      </c>
      <c r="AB52" s="29">
        <f t="shared" si="24"/>
        <v>2989.6952380952384</v>
      </c>
      <c r="AC52" s="30" t="e">
        <f t="shared" si="25"/>
        <v>#VALUE!</v>
      </c>
      <c r="AD52" s="30" t="e">
        <f t="shared" si="29"/>
        <v>#VALUE!</v>
      </c>
      <c r="AE52" s="31" t="e">
        <f t="shared" si="32"/>
        <v>#VALUE!</v>
      </c>
      <c r="AF52" s="29">
        <f t="shared" si="26"/>
        <v>111.99592864637987</v>
      </c>
      <c r="AG52" s="30" t="e">
        <f t="shared" si="27"/>
        <v>#VALUE!</v>
      </c>
      <c r="AH52" s="30" t="e">
        <f t="shared" si="30"/>
        <v>#VALUE!</v>
      </c>
      <c r="AI52" s="31" t="e">
        <f t="shared" si="33"/>
        <v>#VALUE!</v>
      </c>
    </row>
    <row r="53" spans="1:41" x14ac:dyDescent="0.3">
      <c r="A53" s="25"/>
      <c r="B53" s="25"/>
      <c r="C53" s="25"/>
      <c r="D53" s="25"/>
      <c r="E53" s="25"/>
      <c r="F53" s="25"/>
      <c r="G53" s="25"/>
      <c r="H53" s="25"/>
      <c r="I53" s="25"/>
      <c r="J53" s="25"/>
      <c r="K53" s="25"/>
      <c r="L53" s="25"/>
      <c r="M53" s="25"/>
      <c r="N53" s="25"/>
      <c r="O53" s="25"/>
      <c r="P53" s="25"/>
      <c r="Q53" s="25"/>
      <c r="R53" s="25"/>
    </row>
    <row r="54" spans="1:41" x14ac:dyDescent="0.3">
      <c r="A54" s="25"/>
      <c r="B54" s="25"/>
      <c r="C54" s="69"/>
      <c r="D54" s="25"/>
      <c r="E54" s="25"/>
      <c r="F54" s="25"/>
      <c r="G54" s="25"/>
      <c r="H54" s="25"/>
      <c r="I54" s="69"/>
      <c r="J54" s="25"/>
      <c r="K54" s="25"/>
      <c r="L54" s="25"/>
      <c r="M54" s="25"/>
      <c r="N54" s="25"/>
      <c r="O54" s="25"/>
      <c r="P54" s="69"/>
      <c r="Q54" s="25"/>
      <c r="R54" s="25"/>
      <c r="X54" s="14"/>
      <c r="AD54" s="14" t="s">
        <v>164</v>
      </c>
      <c r="AK54" s="14" t="s">
        <v>50</v>
      </c>
    </row>
    <row r="55" spans="1:41" x14ac:dyDescent="0.3">
      <c r="A55" s="69"/>
      <c r="B55" s="69"/>
      <c r="C55" s="69"/>
      <c r="D55" s="69"/>
      <c r="E55" s="69"/>
      <c r="F55" s="69"/>
      <c r="G55" s="69"/>
      <c r="H55" s="25"/>
      <c r="I55" s="25"/>
      <c r="J55" s="25"/>
      <c r="K55" s="25"/>
      <c r="L55" s="25"/>
      <c r="M55" s="25"/>
      <c r="N55" s="25"/>
      <c r="O55" s="25"/>
      <c r="P55" s="25"/>
      <c r="Q55" s="25"/>
      <c r="R55" s="25"/>
      <c r="V55" s="14"/>
      <c r="W55" s="14"/>
      <c r="X55" s="14"/>
      <c r="Z55" s="14"/>
      <c r="AA55" s="14"/>
      <c r="AB55" s="14"/>
    </row>
    <row r="56" spans="1:41" x14ac:dyDescent="0.3">
      <c r="A56" s="69"/>
      <c r="B56" s="69"/>
      <c r="C56" s="69"/>
      <c r="D56" s="69"/>
      <c r="E56" s="69"/>
      <c r="F56" s="69"/>
      <c r="G56" s="69"/>
      <c r="H56" s="69"/>
      <c r="I56" s="69"/>
      <c r="J56" s="69"/>
      <c r="K56" s="69"/>
      <c r="L56" s="69"/>
      <c r="M56" s="69"/>
      <c r="N56" s="69"/>
      <c r="O56" s="25"/>
      <c r="P56" s="25"/>
      <c r="Q56" s="25"/>
      <c r="R56" s="25"/>
      <c r="V56" s="14"/>
      <c r="W56" s="14"/>
      <c r="X56" s="14"/>
      <c r="Z56" s="14"/>
      <c r="AA56" s="14"/>
      <c r="AB56" s="14"/>
      <c r="AC56" s="14"/>
      <c r="AD56" s="14"/>
      <c r="AE56" s="14"/>
      <c r="AF56" s="14"/>
      <c r="AG56" s="14"/>
      <c r="AH56" s="14"/>
      <c r="AI56" s="14"/>
    </row>
    <row r="57" spans="1:41" x14ac:dyDescent="0.3">
      <c r="A57" s="69"/>
      <c r="B57" s="69"/>
      <c r="C57" s="69"/>
      <c r="D57" s="69"/>
      <c r="E57" s="69"/>
      <c r="F57" s="69"/>
      <c r="G57" s="69"/>
      <c r="H57" s="69"/>
      <c r="I57" s="69"/>
      <c r="J57" s="69"/>
      <c r="K57" s="69"/>
      <c r="L57" s="69"/>
      <c r="M57" s="69"/>
      <c r="N57" s="69"/>
      <c r="O57" s="69"/>
      <c r="P57" s="69"/>
      <c r="Q57" s="69"/>
      <c r="R57" s="69"/>
      <c r="S57" s="14"/>
      <c r="T57" s="67"/>
      <c r="U57" s="69"/>
      <c r="V57" s="14"/>
      <c r="W57" s="14"/>
      <c r="X57" s="14"/>
      <c r="Z57" s="14"/>
      <c r="AA57" s="14"/>
      <c r="AB57" s="14"/>
      <c r="AC57" s="14"/>
      <c r="AD57" s="14"/>
      <c r="AE57" s="14"/>
      <c r="AF57" s="14"/>
      <c r="AG57" s="14"/>
      <c r="AH57" s="14"/>
      <c r="AI57" s="14"/>
      <c r="AJ57" s="14"/>
      <c r="AK57" s="14"/>
      <c r="AL57" s="14"/>
      <c r="AM57" s="14"/>
      <c r="AN57" s="14"/>
      <c r="AO57" s="69"/>
    </row>
    <row r="58" spans="1:41" x14ac:dyDescent="0.3">
      <c r="A58" s="25"/>
      <c r="B58" s="25"/>
      <c r="C58" s="25"/>
      <c r="D58" s="25"/>
      <c r="E58" s="25"/>
      <c r="F58" s="25"/>
      <c r="G58" s="25"/>
      <c r="H58" s="69"/>
      <c r="I58" s="69"/>
      <c r="J58" s="69"/>
      <c r="K58" s="69"/>
      <c r="L58" s="69"/>
      <c r="M58" s="69"/>
      <c r="N58" s="69"/>
      <c r="O58" s="69"/>
      <c r="P58" s="69"/>
      <c r="Q58" s="69"/>
      <c r="R58" s="69"/>
      <c r="S58" s="14"/>
      <c r="T58" s="67"/>
      <c r="U58" s="69"/>
      <c r="AC58" s="14"/>
      <c r="AD58" s="14"/>
      <c r="AE58" s="14"/>
      <c r="AF58" s="14"/>
      <c r="AG58" s="14"/>
      <c r="AH58" s="14"/>
      <c r="AI58" s="14"/>
      <c r="AJ58" s="14"/>
      <c r="AK58" s="14"/>
      <c r="AL58" s="14"/>
      <c r="AM58" s="14"/>
      <c r="AN58" s="14"/>
      <c r="AO58" s="69"/>
    </row>
    <row r="59" spans="1:41" x14ac:dyDescent="0.3">
      <c r="A59" s="25"/>
      <c r="B59" s="69"/>
      <c r="C59" s="69"/>
      <c r="D59" s="69"/>
      <c r="E59" s="69"/>
      <c r="F59" s="69"/>
      <c r="G59" s="69"/>
      <c r="H59" s="25"/>
      <c r="I59" s="25"/>
      <c r="J59" s="25"/>
      <c r="K59" s="25"/>
      <c r="L59" s="25"/>
      <c r="M59" s="25"/>
      <c r="N59" s="25"/>
      <c r="O59" s="69"/>
      <c r="P59" s="69"/>
      <c r="Q59" s="69"/>
      <c r="R59" s="69"/>
      <c r="S59" s="14"/>
      <c r="T59" s="67"/>
      <c r="U59" s="69"/>
      <c r="W59" s="14"/>
      <c r="X59" s="14"/>
      <c r="Z59" s="14"/>
      <c r="AA59" s="14"/>
      <c r="AB59" s="14"/>
      <c r="AJ59" s="14"/>
      <c r="AK59" s="14"/>
      <c r="AL59" s="14"/>
      <c r="AM59" s="14"/>
      <c r="AN59" s="14"/>
      <c r="AO59" s="69"/>
    </row>
    <row r="60" spans="1:41" x14ac:dyDescent="0.3">
      <c r="A60" s="25"/>
      <c r="B60" s="25"/>
      <c r="C60" s="25"/>
      <c r="D60" s="25"/>
      <c r="E60" s="70"/>
      <c r="F60" s="70"/>
      <c r="G60" s="70"/>
      <c r="H60" s="25"/>
      <c r="I60" s="69"/>
      <c r="J60" s="69"/>
      <c r="K60" s="69"/>
      <c r="L60" s="69"/>
      <c r="M60" s="69"/>
      <c r="N60" s="69"/>
      <c r="O60" s="25"/>
      <c r="P60" s="25"/>
      <c r="Q60" s="25"/>
      <c r="R60" s="25"/>
      <c r="Z60" s="3"/>
      <c r="AA60" s="3"/>
      <c r="AB60" s="3"/>
      <c r="AD60" s="14"/>
      <c r="AE60" s="14"/>
      <c r="AF60" s="14"/>
      <c r="AG60" s="14"/>
      <c r="AH60" s="14"/>
      <c r="AI60" s="14"/>
    </row>
    <row r="61" spans="1:41" x14ac:dyDescent="0.3">
      <c r="A61" s="25"/>
      <c r="B61" s="25"/>
      <c r="C61" s="25"/>
      <c r="D61" s="25"/>
      <c r="E61" s="70"/>
      <c r="F61" s="70"/>
      <c r="G61" s="70"/>
      <c r="H61" s="25"/>
      <c r="I61" s="25"/>
      <c r="J61" s="25"/>
      <c r="K61" s="25"/>
      <c r="L61" s="70"/>
      <c r="M61" s="70"/>
      <c r="N61" s="70"/>
      <c r="O61" s="25"/>
      <c r="P61" s="69"/>
      <c r="Q61" s="69"/>
      <c r="R61" s="69"/>
      <c r="S61" s="14"/>
      <c r="T61" s="67"/>
      <c r="U61" s="69"/>
      <c r="Z61" s="3"/>
      <c r="AA61" s="3"/>
      <c r="AB61" s="3"/>
      <c r="AG61" s="3"/>
      <c r="AH61" s="3"/>
      <c r="AI61" s="3"/>
      <c r="AK61" s="14"/>
      <c r="AL61" s="14"/>
      <c r="AM61" s="14"/>
      <c r="AN61" s="14"/>
      <c r="AO61" s="69"/>
    </row>
    <row r="62" spans="1:41" x14ac:dyDescent="0.3">
      <c r="A62" s="25"/>
      <c r="B62" s="25"/>
      <c r="C62" s="25"/>
      <c r="D62" s="25"/>
      <c r="E62" s="70"/>
      <c r="F62" s="70"/>
      <c r="G62" s="70"/>
      <c r="H62" s="25"/>
      <c r="I62" s="25"/>
      <c r="J62" s="25"/>
      <c r="K62" s="25"/>
      <c r="L62" s="70"/>
      <c r="M62" s="70"/>
      <c r="N62" s="70"/>
      <c r="O62" s="25"/>
      <c r="P62" s="25"/>
      <c r="Q62" s="25"/>
      <c r="R62" s="25"/>
      <c r="S62" s="3"/>
      <c r="T62" s="68"/>
      <c r="U62" s="70"/>
      <c r="Z62" s="3"/>
      <c r="AA62" s="3"/>
      <c r="AB62" s="3"/>
      <c r="AG62" s="3"/>
      <c r="AH62" s="3"/>
      <c r="AI62" s="3"/>
      <c r="AN62" s="3"/>
      <c r="AO62" s="70"/>
    </row>
    <row r="63" spans="1:41" x14ac:dyDescent="0.3">
      <c r="A63" s="25"/>
      <c r="B63" s="25"/>
      <c r="C63" s="25"/>
      <c r="D63" s="25"/>
      <c r="E63" s="70"/>
      <c r="F63" s="70"/>
      <c r="G63" s="70"/>
      <c r="H63" s="25"/>
      <c r="I63" s="25"/>
      <c r="J63" s="25"/>
      <c r="K63" s="25"/>
      <c r="L63" s="70"/>
      <c r="M63" s="70"/>
      <c r="N63" s="70"/>
      <c r="O63" s="25"/>
      <c r="P63" s="25"/>
      <c r="Q63" s="25"/>
      <c r="R63" s="25"/>
      <c r="S63" s="3"/>
      <c r="T63" s="68"/>
      <c r="U63" s="70"/>
      <c r="Z63" s="3"/>
      <c r="AA63" s="3"/>
      <c r="AB63" s="3"/>
      <c r="AG63" s="3"/>
      <c r="AH63" s="3"/>
      <c r="AI63" s="3"/>
      <c r="AN63" s="3"/>
      <c r="AO63" s="70"/>
    </row>
    <row r="64" spans="1:41" x14ac:dyDescent="0.3">
      <c r="A64" s="25"/>
      <c r="B64" s="25"/>
      <c r="C64" s="25"/>
      <c r="D64" s="25"/>
      <c r="E64" s="70"/>
      <c r="F64" s="70"/>
      <c r="G64" s="70"/>
      <c r="H64" s="25"/>
      <c r="I64" s="25"/>
      <c r="J64" s="25"/>
      <c r="K64" s="25"/>
      <c r="L64" s="70"/>
      <c r="M64" s="70"/>
      <c r="N64" s="70"/>
      <c r="O64" s="25"/>
      <c r="P64" s="25"/>
      <c r="Q64" s="25"/>
      <c r="R64" s="25"/>
      <c r="S64" s="3"/>
      <c r="T64" s="68"/>
      <c r="U64" s="70"/>
      <c r="Z64" s="3"/>
      <c r="AA64" s="3"/>
      <c r="AB64" s="3"/>
      <c r="AG64" s="3"/>
      <c r="AH64" s="3"/>
      <c r="AI64" s="3"/>
      <c r="AN64" s="3"/>
      <c r="AO64" s="70"/>
    </row>
    <row r="65" spans="1:41" x14ac:dyDescent="0.3">
      <c r="A65" s="25"/>
      <c r="B65" s="25"/>
      <c r="C65" s="25"/>
      <c r="D65" s="25"/>
      <c r="E65" s="70"/>
      <c r="F65" s="70"/>
      <c r="G65" s="70"/>
      <c r="H65" s="25"/>
      <c r="I65" s="25"/>
      <c r="J65" s="25"/>
      <c r="K65" s="25"/>
      <c r="L65" s="70"/>
      <c r="M65" s="70"/>
      <c r="N65" s="70"/>
      <c r="O65" s="25"/>
      <c r="P65" s="25"/>
      <c r="Q65" s="25"/>
      <c r="R65" s="25"/>
      <c r="S65" s="3"/>
      <c r="T65" s="68"/>
      <c r="U65" s="70"/>
      <c r="Z65" s="3"/>
      <c r="AA65" s="3"/>
      <c r="AB65" s="3"/>
      <c r="AG65" s="3"/>
      <c r="AH65" s="3"/>
      <c r="AI65" s="3"/>
      <c r="AN65" s="3"/>
      <c r="AO65" s="70"/>
    </row>
    <row r="66" spans="1:41" x14ac:dyDescent="0.3">
      <c r="A66" s="25"/>
      <c r="B66" s="25"/>
      <c r="C66" s="25"/>
      <c r="D66" s="25"/>
      <c r="E66" s="70"/>
      <c r="F66" s="70"/>
      <c r="G66" s="70"/>
      <c r="H66" s="25"/>
      <c r="I66" s="25"/>
      <c r="J66" s="25"/>
      <c r="K66" s="25"/>
      <c r="L66" s="70"/>
      <c r="M66" s="70"/>
      <c r="N66" s="70"/>
      <c r="O66" s="25"/>
      <c r="P66" s="25"/>
      <c r="Q66" s="25"/>
      <c r="R66" s="25"/>
      <c r="S66" s="3"/>
      <c r="T66" s="68"/>
      <c r="U66" s="70"/>
      <c r="Z66" s="3"/>
      <c r="AA66" s="3"/>
      <c r="AB66" s="3"/>
      <c r="AG66" s="3"/>
      <c r="AH66" s="3"/>
      <c r="AI66" s="3"/>
      <c r="AN66" s="3"/>
      <c r="AO66" s="70"/>
    </row>
    <row r="67" spans="1:41" x14ac:dyDescent="0.3">
      <c r="A67" s="25"/>
      <c r="B67" s="25"/>
      <c r="C67" s="25"/>
      <c r="D67" s="25"/>
      <c r="E67" s="70"/>
      <c r="F67" s="70"/>
      <c r="G67" s="70"/>
      <c r="H67" s="25"/>
      <c r="I67" s="25"/>
      <c r="J67" s="25"/>
      <c r="K67" s="25"/>
      <c r="L67" s="70"/>
      <c r="M67" s="70"/>
      <c r="N67" s="70"/>
      <c r="O67" s="25"/>
      <c r="P67" s="25"/>
      <c r="Q67" s="25"/>
      <c r="R67" s="25"/>
      <c r="S67" s="3"/>
      <c r="T67" s="68"/>
      <c r="U67" s="70"/>
      <c r="Z67" s="3"/>
      <c r="AA67" s="3"/>
      <c r="AB67" s="3"/>
      <c r="AG67" s="3"/>
      <c r="AH67" s="3"/>
      <c r="AI67" s="3"/>
      <c r="AN67" s="3"/>
      <c r="AO67" s="70"/>
    </row>
    <row r="68" spans="1:41" x14ac:dyDescent="0.3">
      <c r="A68" s="25"/>
      <c r="B68" s="25"/>
      <c r="C68" s="25"/>
      <c r="D68" s="25"/>
      <c r="E68" s="70"/>
      <c r="F68" s="70"/>
      <c r="G68" s="70"/>
      <c r="H68" s="25"/>
      <c r="I68" s="25"/>
      <c r="J68" s="25"/>
      <c r="K68" s="25"/>
      <c r="L68" s="70"/>
      <c r="M68" s="70"/>
      <c r="N68" s="70"/>
      <c r="O68" s="25"/>
      <c r="P68" s="25"/>
      <c r="Q68" s="25"/>
      <c r="R68" s="25"/>
      <c r="S68" s="3"/>
      <c r="T68" s="68"/>
      <c r="U68" s="70"/>
      <c r="Z68" s="3"/>
      <c r="AA68" s="3"/>
      <c r="AB68" s="3"/>
      <c r="AG68" s="3"/>
      <c r="AH68" s="3"/>
      <c r="AI68" s="3"/>
      <c r="AN68" s="3"/>
      <c r="AO68" s="70"/>
    </row>
    <row r="69" spans="1:41" x14ac:dyDescent="0.3">
      <c r="A69" s="25"/>
      <c r="B69" s="25"/>
      <c r="C69" s="25"/>
      <c r="D69" s="25"/>
      <c r="E69" s="70"/>
      <c r="F69" s="70"/>
      <c r="G69" s="70"/>
      <c r="H69" s="25"/>
      <c r="I69" s="25"/>
      <c r="J69" s="25"/>
      <c r="K69" s="25"/>
      <c r="L69" s="70"/>
      <c r="M69" s="70"/>
      <c r="N69" s="70"/>
      <c r="O69" s="25"/>
      <c r="P69" s="25"/>
      <c r="Q69" s="25"/>
      <c r="R69" s="25"/>
      <c r="S69" s="3"/>
      <c r="T69" s="68"/>
      <c r="U69" s="70"/>
      <c r="Z69" s="3"/>
      <c r="AA69" s="3"/>
      <c r="AB69" s="3"/>
      <c r="AG69" s="3"/>
      <c r="AH69" s="3"/>
      <c r="AI69" s="3"/>
      <c r="AN69" s="3"/>
      <c r="AO69" s="70"/>
    </row>
    <row r="70" spans="1:41" x14ac:dyDescent="0.3">
      <c r="A70" s="25"/>
      <c r="B70" s="25"/>
      <c r="C70" s="25"/>
      <c r="D70" s="25"/>
      <c r="E70" s="70"/>
      <c r="F70" s="70"/>
      <c r="G70" s="70"/>
      <c r="H70" s="25"/>
      <c r="I70" s="25"/>
      <c r="J70" s="25"/>
      <c r="K70" s="25"/>
      <c r="L70" s="70"/>
      <c r="M70" s="70"/>
      <c r="N70" s="70"/>
      <c r="O70" s="25"/>
      <c r="P70" s="25"/>
      <c r="Q70" s="25"/>
      <c r="R70" s="25"/>
      <c r="S70" s="3"/>
      <c r="T70" s="68"/>
      <c r="U70" s="70"/>
      <c r="Z70" s="3"/>
      <c r="AA70" s="3"/>
      <c r="AB70" s="3"/>
      <c r="AG70" s="3"/>
      <c r="AH70" s="3"/>
      <c r="AI70" s="3"/>
      <c r="AN70" s="3"/>
      <c r="AO70" s="70"/>
    </row>
    <row r="71" spans="1:41" x14ac:dyDescent="0.3">
      <c r="A71" s="25"/>
      <c r="B71" s="25"/>
      <c r="C71" s="25"/>
      <c r="D71" s="25"/>
      <c r="E71" s="70"/>
      <c r="F71" s="70"/>
      <c r="G71" s="70"/>
      <c r="H71" s="25"/>
      <c r="I71" s="25"/>
      <c r="J71" s="25"/>
      <c r="K71" s="25"/>
      <c r="L71" s="70"/>
      <c r="M71" s="70"/>
      <c r="N71" s="70"/>
      <c r="O71" s="25"/>
      <c r="P71" s="25"/>
      <c r="Q71" s="25"/>
      <c r="R71" s="25"/>
      <c r="S71" s="3"/>
      <c r="T71" s="68"/>
      <c r="U71" s="70"/>
      <c r="Z71" s="3"/>
      <c r="AA71" s="3"/>
      <c r="AB71" s="3"/>
      <c r="AG71" s="3"/>
      <c r="AH71" s="3"/>
      <c r="AI71" s="3"/>
      <c r="AN71" s="3"/>
      <c r="AO71" s="70"/>
    </row>
    <row r="72" spans="1:41" x14ac:dyDescent="0.3">
      <c r="A72" s="25"/>
      <c r="B72" s="25"/>
      <c r="C72" s="25"/>
      <c r="D72" s="25"/>
      <c r="E72" s="70"/>
      <c r="F72" s="70"/>
      <c r="G72" s="70"/>
      <c r="H72" s="25"/>
      <c r="I72" s="25"/>
      <c r="J72" s="25"/>
      <c r="K72" s="25"/>
      <c r="L72" s="70"/>
      <c r="M72" s="70"/>
      <c r="N72" s="70"/>
      <c r="O72" s="25"/>
      <c r="P72" s="25"/>
      <c r="Q72" s="25"/>
      <c r="R72" s="25"/>
      <c r="S72" s="3"/>
      <c r="T72" s="68"/>
      <c r="U72" s="70"/>
      <c r="Z72" s="3"/>
      <c r="AA72" s="3"/>
      <c r="AB72" s="3"/>
      <c r="AG72" s="3"/>
      <c r="AH72" s="3"/>
      <c r="AI72" s="3"/>
      <c r="AN72" s="3"/>
      <c r="AO72" s="70"/>
    </row>
    <row r="73" spans="1:41" x14ac:dyDescent="0.3">
      <c r="A73" s="25"/>
      <c r="B73" s="25"/>
      <c r="C73" s="25"/>
      <c r="D73" s="25"/>
      <c r="E73" s="70"/>
      <c r="F73" s="70"/>
      <c r="G73" s="70"/>
      <c r="H73" s="25"/>
      <c r="I73" s="25"/>
      <c r="J73" s="25"/>
      <c r="K73" s="25"/>
      <c r="L73" s="70"/>
      <c r="M73" s="70"/>
      <c r="N73" s="70"/>
      <c r="O73" s="25"/>
      <c r="P73" s="25"/>
      <c r="Q73" s="25"/>
      <c r="R73" s="25"/>
      <c r="S73" s="3"/>
      <c r="T73" s="68"/>
      <c r="U73" s="70"/>
      <c r="Z73" s="3"/>
      <c r="AA73" s="3"/>
      <c r="AB73" s="3"/>
      <c r="AG73" s="3"/>
      <c r="AH73" s="3"/>
      <c r="AI73" s="3"/>
      <c r="AN73" s="3"/>
      <c r="AO73" s="70"/>
    </row>
    <row r="74" spans="1:41" x14ac:dyDescent="0.3">
      <c r="A74" s="25"/>
      <c r="B74" s="25"/>
      <c r="C74" s="25"/>
      <c r="D74" s="25"/>
      <c r="E74" s="70"/>
      <c r="F74" s="70"/>
      <c r="G74" s="70"/>
      <c r="H74" s="25"/>
      <c r="I74" s="25"/>
      <c r="J74" s="25"/>
      <c r="K74" s="25"/>
      <c r="L74" s="70"/>
      <c r="M74" s="70"/>
      <c r="N74" s="70"/>
      <c r="O74" s="25"/>
      <c r="P74" s="25"/>
      <c r="Q74" s="25"/>
      <c r="R74" s="25"/>
      <c r="S74" s="3"/>
      <c r="T74" s="68"/>
      <c r="U74" s="70"/>
      <c r="Z74" s="3"/>
      <c r="AA74" s="3"/>
      <c r="AB74" s="3"/>
      <c r="AG74" s="3"/>
      <c r="AH74" s="3"/>
      <c r="AI74" s="3"/>
      <c r="AN74" s="3"/>
      <c r="AO74" s="70"/>
    </row>
    <row r="75" spans="1:41" x14ac:dyDescent="0.3">
      <c r="A75" s="25"/>
      <c r="B75" s="25"/>
      <c r="C75" s="25"/>
      <c r="D75" s="25"/>
      <c r="E75" s="70"/>
      <c r="F75" s="70"/>
      <c r="G75" s="70"/>
      <c r="H75" s="25"/>
      <c r="I75" s="25"/>
      <c r="J75" s="25"/>
      <c r="K75" s="25"/>
      <c r="L75" s="70"/>
      <c r="M75" s="70"/>
      <c r="N75" s="70"/>
      <c r="O75" s="25"/>
      <c r="P75" s="25"/>
      <c r="Q75" s="25"/>
      <c r="R75" s="25"/>
      <c r="S75" s="3"/>
      <c r="T75" s="68"/>
      <c r="U75" s="70"/>
      <c r="Z75" s="3"/>
      <c r="AA75" s="3"/>
      <c r="AB75" s="3"/>
      <c r="AG75" s="3"/>
      <c r="AH75" s="3"/>
      <c r="AI75" s="3"/>
      <c r="AN75" s="3"/>
      <c r="AO75" s="70"/>
    </row>
    <row r="76" spans="1:41" x14ac:dyDescent="0.3">
      <c r="A76" s="25"/>
      <c r="B76" s="25"/>
      <c r="C76" s="159"/>
      <c r="D76" s="159"/>
      <c r="E76" s="70"/>
      <c r="F76" s="25"/>
      <c r="G76" s="160"/>
      <c r="H76" s="25"/>
      <c r="I76" s="25"/>
      <c r="J76" s="25"/>
      <c r="K76" s="25"/>
      <c r="L76" s="70"/>
      <c r="M76" s="70"/>
      <c r="N76" s="70"/>
      <c r="O76" s="25"/>
      <c r="P76" s="25"/>
      <c r="Q76" s="25"/>
      <c r="R76" s="25"/>
      <c r="S76" s="3"/>
      <c r="T76" s="68"/>
      <c r="U76" s="70"/>
      <c r="X76" s="8"/>
      <c r="Y76" s="102"/>
      <c r="Z76" s="3"/>
      <c r="AB76" s="17"/>
      <c r="AG76" s="3"/>
      <c r="AH76" s="3"/>
      <c r="AI76" s="3"/>
      <c r="AN76" s="3"/>
      <c r="AO76" s="70"/>
    </row>
    <row r="77" spans="1:41" x14ac:dyDescent="0.3">
      <c r="A77" s="159"/>
      <c r="B77" s="159"/>
      <c r="C77" s="70"/>
      <c r="D77" s="25"/>
      <c r="E77" s="160"/>
      <c r="F77" s="25"/>
      <c r="G77" s="159"/>
      <c r="H77" s="159"/>
      <c r="I77" s="70"/>
      <c r="J77" s="25"/>
      <c r="K77" s="160"/>
      <c r="L77" s="25"/>
      <c r="M77" s="25"/>
      <c r="N77" s="159"/>
      <c r="O77" s="159"/>
      <c r="P77" s="70"/>
      <c r="Q77" s="25"/>
      <c r="R77" s="160"/>
      <c r="S77" s="3"/>
      <c r="T77" s="68"/>
      <c r="U77" s="70"/>
      <c r="V77" s="88"/>
      <c r="W77" s="89"/>
      <c r="X77" s="90"/>
      <c r="Y77" s="98"/>
      <c r="Z77" s="91" t="s">
        <v>111</v>
      </c>
      <c r="AB77" s="88">
        <f>'2. Loss Trend Factor -- 1'!V77</f>
        <v>0</v>
      </c>
      <c r="AC77" s="89"/>
      <c r="AD77" s="90"/>
      <c r="AE77" s="24"/>
      <c r="AF77" s="91" t="s">
        <v>111</v>
      </c>
      <c r="AI77" s="88">
        <f>'2. Loss Trend Factor -- 1'!AB77</f>
        <v>0</v>
      </c>
      <c r="AJ77" s="89"/>
      <c r="AK77" s="90"/>
      <c r="AL77" s="24"/>
      <c r="AM77" s="91" t="s">
        <v>147</v>
      </c>
      <c r="AN77" s="3"/>
      <c r="AO77" s="70"/>
    </row>
    <row r="78" spans="1:41" x14ac:dyDescent="0.3">
      <c r="A78" s="25"/>
      <c r="B78" s="92"/>
      <c r="C78" s="70"/>
      <c r="D78" s="25"/>
      <c r="E78" s="92"/>
      <c r="F78" s="25"/>
      <c r="G78" s="25"/>
      <c r="H78" s="92"/>
      <c r="I78" s="70"/>
      <c r="J78" s="25"/>
      <c r="K78" s="92"/>
      <c r="L78" s="25"/>
      <c r="M78" s="25"/>
      <c r="N78" s="25"/>
      <c r="O78" s="92"/>
      <c r="P78" s="70"/>
      <c r="Q78" s="25"/>
      <c r="R78" s="92"/>
      <c r="S78" s="3"/>
      <c r="V78" s="20" t="s">
        <v>88</v>
      </c>
      <c r="W78" s="92">
        <f>'2. Loss Trend Factor -- 1'!AI8</f>
        <v>-1.6807177162067144E-2</v>
      </c>
      <c r="X78" s="70"/>
      <c r="Y78" s="99" t="s">
        <v>112</v>
      </c>
      <c r="Z78" s="93">
        <f>'2. Loss Trend Factor -- 1'!AI16</f>
        <v>2.5000000000000001E-2</v>
      </c>
      <c r="AB78" s="20" t="str">
        <f>'2. Loss Trend Factor -- 1'!V78</f>
        <v>20 pt</v>
      </c>
      <c r="AC78" s="92">
        <f>'2. Loss Trend Factor -- 1'!AJ8</f>
        <v>4.7396447785255535E-2</v>
      </c>
      <c r="AD78" s="70"/>
      <c r="AE78" s="25" t="s">
        <v>112</v>
      </c>
      <c r="AF78" s="93">
        <f>'2. Loss Trend Factor -- 1'!AJ16</f>
        <v>0.03</v>
      </c>
      <c r="AI78" s="20" t="str">
        <f>'2. Loss Trend Factor -- 1'!AB78</f>
        <v>20 pt</v>
      </c>
      <c r="AJ78" s="92">
        <f>'2. Loss Trend Factor -- 1'!AK8</f>
        <v>2.9792670128408361E-2</v>
      </c>
      <c r="AK78" s="70"/>
      <c r="AL78" s="25" t="s">
        <v>112</v>
      </c>
      <c r="AM78" s="93">
        <f>'2. Loss Trend Factor -- 1'!AK16</f>
        <v>5.5749999999999966E-2</v>
      </c>
      <c r="AN78" s="3"/>
    </row>
    <row r="79" spans="1:41" x14ac:dyDescent="0.3">
      <c r="A79" s="25"/>
      <c r="B79" s="92"/>
      <c r="C79" s="70"/>
      <c r="D79" s="92"/>
      <c r="E79" s="92"/>
      <c r="F79" s="25"/>
      <c r="G79" s="25"/>
      <c r="H79" s="92"/>
      <c r="I79" s="70"/>
      <c r="J79" s="92"/>
      <c r="K79" s="92"/>
      <c r="L79" s="25"/>
      <c r="M79" s="25"/>
      <c r="N79" s="25"/>
      <c r="O79" s="92"/>
      <c r="P79" s="70"/>
      <c r="Q79" s="92"/>
      <c r="R79" s="92"/>
      <c r="S79" s="3"/>
      <c r="V79" s="20" t="s">
        <v>89</v>
      </c>
      <c r="W79" s="92">
        <f>'2. Loss Trend Factor -- 1'!AI10</f>
        <v>2.3866572275518694E-2</v>
      </c>
      <c r="X79" s="70"/>
      <c r="Y79" s="103" t="s">
        <v>113</v>
      </c>
      <c r="Z79" s="93">
        <f>'2. Loss Trend Factor -- 1'!AI17</f>
        <v>0.05</v>
      </c>
      <c r="AB79" s="20" t="str">
        <f>'2. Loss Trend Factor -- 1'!V79</f>
        <v>16 pt</v>
      </c>
      <c r="AC79" s="92">
        <f>'2. Loss Trend Factor -- 1'!AJ10</f>
        <v>5.9101408864538518E-2</v>
      </c>
      <c r="AD79" s="70"/>
      <c r="AE79" s="92" t="s">
        <v>113</v>
      </c>
      <c r="AF79" s="93">
        <f>'2. Loss Trend Factor -- 1'!AJ17</f>
        <v>0.05</v>
      </c>
      <c r="AI79" s="20" t="str">
        <f>'2. Loss Trend Factor -- 1'!AB79</f>
        <v>16 pt</v>
      </c>
      <c r="AJ79" s="92">
        <f>'2. Loss Trend Factor -- 1'!AK10</f>
        <v>8.4378529186308393E-2</v>
      </c>
      <c r="AK79" s="70"/>
      <c r="AL79" s="92" t="s">
        <v>113</v>
      </c>
      <c r="AM79" s="93">
        <f>'2. Loss Trend Factor -- 1'!AK17</f>
        <v>0.10250000000000004</v>
      </c>
      <c r="AN79" s="3"/>
    </row>
    <row r="80" spans="1:41" x14ac:dyDescent="0.3">
      <c r="A80" s="25"/>
      <c r="B80" s="92"/>
      <c r="C80" s="70"/>
      <c r="D80" s="92"/>
      <c r="E80" s="70"/>
      <c r="F80" s="25"/>
      <c r="G80" s="25"/>
      <c r="H80" s="92"/>
      <c r="I80" s="70"/>
      <c r="J80" s="92"/>
      <c r="K80" s="70"/>
      <c r="L80" s="25"/>
      <c r="M80" s="25"/>
      <c r="N80" s="25"/>
      <c r="O80" s="92"/>
      <c r="P80" s="70"/>
      <c r="Q80" s="25"/>
      <c r="R80" s="70"/>
      <c r="S80" s="3"/>
      <c r="V80" s="20" t="s">
        <v>90</v>
      </c>
      <c r="W80" s="92">
        <f>'2. Loss Trend Factor -- 1'!AI12</f>
        <v>4.8955276918282609E-2</v>
      </c>
      <c r="X80" s="70"/>
      <c r="Y80" s="103"/>
      <c r="Z80" s="65"/>
      <c r="AB80" s="20" t="str">
        <f>'2. Loss Trend Factor -- 1'!V80</f>
        <v>12 pt</v>
      </c>
      <c r="AC80" s="92">
        <f>'2. Loss Trend Factor -- 1'!AJ12</f>
        <v>-4.9273434903386204E-2</v>
      </c>
      <c r="AD80" s="70"/>
      <c r="AE80" s="92"/>
      <c r="AF80" s="65"/>
      <c r="AI80" s="20" t="str">
        <f>'2. Loss Trend Factor -- 1'!AB80</f>
        <v>12 pt</v>
      </c>
      <c r="AJ80" s="92">
        <f>'2. Loss Trend Factor -- 1'!AK12</f>
        <v>-2.730352635515243E-3</v>
      </c>
      <c r="AK80" s="70"/>
      <c r="AL80" s="25"/>
      <c r="AM80" s="65"/>
      <c r="AN80" s="3"/>
    </row>
    <row r="81" spans="1:39" x14ac:dyDescent="0.3">
      <c r="A81" s="25"/>
      <c r="B81" s="25"/>
      <c r="C81" s="25"/>
      <c r="D81" s="25"/>
      <c r="E81" s="25"/>
      <c r="F81" s="25"/>
      <c r="G81" s="25"/>
      <c r="H81" s="25"/>
      <c r="I81" s="25"/>
      <c r="J81" s="25"/>
      <c r="K81" s="70"/>
      <c r="L81" s="70"/>
      <c r="M81" s="70"/>
      <c r="N81" s="25"/>
      <c r="O81" s="25"/>
      <c r="P81" s="25"/>
      <c r="Q81" s="25"/>
      <c r="R81" s="25"/>
      <c r="V81" s="22"/>
      <c r="W81" s="94"/>
      <c r="X81" s="94"/>
      <c r="Y81" s="104"/>
      <c r="Z81" s="23"/>
      <c r="AB81" s="22"/>
      <c r="AC81" s="94"/>
      <c r="AD81" s="94"/>
      <c r="AE81" s="94"/>
      <c r="AF81" s="95"/>
      <c r="AG81" s="3"/>
      <c r="AH81" s="3"/>
      <c r="AI81" s="20"/>
      <c r="AJ81" s="25"/>
      <c r="AK81" s="25"/>
      <c r="AL81" s="25"/>
      <c r="AM81" s="21"/>
    </row>
    <row r="82" spans="1:39" x14ac:dyDescent="0.3">
      <c r="A82" s="25"/>
      <c r="B82" s="25"/>
      <c r="C82" s="25"/>
      <c r="D82" s="25"/>
      <c r="E82" s="25"/>
      <c r="F82" s="25"/>
      <c r="G82" s="25"/>
      <c r="H82" s="25"/>
      <c r="I82" s="25"/>
      <c r="J82" s="25"/>
      <c r="K82" s="25"/>
      <c r="L82" s="25"/>
      <c r="M82" s="25"/>
      <c r="N82" s="92"/>
      <c r="O82" s="25"/>
      <c r="P82" s="25"/>
      <c r="Q82" s="25"/>
      <c r="R82" s="25"/>
      <c r="AI82" s="96" t="s">
        <v>148</v>
      </c>
      <c r="AJ82" s="94"/>
      <c r="AK82" s="94"/>
      <c r="AL82" s="94"/>
      <c r="AM82" s="23"/>
    </row>
    <row r="83" spans="1:39" x14ac:dyDescent="0.3">
      <c r="A83" s="25"/>
      <c r="B83" s="25"/>
      <c r="C83" s="25"/>
      <c r="D83" s="25"/>
      <c r="E83" s="25"/>
      <c r="F83" s="25"/>
      <c r="G83" s="25"/>
      <c r="H83" s="25"/>
      <c r="I83" s="25"/>
      <c r="J83" s="25"/>
      <c r="K83" s="25"/>
      <c r="L83" s="25"/>
      <c r="M83" s="25"/>
      <c r="N83" s="25"/>
      <c r="O83" s="25"/>
      <c r="P83" s="25"/>
      <c r="Q83" s="25"/>
      <c r="R83" s="25"/>
    </row>
    <row r="84" spans="1:39" x14ac:dyDescent="0.3">
      <c r="A84" s="25"/>
      <c r="B84" s="25"/>
      <c r="C84" s="25"/>
      <c r="D84" s="25"/>
      <c r="E84" s="25"/>
      <c r="F84" s="25"/>
      <c r="G84" s="25"/>
      <c r="H84" s="25"/>
      <c r="I84" s="25"/>
      <c r="J84" s="25"/>
      <c r="K84" s="25"/>
      <c r="L84" s="25"/>
      <c r="M84" s="25"/>
      <c r="N84" s="25"/>
      <c r="O84" s="25"/>
      <c r="P84" s="25"/>
      <c r="Q84" s="25"/>
      <c r="R84" s="25"/>
    </row>
  </sheetData>
  <phoneticPr fontId="13" type="noConversion"/>
  <printOptions horizontalCentered="1"/>
  <pageMargins left="0.7" right="0.7" top="0.75" bottom="0.75" header="0.3" footer="0.3"/>
  <headerFooter>
    <oddFooter>&amp;C© 2014 by the Casualty Actuarial Society. All rights reserved.</oddFooter>
  </headerFooter>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S41"/>
  <sheetViews>
    <sheetView showGridLines="0" zoomScale="78" zoomScaleNormal="78" zoomScalePageLayoutView="78" workbookViewId="0">
      <selection activeCell="F26" sqref="F26"/>
    </sheetView>
  </sheetViews>
  <sheetFormatPr defaultColWidth="8.77734375" defaultRowHeight="14.4" x14ac:dyDescent="0.3"/>
  <cols>
    <col min="3" max="3" width="10.6640625" bestFit="1" customWidth="1"/>
    <col min="5" max="5" width="14.77734375" bestFit="1" customWidth="1"/>
    <col min="6" max="6" width="11.33203125" bestFit="1" customWidth="1"/>
    <col min="9" max="9" width="8.77734375" style="21"/>
    <col min="10" max="10" width="8.77734375" style="71"/>
    <col min="13" max="13" width="12.77734375" customWidth="1"/>
    <col min="14" max="14" width="10.6640625" bestFit="1" customWidth="1"/>
    <col min="16" max="16" width="14.77734375" bestFit="1" customWidth="1"/>
    <col min="17" max="17" width="11.33203125" bestFit="1" customWidth="1"/>
  </cols>
  <sheetData>
    <row r="2" spans="1:19" x14ac:dyDescent="0.3">
      <c r="A2" s="14" t="str">
        <f>State</f>
        <v>EDU</v>
      </c>
      <c r="B2" s="14"/>
      <c r="C2" s="14"/>
      <c r="D2" s="14"/>
      <c r="E2" s="14"/>
      <c r="F2" s="14"/>
      <c r="G2" s="14"/>
      <c r="H2" s="14"/>
      <c r="L2" s="14" t="str">
        <f>State</f>
        <v>EDU</v>
      </c>
      <c r="M2" s="14"/>
      <c r="N2" s="14"/>
      <c r="O2" s="14"/>
      <c r="P2" s="14"/>
      <c r="Q2" s="14"/>
      <c r="R2" s="14"/>
      <c r="S2" s="14"/>
    </row>
    <row r="3" spans="1:19" x14ac:dyDescent="0.3">
      <c r="A3" s="14" t="str">
        <f>Company</f>
        <v>Self-Insured Auto Program</v>
      </c>
      <c r="B3" s="14"/>
      <c r="C3" s="14"/>
      <c r="D3" s="14"/>
      <c r="E3" s="14"/>
      <c r="F3" s="14"/>
      <c r="G3" s="14"/>
      <c r="H3" s="14"/>
      <c r="L3" s="14" t="str">
        <f>Company</f>
        <v>Self-Insured Auto Program</v>
      </c>
      <c r="M3" s="14"/>
      <c r="N3" s="14"/>
      <c r="O3" s="14"/>
      <c r="P3" s="14"/>
      <c r="Q3" s="14"/>
      <c r="R3" s="14"/>
      <c r="S3" s="14"/>
    </row>
    <row r="4" spans="1:19" x14ac:dyDescent="0.3">
      <c r="A4" s="14" t="str">
        <f>LOB</f>
        <v>Cars without Safety Features</v>
      </c>
      <c r="B4" s="14"/>
      <c r="C4" s="14"/>
      <c r="D4" s="14"/>
      <c r="E4" s="14"/>
      <c r="F4" s="14"/>
      <c r="G4" s="14"/>
      <c r="H4" s="14"/>
      <c r="L4" s="14" t="str">
        <f>Inputs!A10&amp;": History Restated as if These Had Been in Place Historically"</f>
        <v>Cars with Safety Features: History Restated as if These Had Been in Place Historically</v>
      </c>
      <c r="M4" s="14"/>
      <c r="N4" s="14"/>
      <c r="O4" s="14"/>
      <c r="P4" s="14"/>
      <c r="Q4" s="14"/>
      <c r="R4" s="14"/>
      <c r="S4" s="14"/>
    </row>
    <row r="6" spans="1:19" x14ac:dyDescent="0.3">
      <c r="B6" s="12">
        <v>1</v>
      </c>
      <c r="C6" s="12">
        <f t="shared" ref="C6:H6" si="0">B6+1</f>
        <v>2</v>
      </c>
      <c r="D6" s="12">
        <f t="shared" si="0"/>
        <v>3</v>
      </c>
      <c r="E6" s="12">
        <f t="shared" si="0"/>
        <v>4</v>
      </c>
      <c r="F6" s="12">
        <f t="shared" si="0"/>
        <v>5</v>
      </c>
      <c r="G6" s="12">
        <f t="shared" si="0"/>
        <v>6</v>
      </c>
      <c r="H6" s="12">
        <f t="shared" si="0"/>
        <v>7</v>
      </c>
      <c r="M6" s="12">
        <v>1</v>
      </c>
      <c r="N6" s="12">
        <f t="shared" ref="N6" si="1">M6+1</f>
        <v>2</v>
      </c>
      <c r="O6" s="12">
        <f t="shared" ref="O6" si="2">N6+1</f>
        <v>3</v>
      </c>
      <c r="P6" s="12">
        <f t="shared" ref="P6" si="3">O6+1</f>
        <v>4</v>
      </c>
      <c r="Q6" s="12">
        <f t="shared" ref="Q6" si="4">P6+1</f>
        <v>5</v>
      </c>
      <c r="R6" s="12">
        <f t="shared" ref="R6" si="5">Q6+1</f>
        <v>6</v>
      </c>
      <c r="S6" s="12">
        <f t="shared" ref="S6" si="6">R6+1</f>
        <v>7</v>
      </c>
    </row>
    <row r="7" spans="1:19" x14ac:dyDescent="0.3">
      <c r="A7" s="15"/>
      <c r="B7" s="15" t="s">
        <v>103</v>
      </c>
      <c r="C7" s="15" t="s">
        <v>112</v>
      </c>
      <c r="D7" s="15" t="s">
        <v>112</v>
      </c>
      <c r="E7" s="15" t="s">
        <v>103</v>
      </c>
      <c r="F7" s="15" t="s">
        <v>113</v>
      </c>
      <c r="G7" s="15" t="s">
        <v>113</v>
      </c>
      <c r="H7" s="135" t="s">
        <v>120</v>
      </c>
      <c r="L7" s="15"/>
      <c r="M7" s="15" t="s">
        <v>103</v>
      </c>
      <c r="N7" s="15" t="s">
        <v>112</v>
      </c>
      <c r="O7" s="15" t="s">
        <v>112</v>
      </c>
      <c r="P7" s="15" t="s">
        <v>103</v>
      </c>
      <c r="Q7" s="15" t="s">
        <v>113</v>
      </c>
      <c r="R7" s="15" t="s">
        <v>113</v>
      </c>
      <c r="S7" s="135" t="s">
        <v>120</v>
      </c>
    </row>
    <row r="8" spans="1:19" x14ac:dyDescent="0.3">
      <c r="A8" s="15" t="s">
        <v>114</v>
      </c>
      <c r="B8" s="15" t="s">
        <v>112</v>
      </c>
      <c r="C8" s="15" t="s">
        <v>116</v>
      </c>
      <c r="D8" s="15" t="s">
        <v>115</v>
      </c>
      <c r="E8" s="15" t="s">
        <v>113</v>
      </c>
      <c r="F8" s="15" t="s">
        <v>119</v>
      </c>
      <c r="G8" s="15" t="s">
        <v>115</v>
      </c>
      <c r="H8" s="135" t="s">
        <v>115</v>
      </c>
      <c r="L8" s="15" t="s">
        <v>114</v>
      </c>
      <c r="M8" s="15" t="s">
        <v>112</v>
      </c>
      <c r="N8" s="15" t="s">
        <v>116</v>
      </c>
      <c r="O8" s="15" t="s">
        <v>115</v>
      </c>
      <c r="P8" s="15" t="s">
        <v>113</v>
      </c>
      <c r="Q8" s="15" t="s">
        <v>119</v>
      </c>
      <c r="R8" s="15" t="s">
        <v>115</v>
      </c>
      <c r="S8" s="135" t="s">
        <v>115</v>
      </c>
    </row>
    <row r="9" spans="1:19" x14ac:dyDescent="0.3">
      <c r="A9" s="15" t="s">
        <v>105</v>
      </c>
      <c r="B9" s="15" t="s">
        <v>115</v>
      </c>
      <c r="C9" s="15" t="s">
        <v>117</v>
      </c>
      <c r="D9" s="15" t="s">
        <v>118</v>
      </c>
      <c r="E9" s="15" t="s">
        <v>115</v>
      </c>
      <c r="F9" s="15" t="s">
        <v>117</v>
      </c>
      <c r="G9" s="15" t="s">
        <v>118</v>
      </c>
      <c r="H9" s="135" t="s">
        <v>118</v>
      </c>
      <c r="L9" s="15" t="s">
        <v>105</v>
      </c>
      <c r="M9" s="15" t="s">
        <v>115</v>
      </c>
      <c r="N9" s="15" t="s">
        <v>117</v>
      </c>
      <c r="O9" s="15" t="s">
        <v>118</v>
      </c>
      <c r="P9" s="15" t="s">
        <v>115</v>
      </c>
      <c r="Q9" s="15" t="s">
        <v>117</v>
      </c>
      <c r="R9" s="15" t="s">
        <v>118</v>
      </c>
      <c r="S9" s="135" t="s">
        <v>118</v>
      </c>
    </row>
    <row r="10" spans="1:19" x14ac:dyDescent="0.3">
      <c r="A10" s="15">
        <f t="shared" ref="A10:A13" si="7">A11-1</f>
        <v>2010</v>
      </c>
      <c r="B10" s="133">
        <f>'2. Loss Trend Factor -- 1'!P16</f>
        <v>5.5749999999999966E-2</v>
      </c>
      <c r="C10" s="136">
        <f t="shared" ref="C10:C14" si="8">YEARFRAC(DATEVALUE("7/1/"&amp;A10),DATEVALUE("7/1/"&amp;$A$14))</f>
        <v>4</v>
      </c>
      <c r="D10" s="147">
        <f t="shared" ref="D10:D14" si="9">(1+B10)^C10</f>
        <v>1.2423511329900037</v>
      </c>
      <c r="E10" s="133">
        <f>'2. Loss Trend Factor -- 1'!$P$17</f>
        <v>0.10250000000000004</v>
      </c>
      <c r="F10" s="136">
        <f t="shared" ref="F10:F13" si="10">F11</f>
        <v>2.5</v>
      </c>
      <c r="G10" s="147">
        <f t="shared" ref="G10:G14" si="11">(1+E10)^F10</f>
        <v>1.2762815625000001</v>
      </c>
      <c r="H10" s="134">
        <f t="shared" ref="H10:H14" si="12">D10*G10</f>
        <v>1.5855898451861272</v>
      </c>
      <c r="L10" s="15">
        <f t="shared" ref="L10:L13" si="13">L11-1</f>
        <v>2010</v>
      </c>
      <c r="M10" s="133">
        <f>'2. Loss Trend Factor -- 1'!AK16</f>
        <v>5.5749999999999966E-2</v>
      </c>
      <c r="N10" s="136">
        <f t="shared" ref="N10:N14" si="14">YEARFRAC(DATEVALUE("7/1/"&amp;L10),DATEVALUE("7/1/"&amp;$A$14))</f>
        <v>4</v>
      </c>
      <c r="O10" s="147">
        <f t="shared" ref="O10:O14" si="15">(1+M10)^N10</f>
        <v>1.2423511329900037</v>
      </c>
      <c r="P10" s="133">
        <f>'2. Loss Trend Factor -- 1'!$AK$17</f>
        <v>0.10250000000000004</v>
      </c>
      <c r="Q10" s="136">
        <f t="shared" ref="Q10:Q13" si="16">Q11</f>
        <v>2.5</v>
      </c>
      <c r="R10" s="147">
        <f t="shared" ref="R10:R14" si="17">(1+P10)^Q10</f>
        <v>1.2762815625000001</v>
      </c>
      <c r="S10" s="134">
        <f t="shared" ref="S10:S14" si="18">O10*R10</f>
        <v>1.5855898451861272</v>
      </c>
    </row>
    <row r="11" spans="1:19" x14ac:dyDescent="0.3">
      <c r="A11" s="15">
        <f t="shared" si="7"/>
        <v>2011</v>
      </c>
      <c r="B11" s="133">
        <f t="shared" ref="B11:B14" si="19">B10</f>
        <v>5.5749999999999966E-2</v>
      </c>
      <c r="C11" s="136">
        <f t="shared" si="8"/>
        <v>3</v>
      </c>
      <c r="D11" s="147">
        <f t="shared" si="9"/>
        <v>1.1767474619843747</v>
      </c>
      <c r="E11" s="133">
        <f>'2. Loss Trend Factor -- 1'!$P$17</f>
        <v>0.10250000000000004</v>
      </c>
      <c r="F11" s="136">
        <f t="shared" si="10"/>
        <v>2.5</v>
      </c>
      <c r="G11" s="147">
        <f t="shared" si="11"/>
        <v>1.2762815625000001</v>
      </c>
      <c r="H11" s="134">
        <f t="shared" si="12"/>
        <v>1.5018610894493274</v>
      </c>
      <c r="L11" s="15">
        <f t="shared" si="13"/>
        <v>2011</v>
      </c>
      <c r="M11" s="133">
        <f t="shared" ref="M11:M14" si="20">M10</f>
        <v>5.5749999999999966E-2</v>
      </c>
      <c r="N11" s="136">
        <f t="shared" si="14"/>
        <v>3</v>
      </c>
      <c r="O11" s="147">
        <f t="shared" si="15"/>
        <v>1.1767474619843747</v>
      </c>
      <c r="P11" s="133">
        <f>'2. Loss Trend Factor -- 1'!$AK$17</f>
        <v>0.10250000000000004</v>
      </c>
      <c r="Q11" s="136">
        <f t="shared" si="16"/>
        <v>2.5</v>
      </c>
      <c r="R11" s="147">
        <f t="shared" si="17"/>
        <v>1.2762815625000001</v>
      </c>
      <c r="S11" s="134">
        <f t="shared" si="18"/>
        <v>1.5018610894493274</v>
      </c>
    </row>
    <row r="12" spans="1:19" x14ac:dyDescent="0.3">
      <c r="A12" s="15">
        <f t="shared" si="7"/>
        <v>2012</v>
      </c>
      <c r="B12" s="133">
        <f t="shared" si="19"/>
        <v>5.5749999999999966E-2</v>
      </c>
      <c r="C12" s="136">
        <f t="shared" si="8"/>
        <v>2</v>
      </c>
      <c r="D12" s="147">
        <f t="shared" si="9"/>
        <v>1.1146080624999999</v>
      </c>
      <c r="E12" s="133">
        <f>'2. Loss Trend Factor -- 1'!$P$17</f>
        <v>0.10250000000000004</v>
      </c>
      <c r="F12" s="136">
        <f t="shared" si="10"/>
        <v>2.5</v>
      </c>
      <c r="G12" s="147">
        <f t="shared" si="11"/>
        <v>1.2762815625000001</v>
      </c>
      <c r="H12" s="134">
        <f t="shared" si="12"/>
        <v>1.4225537195825977</v>
      </c>
      <c r="L12" s="15">
        <f t="shared" si="13"/>
        <v>2012</v>
      </c>
      <c r="M12" s="133">
        <f t="shared" si="20"/>
        <v>5.5749999999999966E-2</v>
      </c>
      <c r="N12" s="136">
        <f t="shared" si="14"/>
        <v>2</v>
      </c>
      <c r="O12" s="147">
        <f t="shared" si="15"/>
        <v>1.1146080624999999</v>
      </c>
      <c r="P12" s="133">
        <f>'2. Loss Trend Factor -- 1'!$AK$17</f>
        <v>0.10250000000000004</v>
      </c>
      <c r="Q12" s="136">
        <f t="shared" si="16"/>
        <v>2.5</v>
      </c>
      <c r="R12" s="147">
        <f t="shared" si="17"/>
        <v>1.2762815625000001</v>
      </c>
      <c r="S12" s="134">
        <f t="shared" si="18"/>
        <v>1.4225537195825977</v>
      </c>
    </row>
    <row r="13" spans="1:19" x14ac:dyDescent="0.3">
      <c r="A13" s="15">
        <f t="shared" si="7"/>
        <v>2013</v>
      </c>
      <c r="B13" s="133">
        <f t="shared" si="19"/>
        <v>5.5749999999999966E-2</v>
      </c>
      <c r="C13" s="136">
        <f t="shared" si="8"/>
        <v>1</v>
      </c>
      <c r="D13" s="147">
        <f t="shared" si="9"/>
        <v>1.05575</v>
      </c>
      <c r="E13" s="133">
        <f>'2. Loss Trend Factor -- 1'!$P$17</f>
        <v>0.10250000000000004</v>
      </c>
      <c r="F13" s="136">
        <f t="shared" si="10"/>
        <v>2.5</v>
      </c>
      <c r="G13" s="147">
        <f t="shared" si="11"/>
        <v>1.2762815625000001</v>
      </c>
      <c r="H13" s="134">
        <f t="shared" si="12"/>
        <v>1.3474342596093751</v>
      </c>
      <c r="L13" s="15">
        <f t="shared" si="13"/>
        <v>2013</v>
      </c>
      <c r="M13" s="133">
        <f t="shared" si="20"/>
        <v>5.5749999999999966E-2</v>
      </c>
      <c r="N13" s="136">
        <f t="shared" si="14"/>
        <v>1</v>
      </c>
      <c r="O13" s="147">
        <f t="shared" si="15"/>
        <v>1.05575</v>
      </c>
      <c r="P13" s="133">
        <f>'2. Loss Trend Factor -- 1'!$AK$17</f>
        <v>0.10250000000000004</v>
      </c>
      <c r="Q13" s="136">
        <f t="shared" si="16"/>
        <v>2.5</v>
      </c>
      <c r="R13" s="147">
        <f t="shared" si="17"/>
        <v>1.2762815625000001</v>
      </c>
      <c r="S13" s="134">
        <f t="shared" si="18"/>
        <v>1.3474342596093751</v>
      </c>
    </row>
    <row r="14" spans="1:19" x14ac:dyDescent="0.3">
      <c r="A14" s="15">
        <f>LatestYear</f>
        <v>2014</v>
      </c>
      <c r="B14" s="133">
        <f t="shared" si="19"/>
        <v>5.5749999999999966E-2</v>
      </c>
      <c r="C14" s="136">
        <f t="shared" si="8"/>
        <v>0</v>
      </c>
      <c r="D14" s="147">
        <f t="shared" si="9"/>
        <v>1</v>
      </c>
      <c r="E14" s="133">
        <f>'2. Loss Trend Factor -- 1'!$P$17</f>
        <v>0.10250000000000004</v>
      </c>
      <c r="F14" s="136">
        <f>YEARFRAC(DATEVALUE("7/1/"&amp;LatestYear),EDATE(EffDate,6))</f>
        <v>2.5</v>
      </c>
      <c r="G14" s="147">
        <f t="shared" si="11"/>
        <v>1.2762815625000001</v>
      </c>
      <c r="H14" s="134">
        <f t="shared" si="12"/>
        <v>1.2762815625000001</v>
      </c>
      <c r="L14" s="15">
        <f>LatestYear</f>
        <v>2014</v>
      </c>
      <c r="M14" s="133">
        <f t="shared" si="20"/>
        <v>5.5749999999999966E-2</v>
      </c>
      <c r="N14" s="136">
        <f t="shared" si="14"/>
        <v>0</v>
      </c>
      <c r="O14" s="147">
        <f t="shared" si="15"/>
        <v>1</v>
      </c>
      <c r="P14" s="133">
        <f>'2. Loss Trend Factor -- 1'!$AK$17</f>
        <v>0.10250000000000004</v>
      </c>
      <c r="Q14" s="136">
        <f>YEARFRAC(DATEVALUE("7/1/"&amp;LatestYear),EDATE(EffDate,6))</f>
        <v>2.5</v>
      </c>
      <c r="R14" s="147">
        <f t="shared" si="17"/>
        <v>1.2762815625000001</v>
      </c>
      <c r="S14" s="134">
        <f t="shared" si="18"/>
        <v>1.2762815625000001</v>
      </c>
    </row>
    <row r="15" spans="1:19" x14ac:dyDescent="0.3">
      <c r="C15" s="9"/>
      <c r="D15" s="9"/>
      <c r="E15" s="4"/>
      <c r="F15" s="6"/>
      <c r="G15" s="7"/>
      <c r="H15" s="7"/>
      <c r="N15" s="9"/>
      <c r="O15" s="9"/>
      <c r="P15" s="4"/>
      <c r="Q15" s="6"/>
      <c r="R15" s="7"/>
      <c r="S15" s="7"/>
    </row>
    <row r="16" spans="1:19" x14ac:dyDescent="0.3">
      <c r="A16" s="12">
        <v>1</v>
      </c>
      <c r="B16" t="s">
        <v>51</v>
      </c>
      <c r="C16" s="9"/>
      <c r="D16" s="9"/>
      <c r="E16" s="4"/>
      <c r="F16" s="6"/>
      <c r="G16" s="7"/>
      <c r="H16" s="7"/>
      <c r="L16" s="12">
        <v>1</v>
      </c>
      <c r="M16" t="s">
        <v>51</v>
      </c>
      <c r="N16" s="9"/>
      <c r="O16" s="9"/>
      <c r="P16" s="4"/>
      <c r="Q16" s="6"/>
      <c r="R16" s="7"/>
      <c r="S16" s="7"/>
    </row>
    <row r="17" spans="1:19" x14ac:dyDescent="0.3">
      <c r="A17" s="12">
        <f t="shared" ref="A17:A22" si="21">A16+1</f>
        <v>2</v>
      </c>
      <c r="B17" t="str">
        <f>"From 07/01/"&amp;A10&amp;" to 07/01/"&amp;LatestYear</f>
        <v>From 07/01/2010 to 07/01/2014</v>
      </c>
      <c r="C17" s="9"/>
      <c r="D17" s="9"/>
      <c r="E17" s="4"/>
      <c r="F17" s="6"/>
      <c r="G17" s="7"/>
      <c r="H17" s="7"/>
      <c r="L17" s="12">
        <f t="shared" ref="L17:L22" si="22">L16+1</f>
        <v>2</v>
      </c>
      <c r="M17" t="str">
        <f>"From 07/01/"&amp;L10&amp;" to 07/01/"&amp;LatestYear</f>
        <v>From 07/01/2010 to 07/01/2014</v>
      </c>
      <c r="N17" s="9"/>
      <c r="O17" s="9"/>
      <c r="P17" s="4"/>
      <c r="Q17" s="6"/>
      <c r="R17" s="7"/>
      <c r="S17" s="7"/>
    </row>
    <row r="18" spans="1:19" x14ac:dyDescent="0.3">
      <c r="A18" s="12">
        <f t="shared" si="21"/>
        <v>3</v>
      </c>
      <c r="B18" s="13" t="s">
        <v>138</v>
      </c>
      <c r="C18" s="9"/>
      <c r="D18" s="9"/>
      <c r="E18" s="4"/>
      <c r="F18" s="6"/>
      <c r="G18" s="7"/>
      <c r="H18" s="7"/>
      <c r="L18" s="12">
        <f t="shared" si="22"/>
        <v>3</v>
      </c>
      <c r="M18" s="13" t="s">
        <v>138</v>
      </c>
      <c r="N18" s="9"/>
      <c r="O18" s="9"/>
      <c r="P18" s="4"/>
      <c r="Q18" s="6"/>
      <c r="R18" s="7"/>
      <c r="S18" s="7"/>
    </row>
    <row r="19" spans="1:19" x14ac:dyDescent="0.3">
      <c r="A19" s="12">
        <f t="shared" si="21"/>
        <v>4</v>
      </c>
      <c r="B19" t="s">
        <v>51</v>
      </c>
      <c r="C19" s="9"/>
      <c r="D19" s="9"/>
      <c r="E19" s="4"/>
      <c r="F19" s="6"/>
      <c r="G19" s="7"/>
      <c r="H19" s="7"/>
      <c r="L19" s="12">
        <f t="shared" si="22"/>
        <v>4</v>
      </c>
      <c r="M19" t="s">
        <v>51</v>
      </c>
      <c r="N19" s="9"/>
      <c r="O19" s="9"/>
      <c r="P19" s="4"/>
      <c r="Q19" s="6"/>
      <c r="R19" s="7"/>
      <c r="S19" s="7"/>
    </row>
    <row r="20" spans="1:19" x14ac:dyDescent="0.3">
      <c r="A20" s="12">
        <f t="shared" si="21"/>
        <v>5</v>
      </c>
      <c r="B20" t="str">
        <f>"From 07/01/"&amp;LatestYear&amp;" to "&amp;TEXT(EDATE(EffDate,6)-1,"mm/dd/yyyy")&amp;" the midpoint of the upcoming policy term."</f>
        <v>From 07/01/2014 to 12/31/2016 the midpoint of the upcoming policy term.</v>
      </c>
      <c r="C20" s="9"/>
      <c r="D20" s="9"/>
      <c r="E20" s="4"/>
      <c r="F20" s="6"/>
      <c r="G20" s="7"/>
      <c r="H20" s="7"/>
      <c r="L20" s="12">
        <f t="shared" si="22"/>
        <v>5</v>
      </c>
      <c r="M20" t="str">
        <f>"From 07/01/"&amp;LatestYear&amp;" to "&amp;TEXT(EDATE(EffDate,6)-1,"mm/dd/yyyy")&amp;" the midpoint of the upcoming policy term."</f>
        <v>From 07/01/2014 to 12/31/2016 the midpoint of the upcoming policy term.</v>
      </c>
      <c r="N20" s="9"/>
      <c r="O20" s="9"/>
      <c r="P20" s="4"/>
      <c r="Q20" s="6"/>
      <c r="R20" s="7"/>
      <c r="S20" s="7"/>
    </row>
    <row r="21" spans="1:19" x14ac:dyDescent="0.3">
      <c r="A21" s="12">
        <f t="shared" si="21"/>
        <v>6</v>
      </c>
      <c r="B21" s="13" t="s">
        <v>139</v>
      </c>
      <c r="C21" s="9"/>
      <c r="D21" s="9"/>
      <c r="E21" s="4"/>
      <c r="F21" s="6"/>
      <c r="G21" s="7"/>
      <c r="H21" s="7"/>
      <c r="L21" s="12">
        <f t="shared" si="22"/>
        <v>6</v>
      </c>
      <c r="M21" s="13" t="s">
        <v>139</v>
      </c>
      <c r="N21" s="9"/>
      <c r="O21" s="9"/>
      <c r="P21" s="4"/>
      <c r="Q21" s="6"/>
      <c r="R21" s="7"/>
      <c r="S21" s="7"/>
    </row>
    <row r="22" spans="1:19" x14ac:dyDescent="0.3">
      <c r="A22" s="12">
        <f t="shared" si="21"/>
        <v>7</v>
      </c>
      <c r="B22" s="13" t="s">
        <v>140</v>
      </c>
      <c r="C22" s="9"/>
      <c r="D22" s="9"/>
      <c r="E22" s="4"/>
      <c r="F22" s="6"/>
      <c r="G22" s="7"/>
      <c r="H22" s="7"/>
      <c r="L22" s="12">
        <f t="shared" si="22"/>
        <v>7</v>
      </c>
      <c r="M22" s="13" t="s">
        <v>140</v>
      </c>
      <c r="N22" s="9"/>
      <c r="O22" s="9"/>
      <c r="P22" s="4"/>
      <c r="Q22" s="6"/>
      <c r="R22" s="7"/>
      <c r="S22" s="7"/>
    </row>
    <row r="23" spans="1:19" x14ac:dyDescent="0.3">
      <c r="C23" s="9"/>
      <c r="D23" s="9"/>
      <c r="E23" s="4"/>
      <c r="F23" s="6"/>
      <c r="G23" s="7"/>
      <c r="H23" s="7"/>
      <c r="N23" s="9"/>
      <c r="O23" s="9"/>
      <c r="P23" s="4"/>
      <c r="Q23" s="6"/>
      <c r="R23" s="7"/>
      <c r="S23" s="7"/>
    </row>
    <row r="24" spans="1:19" x14ac:dyDescent="0.3">
      <c r="C24" s="9"/>
      <c r="D24" s="9"/>
      <c r="E24" s="4"/>
      <c r="F24" s="6"/>
      <c r="G24" s="7"/>
      <c r="H24" s="7"/>
      <c r="N24" s="9"/>
      <c r="O24" s="9"/>
      <c r="P24" s="4"/>
      <c r="Q24" s="6"/>
      <c r="R24" s="7"/>
      <c r="S24" s="7"/>
    </row>
    <row r="25" spans="1:19" x14ac:dyDescent="0.3">
      <c r="C25" s="9"/>
      <c r="D25" s="9"/>
      <c r="E25" s="4"/>
      <c r="F25" s="6"/>
      <c r="G25" s="7"/>
      <c r="H25" s="7"/>
      <c r="N25" s="9"/>
      <c r="O25" s="9"/>
      <c r="P25" s="4"/>
      <c r="Q25" s="6"/>
      <c r="R25" s="7"/>
      <c r="S25" s="7"/>
    </row>
    <row r="26" spans="1:19" x14ac:dyDescent="0.3">
      <c r="C26" s="9"/>
      <c r="D26" s="9"/>
      <c r="E26" s="4"/>
      <c r="F26" s="6"/>
      <c r="G26" s="7"/>
      <c r="H26" s="7"/>
      <c r="N26" s="9"/>
      <c r="O26" s="9"/>
      <c r="P26" s="4"/>
      <c r="Q26" s="6"/>
      <c r="R26" s="7"/>
      <c r="S26" s="7"/>
    </row>
    <row r="27" spans="1:19" x14ac:dyDescent="0.3">
      <c r="C27" s="9"/>
      <c r="D27" s="9"/>
      <c r="E27" s="4"/>
      <c r="F27" s="6"/>
      <c r="G27" s="7"/>
      <c r="H27" s="7"/>
      <c r="N27" s="9"/>
      <c r="O27" s="9"/>
      <c r="P27" s="4"/>
      <c r="Q27" s="6"/>
      <c r="R27" s="7"/>
      <c r="S27" s="7"/>
    </row>
    <row r="28" spans="1:19" x14ac:dyDescent="0.3">
      <c r="C28" s="9"/>
      <c r="D28" s="9"/>
      <c r="E28" s="4"/>
      <c r="F28" s="6"/>
      <c r="G28" s="7"/>
      <c r="H28" s="7"/>
      <c r="N28" s="9"/>
      <c r="O28" s="9"/>
      <c r="P28" s="4"/>
      <c r="Q28" s="6"/>
      <c r="R28" s="7"/>
      <c r="S28" s="7"/>
    </row>
    <row r="29" spans="1:19" x14ac:dyDescent="0.3">
      <c r="C29" s="9"/>
      <c r="D29" s="9"/>
      <c r="E29" s="4"/>
      <c r="F29" s="6"/>
      <c r="G29" s="7"/>
      <c r="H29" s="7"/>
      <c r="N29" s="9"/>
      <c r="O29" s="9"/>
      <c r="P29" s="4"/>
      <c r="Q29" s="6"/>
      <c r="R29" s="7"/>
      <c r="S29" s="7"/>
    </row>
    <row r="31" spans="1:19" x14ac:dyDescent="0.3">
      <c r="E31" s="8"/>
      <c r="F31" s="8"/>
      <c r="P31" s="8"/>
      <c r="Q31" s="8"/>
    </row>
    <row r="32" spans="1:19" x14ac:dyDescent="0.3">
      <c r="F32" s="5"/>
      <c r="J32" s="72"/>
      <c r="K32" s="5"/>
      <c r="Q32" s="5"/>
    </row>
    <row r="33" spans="6:19" x14ac:dyDescent="0.3">
      <c r="F33" s="5"/>
      <c r="J33" s="72"/>
      <c r="K33" s="5"/>
      <c r="Q33" s="5"/>
    </row>
    <row r="34" spans="6:19" x14ac:dyDescent="0.3">
      <c r="F34" s="5"/>
      <c r="J34" s="72"/>
      <c r="K34" s="5"/>
      <c r="Q34" s="5"/>
    </row>
    <row r="35" spans="6:19" x14ac:dyDescent="0.3">
      <c r="F35" s="5"/>
      <c r="J35" s="72"/>
      <c r="K35" s="5"/>
      <c r="Q35" s="5"/>
    </row>
    <row r="36" spans="6:19" x14ac:dyDescent="0.3">
      <c r="F36" s="5"/>
      <c r="J36" s="72"/>
      <c r="K36" s="5"/>
      <c r="Q36" s="5"/>
    </row>
    <row r="37" spans="6:19" x14ac:dyDescent="0.3">
      <c r="F37" s="5"/>
      <c r="J37" s="72"/>
      <c r="K37" s="5"/>
      <c r="Q37" s="5"/>
    </row>
    <row r="40" spans="6:19" x14ac:dyDescent="0.3">
      <c r="F40" s="10"/>
      <c r="G40" s="10"/>
      <c r="H40" s="10"/>
      <c r="Q40" s="10"/>
      <c r="R40" s="10"/>
      <c r="S40" s="10"/>
    </row>
    <row r="41" spans="6:19" x14ac:dyDescent="0.3">
      <c r="F41" s="10"/>
      <c r="G41" s="10"/>
      <c r="H41" s="10"/>
      <c r="Q41" s="10"/>
      <c r="R41" s="10"/>
      <c r="S41" s="10"/>
    </row>
  </sheetData>
  <printOptions horizontalCentered="1"/>
  <pageMargins left="0.7" right="0.7" top="0.75" bottom="0.75" header="0.3" footer="0.3"/>
  <headerFooter>
    <oddFooter>&amp;C© 2014 by the Casualty Actuarial Society. All rights reserved.</oddFooter>
  </headerFooter>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M20"/>
  <sheetViews>
    <sheetView showGridLines="0" topLeftCell="A2" workbookViewId="0">
      <selection activeCell="E17" sqref="E17"/>
    </sheetView>
  </sheetViews>
  <sheetFormatPr defaultColWidth="8.77734375" defaultRowHeight="14.4" x14ac:dyDescent="0.3"/>
  <cols>
    <col min="1" max="2" width="15.33203125" customWidth="1"/>
    <col min="3" max="3" width="14.77734375" bestFit="1" customWidth="1"/>
    <col min="4" max="4" width="13.77734375" bestFit="1" customWidth="1"/>
    <col min="5" max="5" width="14.44140625" customWidth="1"/>
    <col min="6" max="6" width="8.77734375" style="21"/>
    <col min="7" max="7" width="8.77734375" style="71"/>
    <col min="9" max="10" width="15.33203125" customWidth="1"/>
    <col min="11" max="11" width="14.77734375" bestFit="1" customWidth="1"/>
    <col min="12" max="12" width="13.77734375" bestFit="1" customWidth="1"/>
    <col min="13" max="13" width="14.44140625" customWidth="1"/>
  </cols>
  <sheetData>
    <row r="2" spans="1:13" x14ac:dyDescent="0.3">
      <c r="A2" s="14" t="str">
        <f>State</f>
        <v>EDU</v>
      </c>
      <c r="B2" s="14"/>
      <c r="C2" s="14"/>
      <c r="D2" s="14"/>
      <c r="E2" s="14"/>
      <c r="I2" s="14" t="str">
        <f>State</f>
        <v>EDU</v>
      </c>
      <c r="J2" s="14"/>
      <c r="K2" s="14"/>
      <c r="L2" s="14"/>
      <c r="M2" s="14"/>
    </row>
    <row r="3" spans="1:13" x14ac:dyDescent="0.3">
      <c r="A3" s="14" t="str">
        <f>Company</f>
        <v>Self-Insured Auto Program</v>
      </c>
      <c r="B3" s="14"/>
      <c r="C3" s="14"/>
      <c r="D3" s="14"/>
      <c r="E3" s="14"/>
      <c r="I3" s="14" t="str">
        <f>Company</f>
        <v>Self-Insured Auto Program</v>
      </c>
      <c r="J3" s="14"/>
      <c r="K3" s="14"/>
      <c r="L3" s="14"/>
      <c r="M3" s="14"/>
    </row>
    <row r="4" spans="1:13" x14ac:dyDescent="0.3">
      <c r="A4" s="14" t="str">
        <f>LOB</f>
        <v>Cars without Safety Features</v>
      </c>
      <c r="B4" s="14"/>
      <c r="C4" s="14"/>
      <c r="D4" s="14"/>
      <c r="E4" s="14"/>
      <c r="I4" s="14" t="str">
        <f>Inputs!A10&amp;": History Restated as if These Had Been in Place Historically"</f>
        <v>Cars with Safety Features: History Restated as if These Had Been in Place Historically</v>
      </c>
      <c r="J4" s="14"/>
      <c r="K4" s="14"/>
      <c r="L4" s="14"/>
      <c r="M4" s="14"/>
    </row>
    <row r="6" spans="1:13" x14ac:dyDescent="0.3">
      <c r="B6" s="38">
        <v>1</v>
      </c>
      <c r="C6" s="38">
        <f>B6+1</f>
        <v>2</v>
      </c>
      <c r="D6" s="38">
        <f>C6+1</f>
        <v>3</v>
      </c>
      <c r="E6" s="38">
        <f>D6+1</f>
        <v>4</v>
      </c>
      <c r="J6" s="38">
        <v>1</v>
      </c>
      <c r="K6" s="38">
        <f>J6+1</f>
        <v>2</v>
      </c>
      <c r="L6" s="38">
        <f>K6+1</f>
        <v>3</v>
      </c>
      <c r="M6" s="38">
        <f>L6+1</f>
        <v>4</v>
      </c>
    </row>
    <row r="7" spans="1:13" x14ac:dyDescent="0.3">
      <c r="A7" s="15"/>
      <c r="B7" s="15"/>
      <c r="C7" s="15" t="s">
        <v>163</v>
      </c>
      <c r="D7" s="15"/>
      <c r="E7" s="15"/>
      <c r="I7" s="15"/>
      <c r="J7" s="15"/>
      <c r="K7" s="15" t="s">
        <v>163</v>
      </c>
      <c r="L7" s="15" t="s">
        <v>13</v>
      </c>
      <c r="M7" s="15"/>
    </row>
    <row r="8" spans="1:13" x14ac:dyDescent="0.3">
      <c r="A8" s="15"/>
      <c r="B8" s="15" t="s">
        <v>10</v>
      </c>
      <c r="C8" s="15" t="s">
        <v>121</v>
      </c>
      <c r="D8" s="15" t="s">
        <v>163</v>
      </c>
      <c r="E8" s="15"/>
      <c r="I8" s="15"/>
      <c r="J8" s="15" t="s">
        <v>10</v>
      </c>
      <c r="K8" s="15" t="s">
        <v>121</v>
      </c>
      <c r="L8" s="15" t="s">
        <v>163</v>
      </c>
      <c r="M8" s="15"/>
    </row>
    <row r="9" spans="1:13" x14ac:dyDescent="0.3">
      <c r="A9" s="15" t="s">
        <v>85</v>
      </c>
      <c r="B9" s="15" t="s">
        <v>11</v>
      </c>
      <c r="C9" s="15" t="s">
        <v>122</v>
      </c>
      <c r="D9" s="15" t="s">
        <v>123</v>
      </c>
      <c r="E9" s="15" t="s">
        <v>124</v>
      </c>
      <c r="I9" s="15" t="s">
        <v>85</v>
      </c>
      <c r="J9" s="15" t="s">
        <v>11</v>
      </c>
      <c r="K9" s="15" t="s">
        <v>122</v>
      </c>
      <c r="L9" s="15" t="s">
        <v>123</v>
      </c>
      <c r="M9" s="15" t="s">
        <v>124</v>
      </c>
    </row>
    <row r="10" spans="1:13" x14ac:dyDescent="0.3">
      <c r="A10">
        <f t="shared" ref="A10:A11" si="0">A11-1</f>
        <v>2012</v>
      </c>
      <c r="B10" s="137">
        <v>142</v>
      </c>
      <c r="C10" s="138">
        <v>530220</v>
      </c>
      <c r="D10" s="138">
        <v>39767</v>
      </c>
      <c r="E10" s="40">
        <f t="shared" ref="E10:E13" si="1">D10/C10</f>
        <v>7.500094300479046E-2</v>
      </c>
      <c r="I10">
        <f t="shared" ref="I10:I11" si="2">I11-1</f>
        <v>2012</v>
      </c>
      <c r="J10" s="114">
        <f>B10*'0. Adjust losses for new book'!$G$16</f>
        <v>120.7</v>
      </c>
      <c r="K10" s="111">
        <f>C10*'0. Adjust losses for new book'!$G$16*'0. Adjust losses for new book'!$G$17</f>
        <v>360549.60000000003</v>
      </c>
      <c r="L10" s="142">
        <f t="shared" ref="L10:L12" si="3">D10</f>
        <v>39767</v>
      </c>
      <c r="M10" s="143">
        <f t="shared" ref="M10:M13" si="4">L10/K10</f>
        <v>0.11029550441880949</v>
      </c>
    </row>
    <row r="11" spans="1:13" x14ac:dyDescent="0.3">
      <c r="A11">
        <f t="shared" si="0"/>
        <v>2013</v>
      </c>
      <c r="B11" s="137">
        <v>161</v>
      </c>
      <c r="C11" s="138">
        <v>652582</v>
      </c>
      <c r="D11" s="138">
        <v>52207</v>
      </c>
      <c r="E11" s="40">
        <f t="shared" si="1"/>
        <v>8.000067424476924E-2</v>
      </c>
      <c r="I11">
        <f t="shared" si="2"/>
        <v>2013</v>
      </c>
      <c r="J11" s="114">
        <f>B11*'0. Adjust losses for new book'!$G$16</f>
        <v>136.85</v>
      </c>
      <c r="K11" s="111">
        <f>C11*'0. Adjust losses for new book'!$G$16*'0. Adjust losses for new book'!$G$17</f>
        <v>443755.76</v>
      </c>
      <c r="L11" s="142">
        <f t="shared" si="3"/>
        <v>52207</v>
      </c>
      <c r="M11" s="143">
        <f t="shared" si="4"/>
        <v>0.11764805035995476</v>
      </c>
    </row>
    <row r="12" spans="1:13" x14ac:dyDescent="0.3">
      <c r="A12">
        <f>LatestYear</f>
        <v>2014</v>
      </c>
      <c r="B12" s="139">
        <v>186</v>
      </c>
      <c r="C12" s="140">
        <v>662615</v>
      </c>
      <c r="D12" s="138">
        <v>54334</v>
      </c>
      <c r="E12" s="40">
        <f t="shared" si="1"/>
        <v>8.1999351056043099E-2</v>
      </c>
      <c r="I12">
        <f>LatestYear</f>
        <v>2014</v>
      </c>
      <c r="J12" s="114">
        <f>B12*'0. Adjust losses for new book'!$G$16</f>
        <v>158.1</v>
      </c>
      <c r="K12" s="111">
        <f>C12*'0. Adjust losses for new book'!$G$16*'0. Adjust losses for new book'!$G$17</f>
        <v>450578.2</v>
      </c>
      <c r="L12" s="142">
        <f t="shared" si="3"/>
        <v>54334</v>
      </c>
      <c r="M12" s="143">
        <f t="shared" si="4"/>
        <v>0.12058728096476927</v>
      </c>
    </row>
    <row r="13" spans="1:13" x14ac:dyDescent="0.3">
      <c r="A13" t="s">
        <v>83</v>
      </c>
      <c r="B13" s="141"/>
      <c r="C13" s="138">
        <f>SUM(C10:C12)</f>
        <v>1845417</v>
      </c>
      <c r="D13" s="138">
        <f>SUM(D10:D12)</f>
        <v>146308</v>
      </c>
      <c r="E13" s="40">
        <f t="shared" si="1"/>
        <v>7.9281810019090543E-2</v>
      </c>
      <c r="I13" t="s">
        <v>83</v>
      </c>
      <c r="K13" s="111">
        <f>SUM(K10:K12)</f>
        <v>1254883.56</v>
      </c>
      <c r="L13" s="111">
        <f>SUM(L10:L12)</f>
        <v>146308</v>
      </c>
      <c r="M13" s="143">
        <f t="shared" si="4"/>
        <v>0.11659089708689785</v>
      </c>
    </row>
    <row r="15" spans="1:13" x14ac:dyDescent="0.3">
      <c r="C15" s="12">
        <f>E6+1</f>
        <v>5</v>
      </c>
      <c r="D15" s="44" t="s">
        <v>125</v>
      </c>
      <c r="E15" s="144">
        <f>E13</f>
        <v>7.9281810019090543E-2</v>
      </c>
      <c r="K15" s="12">
        <f>M6+1</f>
        <v>5</v>
      </c>
      <c r="L15" s="44" t="s">
        <v>125</v>
      </c>
      <c r="M15" s="144">
        <f>M13</f>
        <v>0.11659089708689785</v>
      </c>
    </row>
    <row r="16" spans="1:13" x14ac:dyDescent="0.3">
      <c r="C16" s="12">
        <f>C15+1</f>
        <v>6</v>
      </c>
      <c r="D16" t="s">
        <v>81</v>
      </c>
      <c r="E16" s="145">
        <f>1+E15</f>
        <v>1.0792818100190906</v>
      </c>
      <c r="K16" s="12">
        <f>K15+1</f>
        <v>6</v>
      </c>
      <c r="L16" t="s">
        <v>81</v>
      </c>
      <c r="M16" s="145">
        <f>1+M15</f>
        <v>1.1165908970868978</v>
      </c>
    </row>
    <row r="17" spans="1:10" x14ac:dyDescent="0.3">
      <c r="E17" t="s">
        <v>177</v>
      </c>
    </row>
    <row r="18" spans="1:10" x14ac:dyDescent="0.3">
      <c r="A18" s="16" t="s">
        <v>12</v>
      </c>
      <c r="B18" s="13" t="s">
        <v>129</v>
      </c>
      <c r="I18" s="16" t="s">
        <v>12</v>
      </c>
      <c r="J18" s="13" t="s">
        <v>129</v>
      </c>
    </row>
    <row r="19" spans="1:10" x14ac:dyDescent="0.3">
      <c r="A19" s="16" t="s">
        <v>14</v>
      </c>
      <c r="B19" s="13" t="s">
        <v>15</v>
      </c>
      <c r="I19" s="16" t="s">
        <v>14</v>
      </c>
      <c r="J19" s="13" t="s">
        <v>15</v>
      </c>
    </row>
    <row r="20" spans="1:10" x14ac:dyDescent="0.3">
      <c r="A20" s="16"/>
      <c r="B20" s="16"/>
      <c r="I20" s="16"/>
      <c r="J20" s="16"/>
    </row>
  </sheetData>
  <printOptions horizontalCentered="1"/>
  <pageMargins left="0.7" right="0.7" top="0.75" bottom="0.75" header="0.3" footer="0.3"/>
  <headerFooter>
    <oddFooter>&amp;C© 2014 by the Casualty Actuarial Society. All rights reserved.</oddFooter>
  </headerFooter>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S46"/>
  <sheetViews>
    <sheetView showGridLines="0" topLeftCell="G1" zoomScale="85" zoomScaleNormal="85" zoomScalePageLayoutView="85" workbookViewId="0">
      <selection activeCell="O25" sqref="O25"/>
    </sheetView>
  </sheetViews>
  <sheetFormatPr defaultColWidth="8.77734375" defaultRowHeight="14.4" x14ac:dyDescent="0.3"/>
  <cols>
    <col min="1" max="1" width="11.109375" customWidth="1"/>
    <col min="2" max="2" width="17.44140625" customWidth="1"/>
    <col min="3" max="4" width="18.109375" customWidth="1"/>
    <col min="5" max="5" width="16.33203125" customWidth="1"/>
    <col min="6" max="6" width="19" customWidth="1"/>
    <col min="7" max="7" width="15.6640625" customWidth="1"/>
    <col min="8" max="8" width="18.44140625" bestFit="1" customWidth="1"/>
    <col min="9" max="9" width="7.77734375" style="21" customWidth="1"/>
    <col min="10" max="10" width="8.77734375" style="71"/>
    <col min="11" max="11" width="11.6640625" bestFit="1" customWidth="1"/>
    <col min="12" max="12" width="11.109375" customWidth="1"/>
    <col min="13" max="13" width="17.44140625" customWidth="1"/>
    <col min="14" max="15" width="18.109375" customWidth="1"/>
    <col min="16" max="16" width="16.33203125" customWidth="1"/>
    <col min="17" max="17" width="21.77734375" customWidth="1"/>
    <col min="18" max="18" width="15.6640625" customWidth="1"/>
    <col min="19" max="19" width="18.44140625" bestFit="1" customWidth="1"/>
  </cols>
  <sheetData>
    <row r="2" spans="1:19" x14ac:dyDescent="0.3">
      <c r="A2" s="14" t="str">
        <f>State</f>
        <v>EDU</v>
      </c>
      <c r="B2" s="14"/>
      <c r="C2" s="14"/>
      <c r="D2" s="14"/>
      <c r="E2" s="14"/>
      <c r="F2" s="14"/>
      <c r="G2" s="14"/>
      <c r="H2" s="14"/>
      <c r="J2" s="73"/>
      <c r="L2" s="14" t="str">
        <f>State</f>
        <v>EDU</v>
      </c>
      <c r="M2" s="14"/>
      <c r="N2" s="14"/>
      <c r="O2" s="14"/>
      <c r="P2" s="14"/>
      <c r="Q2" s="14"/>
      <c r="R2" s="14"/>
      <c r="S2" s="14"/>
    </row>
    <row r="3" spans="1:19" x14ac:dyDescent="0.3">
      <c r="A3" s="14" t="str">
        <f>Company</f>
        <v>Self-Insured Auto Program</v>
      </c>
      <c r="B3" s="14"/>
      <c r="C3" s="14"/>
      <c r="D3" s="14"/>
      <c r="E3" s="14"/>
      <c r="F3" s="14"/>
      <c r="G3" s="14"/>
      <c r="H3" s="14"/>
      <c r="J3" s="73"/>
      <c r="L3" s="14" t="str">
        <f>Company</f>
        <v>Self-Insured Auto Program</v>
      </c>
      <c r="M3" s="14"/>
      <c r="N3" s="14"/>
      <c r="O3" s="14"/>
      <c r="P3" s="14"/>
      <c r="Q3" s="14"/>
      <c r="R3" s="14"/>
      <c r="S3" s="14"/>
    </row>
    <row r="4" spans="1:19" x14ac:dyDescent="0.3">
      <c r="A4" s="14" t="str">
        <f>LOB</f>
        <v>Cars without Safety Features</v>
      </c>
      <c r="B4" s="14"/>
      <c r="C4" s="14"/>
      <c r="D4" s="14"/>
      <c r="E4" s="14"/>
      <c r="F4" s="14"/>
      <c r="G4" s="14"/>
      <c r="H4" s="14"/>
      <c r="J4" s="73"/>
      <c r="L4" s="14" t="str">
        <f>Inputs!A10&amp;": History Restated as if These Had Been in Place Historically"</f>
        <v>Cars with Safety Features: History Restated as if These Had Been in Place Historically</v>
      </c>
      <c r="M4" s="14"/>
      <c r="N4" s="14"/>
      <c r="O4" s="14"/>
      <c r="P4" s="14"/>
      <c r="Q4" s="14"/>
      <c r="R4" s="14"/>
      <c r="S4" s="14"/>
    </row>
    <row r="5" spans="1:19" x14ac:dyDescent="0.3">
      <c r="A5" s="2"/>
      <c r="B5" s="2"/>
      <c r="L5" s="2"/>
      <c r="M5" s="2"/>
    </row>
    <row r="6" spans="1:19" x14ac:dyDescent="0.3">
      <c r="B6" s="38">
        <v>1</v>
      </c>
      <c r="C6" s="38">
        <f t="shared" ref="C6:H6" si="0">B6+1</f>
        <v>2</v>
      </c>
      <c r="D6" s="38">
        <f t="shared" si="0"/>
        <v>3</v>
      </c>
      <c r="E6" s="38">
        <f t="shared" si="0"/>
        <v>4</v>
      </c>
      <c r="F6" s="38">
        <f t="shared" si="0"/>
        <v>5</v>
      </c>
      <c r="G6" s="38">
        <f t="shared" si="0"/>
        <v>6</v>
      </c>
      <c r="H6" s="38">
        <f t="shared" si="0"/>
        <v>7</v>
      </c>
      <c r="M6" s="38">
        <v>1</v>
      </c>
      <c r="N6" s="38">
        <f t="shared" ref="N6" si="1">M6+1</f>
        <v>2</v>
      </c>
      <c r="O6" s="38">
        <f t="shared" ref="O6" si="2">N6+1</f>
        <v>3</v>
      </c>
      <c r="P6" s="38">
        <f t="shared" ref="P6" si="3">O6+1</f>
        <v>4</v>
      </c>
      <c r="Q6" s="38">
        <f t="shared" ref="Q6" si="4">P6+1</f>
        <v>5</v>
      </c>
      <c r="R6" s="38">
        <f t="shared" ref="R6" si="5">Q6+1</f>
        <v>6</v>
      </c>
      <c r="S6" s="38">
        <f t="shared" ref="S6" si="6">R6+1</f>
        <v>7</v>
      </c>
    </row>
    <row r="7" spans="1:19" ht="43.2" x14ac:dyDescent="0.3">
      <c r="A7" s="39" t="s">
        <v>95</v>
      </c>
      <c r="B7" s="39" t="s">
        <v>44</v>
      </c>
      <c r="C7" s="39" t="s">
        <v>84</v>
      </c>
      <c r="D7" s="39" t="s">
        <v>79</v>
      </c>
      <c r="E7" s="39" t="s">
        <v>80</v>
      </c>
      <c r="F7" s="39" t="s">
        <v>81</v>
      </c>
      <c r="G7" s="39" t="s">
        <v>82</v>
      </c>
      <c r="H7" s="110" t="s">
        <v>9</v>
      </c>
      <c r="J7" s="74"/>
      <c r="L7" s="39" t="s">
        <v>95</v>
      </c>
      <c r="M7" s="39" t="s">
        <v>44</v>
      </c>
      <c r="N7" s="39" t="s">
        <v>84</v>
      </c>
      <c r="O7" s="39" t="s">
        <v>79</v>
      </c>
      <c r="P7" s="39" t="s">
        <v>80</v>
      </c>
      <c r="Q7" s="39" t="s">
        <v>81</v>
      </c>
      <c r="R7" s="39" t="s">
        <v>82</v>
      </c>
      <c r="S7" s="110" t="s">
        <v>9</v>
      </c>
    </row>
    <row r="8" spans="1:19" x14ac:dyDescent="0.3">
      <c r="A8">
        <f t="shared" ref="A8:A11" si="7">A9-1</f>
        <v>2010</v>
      </c>
      <c r="B8" s="148">
        <f>AVERAGE('2. Loss Trend Factor -- 1'!C8:C11)</f>
        <v>889</v>
      </c>
      <c r="C8" s="42">
        <f>'1. Loss Development Factor'!H11</f>
        <v>573657.46254324075</v>
      </c>
      <c r="D8" s="146">
        <f>ROUND('1. Loss Development Factor'!$H$33,4)</f>
        <v>1</v>
      </c>
      <c r="E8" s="146">
        <f>ROUND('2. Loss Trend Factor -- 2'!H10,4)</f>
        <v>1.5855999999999999</v>
      </c>
      <c r="F8" s="146">
        <f>'3. ULAE Factor'!$E$16</f>
        <v>1.0792818100190906</v>
      </c>
      <c r="G8" s="111">
        <f>PRODUCT(C8:F8)</f>
        <v>981705.31507853745</v>
      </c>
      <c r="H8" s="154">
        <f>G8/B8</f>
        <v>1104.2804444078035</v>
      </c>
      <c r="K8" s="43"/>
      <c r="L8">
        <f t="shared" ref="L8:L11" si="8">L9-1</f>
        <v>2010</v>
      </c>
      <c r="M8" s="148">
        <f>AVERAGE('2. Loss Trend Factor -- 1'!X8:X11)</f>
        <v>889</v>
      </c>
      <c r="N8" s="150">
        <f>'1. Loss Development Factor'!R11</f>
        <v>390087.0745294037</v>
      </c>
      <c r="O8" s="146">
        <f>ROUND('1. Loss Development Factor'!$H$33,4)</f>
        <v>1</v>
      </c>
      <c r="P8" s="146">
        <f>ROUND('2. Loss Trend Factor -- 2'!S10,4)</f>
        <v>1.5855999999999999</v>
      </c>
      <c r="Q8" s="146">
        <f>'3. ULAE Factor'!$M$16</f>
        <v>1.1165908970868978</v>
      </c>
      <c r="R8" s="111">
        <f>PRODUCT(N8:Q8)</f>
        <v>690636.1078437973</v>
      </c>
      <c r="S8" s="154">
        <f>R8/M8</f>
        <v>776.86851276017694</v>
      </c>
    </row>
    <row r="9" spans="1:19" x14ac:dyDescent="0.3">
      <c r="A9">
        <f t="shared" si="7"/>
        <v>2011</v>
      </c>
      <c r="B9" s="148">
        <f>AVERAGE('2. Loss Trend Factor -- 1'!C12:C15)</f>
        <v>929.75</v>
      </c>
      <c r="C9" s="42">
        <f>'1. Loss Development Factor'!G12</f>
        <v>578678.10181119642</v>
      </c>
      <c r="D9" s="146">
        <f>ROUND('1. Loss Development Factor'!$G$33,4)</f>
        <v>1.0075000000000001</v>
      </c>
      <c r="E9" s="146">
        <f>ROUND('2. Loss Trend Factor -- 2'!H11,4)</f>
        <v>1.5019</v>
      </c>
      <c r="F9" s="146">
        <f>'3. ULAE Factor'!$E$16</f>
        <v>1.0792818100190906</v>
      </c>
      <c r="G9" s="111">
        <f>PRODUCT(C9:F9)</f>
        <v>945056.9448966817</v>
      </c>
      <c r="H9" s="154">
        <f t="shared" ref="H9:H14" si="9">G9/B9</f>
        <v>1016.4635062077781</v>
      </c>
      <c r="L9">
        <f t="shared" si="8"/>
        <v>2011</v>
      </c>
      <c r="M9" s="148">
        <f t="array" ref="M9">AVERAGE('2. Loss Trend Factor -- 1'!X12:X15)</f>
        <v>929.75</v>
      </c>
      <c r="N9" s="150">
        <f>'1. Loss Development Factor'!Q12</f>
        <v>393501.10923161358</v>
      </c>
      <c r="O9" s="146">
        <f>ROUND('1. Loss Development Factor'!$G$33,4)</f>
        <v>1.0075000000000001</v>
      </c>
      <c r="P9" s="146">
        <f>ROUND('2. Loss Trend Factor -- 2'!S11,4)</f>
        <v>1.5019</v>
      </c>
      <c r="Q9" s="146">
        <f>'3. ULAE Factor'!$M$16</f>
        <v>1.1165908970868978</v>
      </c>
      <c r="R9" s="111">
        <f>PRODUCT(N9:Q9)</f>
        <v>664853.73980274156</v>
      </c>
      <c r="S9" s="154">
        <f t="shared" ref="S9:S12" si="10">R9/M9</f>
        <v>715.08872256277664</v>
      </c>
    </row>
    <row r="10" spans="1:19" x14ac:dyDescent="0.3">
      <c r="A10">
        <f t="shared" si="7"/>
        <v>2012</v>
      </c>
      <c r="B10" s="148">
        <f>AVERAGE('2. Loss Trend Factor -- 1'!C16:C19)</f>
        <v>930.25</v>
      </c>
      <c r="C10" s="42">
        <f>'1. Loss Development Factor'!F13</f>
        <v>508408.70905770716</v>
      </c>
      <c r="D10" s="146">
        <f>ROUND('1. Loss Development Factor'!$F$33,4)</f>
        <v>1.0224</v>
      </c>
      <c r="E10" s="146">
        <f>ROUND('2. Loss Trend Factor -- 2'!H12,4)</f>
        <v>1.4226000000000001</v>
      </c>
      <c r="F10" s="146">
        <f>'3. ULAE Factor'!$E$16</f>
        <v>1.0792818100190906</v>
      </c>
      <c r="G10" s="111">
        <f>PRODUCT(C10:F10)</f>
        <v>798089.29258634534</v>
      </c>
      <c r="H10" s="154">
        <f t="shared" si="9"/>
        <v>857.92990334463354</v>
      </c>
      <c r="L10">
        <f t="shared" si="8"/>
        <v>2012</v>
      </c>
      <c r="M10" s="148">
        <f>AVERAGE('2. Loss Trend Factor -- 1'!X16:X19)</f>
        <v>930.25</v>
      </c>
      <c r="N10" s="150">
        <f>'1. Loss Development Factor'!P13</f>
        <v>345717.92215924087</v>
      </c>
      <c r="O10" s="146">
        <f>ROUND('1. Loss Development Factor'!$F$33,4)</f>
        <v>1.0224</v>
      </c>
      <c r="P10" s="146">
        <f>ROUND('2. Loss Trend Factor -- 2'!S12,4)</f>
        <v>1.4226000000000001</v>
      </c>
      <c r="Q10" s="146">
        <f>'3. ULAE Factor'!$M$16</f>
        <v>1.1165908970868978</v>
      </c>
      <c r="R10" s="111">
        <f>PRODUCT(N10:Q10)</f>
        <v>561461.03548349172</v>
      </c>
      <c r="S10" s="154">
        <f t="shared" si="10"/>
        <v>603.55929640794591</v>
      </c>
    </row>
    <row r="11" spans="1:19" x14ac:dyDescent="0.3">
      <c r="A11">
        <f t="shared" si="7"/>
        <v>2013</v>
      </c>
      <c r="B11" s="148">
        <f>AVERAGE('2. Loss Trend Factor -- 1'!C20:C23)</f>
        <v>931.5</v>
      </c>
      <c r="C11" s="42">
        <f>'1. Loss Development Factor'!E14</f>
        <v>577819.69192047068</v>
      </c>
      <c r="D11" s="146">
        <f>ROUND('1. Loss Development Factor'!$E$33,4)</f>
        <v>1.0544</v>
      </c>
      <c r="E11" s="146">
        <f>ROUND('2. Loss Trend Factor -- 2'!H13,4)</f>
        <v>1.3473999999999999</v>
      </c>
      <c r="F11" s="146">
        <f>'3. ULAE Factor'!$E$16</f>
        <v>1.0792818100190906</v>
      </c>
      <c r="G11" s="111">
        <f>PRODUCT(C11:F11)</f>
        <v>885990.64497451542</v>
      </c>
      <c r="H11" s="154">
        <f t="shared" si="9"/>
        <v>951.14400963447713</v>
      </c>
      <c r="L11">
        <f t="shared" si="8"/>
        <v>2013</v>
      </c>
      <c r="M11" s="148">
        <f>AVERAGE('2. Loss Trend Factor -- 1'!X20:X23)</f>
        <v>931.5</v>
      </c>
      <c r="N11" s="150">
        <f>'1. Loss Development Factor'!O14</f>
        <v>392917.39050592011</v>
      </c>
      <c r="O11" s="146">
        <f>ROUND('1. Loss Development Factor'!$E$33,4)</f>
        <v>1.0544</v>
      </c>
      <c r="P11" s="146">
        <f>ROUND('2. Loss Trend Factor -- 2'!S13,4)</f>
        <v>1.3473999999999999</v>
      </c>
      <c r="Q11" s="146">
        <f>'3. ULAE Factor'!$M$16</f>
        <v>1.1165908970868978</v>
      </c>
      <c r="R11" s="111">
        <f>PRODUCT(N11:Q11)</f>
        <v>623300.21161417733</v>
      </c>
      <c r="S11" s="154">
        <f t="shared" si="10"/>
        <v>669.13602964484949</v>
      </c>
    </row>
    <row r="12" spans="1:19" x14ac:dyDescent="0.3">
      <c r="A12">
        <f>LatestYear</f>
        <v>2014</v>
      </c>
      <c r="B12" s="148">
        <f>AVERAGE('2. Loss Trend Factor -- 1'!C24:C27)</f>
        <v>945</v>
      </c>
      <c r="C12" s="42">
        <f>'1. Loss Development Factor'!D15</f>
        <v>583508.75541126193</v>
      </c>
      <c r="D12" s="146">
        <f>ROUND('1. Loss Development Factor'!$D$33,4)</f>
        <v>1.3162</v>
      </c>
      <c r="E12" s="146">
        <f>ROUND('2. Loss Trend Factor -- 2'!H14,4)</f>
        <v>1.2763</v>
      </c>
      <c r="F12" s="146">
        <f>'3. ULAE Factor'!$E$16</f>
        <v>1.0792818100190906</v>
      </c>
      <c r="G12" s="111">
        <f>PRODUCT(C12:F12)</f>
        <v>1057929.8965343251</v>
      </c>
      <c r="H12" s="154">
        <f t="shared" si="9"/>
        <v>1119.5025360151587</v>
      </c>
      <c r="L12">
        <f>LatestYear</f>
        <v>2014</v>
      </c>
      <c r="M12" s="148">
        <f>AVERAGE('2. Loss Trend Factor -- 1'!X24:X27)</f>
        <v>945</v>
      </c>
      <c r="N12" s="150">
        <f>'1. Loss Development Factor'!N15</f>
        <v>396785.95367965812</v>
      </c>
      <c r="O12" s="146">
        <f>ROUND('1. Loss Development Factor'!$D$33,4)</f>
        <v>1.3162</v>
      </c>
      <c r="P12" s="146">
        <f>ROUND('2. Loss Trend Factor -- 2'!S14,4)</f>
        <v>1.2763</v>
      </c>
      <c r="Q12" s="146">
        <f>'3. ULAE Factor'!$M$16</f>
        <v>1.1165908970868978</v>
      </c>
      <c r="R12" s="111">
        <f>PRODUCT(N12:Q12)</f>
        <v>744260.59927729459</v>
      </c>
      <c r="S12" s="154">
        <f t="shared" si="10"/>
        <v>787.57735373258686</v>
      </c>
    </row>
    <row r="13" spans="1:19" x14ac:dyDescent="0.3">
      <c r="G13" s="149"/>
      <c r="H13" s="154"/>
      <c r="N13" s="149"/>
      <c r="R13" s="149"/>
      <c r="S13" s="154"/>
    </row>
    <row r="14" spans="1:19" x14ac:dyDescent="0.3">
      <c r="A14" t="s">
        <v>83</v>
      </c>
      <c r="B14" s="42">
        <f>SUM(B8:B13)</f>
        <v>4625.5</v>
      </c>
      <c r="C14" s="42">
        <f>SUM(C8:C13)</f>
        <v>2822072.7207438769</v>
      </c>
      <c r="G14" s="111">
        <f>SUM(G8:G13)</f>
        <v>4668772.0940704048</v>
      </c>
      <c r="H14" s="154">
        <f t="shared" si="9"/>
        <v>1009.3551170836461</v>
      </c>
      <c r="L14" t="s">
        <v>83</v>
      </c>
      <c r="M14" s="42">
        <f>SUM(M8:M13)</f>
        <v>4625.5</v>
      </c>
      <c r="N14" s="111">
        <f>SUM(N8:N13)</f>
        <v>1919009.4501058366</v>
      </c>
      <c r="R14" s="111">
        <f>SUM(R8:R13)</f>
        <v>3284511.694021503</v>
      </c>
      <c r="S14" s="154">
        <f t="shared" ref="S14" si="11">R14/M14</f>
        <v>710.08792433715337</v>
      </c>
    </row>
    <row r="15" spans="1:19" x14ac:dyDescent="0.3">
      <c r="H15" s="155"/>
      <c r="S15" s="155"/>
    </row>
    <row r="16" spans="1:19" x14ac:dyDescent="0.3">
      <c r="D16" s="38">
        <f>H6+1</f>
        <v>8</v>
      </c>
      <c r="E16" s="75" t="s">
        <v>61</v>
      </c>
      <c r="F16" s="76"/>
      <c r="H16" s="156">
        <f>H14</f>
        <v>1009.3551170836461</v>
      </c>
      <c r="O16" s="38">
        <f>S6+1</f>
        <v>8</v>
      </c>
      <c r="P16" s="75" t="s">
        <v>61</v>
      </c>
      <c r="Q16" s="76"/>
      <c r="S16" s="156">
        <f>S14</f>
        <v>710.08792433715337</v>
      </c>
    </row>
    <row r="17" spans="1:19" x14ac:dyDescent="0.3">
      <c r="D17" s="38">
        <f>D16+1</f>
        <v>9</v>
      </c>
      <c r="E17" t="s">
        <v>154</v>
      </c>
      <c r="H17" s="157">
        <v>950</v>
      </c>
      <c r="O17" s="38">
        <f>O16+1</f>
        <v>9</v>
      </c>
      <c r="P17" t="s">
        <v>154</v>
      </c>
      <c r="S17" s="157">
        <v>950</v>
      </c>
    </row>
    <row r="18" spans="1:19" x14ac:dyDescent="0.3">
      <c r="D18" s="38">
        <f>D17+1</f>
        <v>10</v>
      </c>
      <c r="E18" t="s">
        <v>155</v>
      </c>
      <c r="H18" s="154">
        <f>H16*H17</f>
        <v>958887.36122946371</v>
      </c>
      <c r="O18" s="38">
        <f>O17+1</f>
        <v>10</v>
      </c>
      <c r="P18" t="s">
        <v>155</v>
      </c>
      <c r="S18" s="154">
        <f>S16*S17</f>
        <v>674583.52812029573</v>
      </c>
    </row>
    <row r="19" spans="1:19" x14ac:dyDescent="0.3">
      <c r="A19" s="12"/>
      <c r="F19" s="11"/>
      <c r="L19" s="12"/>
      <c r="Q19" s="11"/>
    </row>
    <row r="20" spans="1:19" x14ac:dyDescent="0.3">
      <c r="A20" s="12"/>
      <c r="F20" s="5"/>
      <c r="L20" s="12"/>
      <c r="Q20" s="5"/>
    </row>
    <row r="21" spans="1:19" x14ac:dyDescent="0.3">
      <c r="A21" s="12"/>
      <c r="F21" s="5"/>
      <c r="L21" s="12"/>
      <c r="Q21" s="5"/>
      <c r="S21" s="9"/>
    </row>
    <row r="22" spans="1:19" x14ac:dyDescent="0.3">
      <c r="A22" s="12"/>
      <c r="F22" s="5"/>
      <c r="L22" s="12"/>
      <c r="Q22" s="5"/>
      <c r="S22" s="9"/>
    </row>
    <row r="23" spans="1:19" x14ac:dyDescent="0.3">
      <c r="A23" s="12"/>
      <c r="F23" s="5"/>
      <c r="L23" s="12"/>
      <c r="Q23" s="5"/>
    </row>
    <row r="24" spans="1:19" x14ac:dyDescent="0.3">
      <c r="A24" s="12"/>
      <c r="F24" s="5"/>
      <c r="L24" s="12"/>
      <c r="Q24" s="5"/>
    </row>
    <row r="25" spans="1:19" x14ac:dyDescent="0.3">
      <c r="A25" s="12"/>
      <c r="F25" s="10"/>
      <c r="L25" s="12"/>
      <c r="Q25" s="10"/>
    </row>
    <row r="27" spans="1:19" x14ac:dyDescent="0.3">
      <c r="A27" s="12"/>
      <c r="B27" s="12"/>
      <c r="L27" s="12"/>
      <c r="M27" s="12"/>
    </row>
    <row r="28" spans="1:19" x14ac:dyDescent="0.3">
      <c r="A28" s="12"/>
      <c r="B28" s="12"/>
      <c r="L28" s="12"/>
      <c r="M28" s="12"/>
    </row>
    <row r="29" spans="1:19" x14ac:dyDescent="0.3">
      <c r="A29" s="12"/>
      <c r="B29" s="12"/>
      <c r="L29" s="12"/>
      <c r="M29" s="12"/>
    </row>
    <row r="30" spans="1:19" x14ac:dyDescent="0.3">
      <c r="A30" s="12"/>
      <c r="B30" s="12"/>
      <c r="L30" s="12"/>
      <c r="M30" s="12"/>
    </row>
    <row r="31" spans="1:19" x14ac:dyDescent="0.3">
      <c r="A31" s="12"/>
      <c r="B31" s="12"/>
      <c r="L31" s="12"/>
      <c r="M31" s="12"/>
    </row>
    <row r="32" spans="1:19" x14ac:dyDescent="0.3">
      <c r="A32" s="12"/>
      <c r="B32" s="12"/>
      <c r="L32" s="12"/>
      <c r="M32" s="12"/>
    </row>
    <row r="33" spans="1:13" x14ac:dyDescent="0.3">
      <c r="A33" s="12"/>
      <c r="B33" s="12"/>
      <c r="L33" s="12"/>
      <c r="M33" s="12"/>
    </row>
    <row r="34" spans="1:13" x14ac:dyDescent="0.3">
      <c r="A34" s="12"/>
      <c r="B34" s="12"/>
      <c r="L34" s="12"/>
      <c r="M34" s="12"/>
    </row>
    <row r="35" spans="1:13" x14ac:dyDescent="0.3">
      <c r="A35" s="12"/>
      <c r="B35" s="12"/>
      <c r="L35" s="12"/>
      <c r="M35" s="12"/>
    </row>
    <row r="36" spans="1:13" x14ac:dyDescent="0.3">
      <c r="A36" s="12"/>
      <c r="B36" s="12"/>
      <c r="L36" s="12"/>
      <c r="M36" s="12"/>
    </row>
    <row r="37" spans="1:13" x14ac:dyDescent="0.3">
      <c r="A37" s="12"/>
      <c r="B37" s="12"/>
      <c r="L37" s="12"/>
      <c r="M37" s="12"/>
    </row>
    <row r="38" spans="1:13" x14ac:dyDescent="0.3">
      <c r="A38" s="12"/>
      <c r="B38" s="12"/>
      <c r="L38" s="12"/>
      <c r="M38" s="12"/>
    </row>
    <row r="39" spans="1:13" x14ac:dyDescent="0.3">
      <c r="A39" s="12"/>
      <c r="B39" s="12"/>
      <c r="L39" s="12"/>
      <c r="M39" s="12"/>
    </row>
    <row r="40" spans="1:13" x14ac:dyDescent="0.3">
      <c r="A40" s="12"/>
      <c r="B40" s="12"/>
      <c r="L40" s="12"/>
      <c r="M40" s="12"/>
    </row>
    <row r="41" spans="1:13" x14ac:dyDescent="0.3">
      <c r="A41" s="12"/>
      <c r="B41" s="12"/>
      <c r="L41" s="12"/>
      <c r="M41" s="12"/>
    </row>
    <row r="42" spans="1:13" x14ac:dyDescent="0.3">
      <c r="A42" s="12"/>
      <c r="B42" s="12"/>
      <c r="L42" s="12"/>
      <c r="M42" s="12"/>
    </row>
    <row r="43" spans="1:13" x14ac:dyDescent="0.3">
      <c r="A43" s="12"/>
      <c r="B43" s="12"/>
      <c r="L43" s="12"/>
      <c r="M43" s="12"/>
    </row>
    <row r="44" spans="1:13" x14ac:dyDescent="0.3">
      <c r="A44" s="12"/>
      <c r="B44" s="12"/>
      <c r="L44" s="12"/>
      <c r="M44" s="12"/>
    </row>
    <row r="45" spans="1:13" x14ac:dyDescent="0.3">
      <c r="A45" s="12"/>
      <c r="B45" s="12"/>
      <c r="L45" s="12"/>
      <c r="M45" s="12"/>
    </row>
    <row r="46" spans="1:13" x14ac:dyDescent="0.3">
      <c r="A46" s="12"/>
      <c r="B46" s="12"/>
      <c r="L46" s="12"/>
      <c r="M46" s="12"/>
    </row>
  </sheetData>
  <phoneticPr fontId="13" type="noConversion"/>
  <printOptions horizontalCentered="1"/>
  <pageMargins left="0.7" right="0.7" top="0.75" bottom="0.75" header="0.3" footer="0.3"/>
  <headerFooter>
    <oddFooter>&amp;C© 2014 by the Casualty Actuarial Society. All rights reserved.</oddFooter>
  </headerFooter>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23957-24BA-4F13-ACAF-2B3E3732249B}">
  <dimension ref="A1:B4"/>
  <sheetViews>
    <sheetView workbookViewId="0">
      <selection activeCell="B5" sqref="B5"/>
    </sheetView>
  </sheetViews>
  <sheetFormatPr defaultRowHeight="14.4" x14ac:dyDescent="0.3"/>
  <cols>
    <col min="1" max="1" width="64" customWidth="1"/>
    <col min="2" max="2" width="9.88671875" bestFit="1" customWidth="1"/>
  </cols>
  <sheetData>
    <row r="1" spans="1:2" x14ac:dyDescent="0.3">
      <c r="A1" t="s">
        <v>173</v>
      </c>
      <c r="B1" s="163">
        <v>1236265</v>
      </c>
    </row>
    <row r="2" spans="1:2" x14ac:dyDescent="0.3">
      <c r="A2" t="s">
        <v>174</v>
      </c>
      <c r="B2">
        <f xml:space="preserve"> 2850000</f>
        <v>2850000</v>
      </c>
    </row>
    <row r="3" spans="1:2" x14ac:dyDescent="0.3">
      <c r="A3" t="s">
        <v>175</v>
      </c>
      <c r="B3">
        <v>1425000</v>
      </c>
    </row>
    <row r="4" spans="1:2" x14ac:dyDescent="0.3">
      <c r="A4" t="s">
        <v>176</v>
      </c>
      <c r="B4">
        <f>B2+B3</f>
        <v>4275000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version</vt:lpstr>
      <vt:lpstr>Intro</vt:lpstr>
      <vt:lpstr>Inputs</vt:lpstr>
      <vt:lpstr>0. Adjust losses for new book</vt:lpstr>
      <vt:lpstr>1. Loss Development Factor</vt:lpstr>
      <vt:lpstr>2. Loss Trend Factor -- 1</vt:lpstr>
      <vt:lpstr>2. Loss Trend Factor -- 2</vt:lpstr>
      <vt:lpstr>3. ULAE Factor</vt:lpstr>
      <vt:lpstr>4. Expected loss and loss ratio</vt:lpstr>
      <vt:lpstr>Sheet1</vt:lpstr>
      <vt:lpstr>Company</vt:lpstr>
      <vt:lpstr>EffDate</vt:lpstr>
      <vt:lpstr>EvalDate</vt:lpstr>
      <vt:lpstr>LatestYear</vt:lpstr>
      <vt:lpstr>LOB</vt:lpstr>
      <vt:lpstr>'2. Loss Trend Factor -- 1'!Print_Area</vt:lpstr>
      <vt:lpstr>'4. Expected loss and loss ratio'!Print_Area</vt:lpstr>
      <vt:lpstr>Intro!Print_Area</vt:lpstr>
      <vt:lpstr>State</vt:lpstr>
    </vt:vector>
  </TitlesOfParts>
  <Company>AON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Coleianne</dc:creator>
  <cp:lastModifiedBy>Shravani Samala</cp:lastModifiedBy>
  <cp:lastPrinted>2016-01-27T19:34:30Z</cp:lastPrinted>
  <dcterms:created xsi:type="dcterms:W3CDTF">2013-09-03T15:38:37Z</dcterms:created>
  <dcterms:modified xsi:type="dcterms:W3CDTF">2020-10-05T01:20:40Z</dcterms:modified>
</cp:coreProperties>
</file>