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C:\Users\shrav\Desktop\Actuarial Science Club\"/>
    </mc:Choice>
  </mc:AlternateContent>
  <xr:revisionPtr revIDLastSave="0" documentId="8_{E3B984A0-97BD-4468-A34B-87E3251E289C}" xr6:coauthVersionLast="45" xr6:coauthVersionMax="45" xr10:uidLastSave="{00000000-0000-0000-0000-000000000000}"/>
  <bookViews>
    <workbookView xWindow="-108" yWindow="-108" windowWidth="23256" windowHeight="12576" activeTab="2" xr2:uid="{F3B4A6FE-8C2B-9645-BE6A-4195388D791D}"/>
  </bookViews>
  <sheets>
    <sheet name="Instructions" sheetId="9" r:id="rId1"/>
    <sheet name="Actuarial Science" sheetId="10" r:id="rId2"/>
    <sheet name="Statistics" sheetId="8" r:id="rId3"/>
    <sheet name="Mathematics" sheetId="5" r:id="rId4"/>
    <sheet name="Revision Log" sheetId="11" state="hidden" r:id="rId5"/>
  </sheets>
  <definedNames>
    <definedName name="_xlnm._FilterDatabase" localSheetId="1" hidden="1">'Actuarial Science'!$AB$2:$AZ$40</definedName>
    <definedName name="_xlnm._FilterDatabase" localSheetId="3" hidden="1">Mathematics!$AB$3:$AZ$47</definedName>
    <definedName name="_xlnm._FilterDatabase" localSheetId="2" hidden="1">Statistics!$AB$2:$AZ$57</definedName>
    <definedName name="calculator_semester" localSheetId="1">'Actuarial Science'!$S$47</definedName>
    <definedName name="calculator_semester" localSheetId="2">Statistics!$S$37</definedName>
    <definedName name="calculator_semester">Mathematics!$S$39</definedName>
    <definedName name="engl" localSheetId="1">'Actuarial Science'!$AC$8</definedName>
    <definedName name="engl">Statistics!$AC$5</definedName>
    <definedName name="etm_courses" localSheetId="1">'Actuarial Science'!$R$6:$V$14</definedName>
    <definedName name="etm_courses" localSheetId="2">Statistics!$R$6:$V$7</definedName>
    <definedName name="etm_courses">Mathematics!$R$6:$V$7</definedName>
    <definedName name="etm_courses_index" localSheetId="1">'Actuarial Science'!$W$6:$W$14</definedName>
    <definedName name="etm_courses_index" localSheetId="2">Statistics!$W$6:$W$7</definedName>
    <definedName name="etm_courses_index">Mathematics!$W$6:$W$7</definedName>
    <definedName name="etm_fully_satisfied" localSheetId="1">'Actuarial Science'!$W$3</definedName>
    <definedName name="etm_fully_satisfied" localSheetId="2">Statistics!$W$3</definedName>
    <definedName name="etm_fully_satisfied">Mathematics!$W$3</definedName>
    <definedName name="etm_gpa" localSheetId="1">'Actuarial Science'!$R$16</definedName>
    <definedName name="etm_gpa" localSheetId="2">Statistics!$R$8</definedName>
    <definedName name="etm_gpa">Mathematics!$R$8</definedName>
    <definedName name="etm_items" localSheetId="1">'Actuarial Science'!$R$6:$V$16</definedName>
    <definedName name="etm_items" localSheetId="2">Statistics!$R$6:$V$8</definedName>
    <definedName name="etm_items">Mathematics!$R$6:$V$8</definedName>
    <definedName name="etm_items_satisfied" localSheetId="1">'Actuarial Science'!$Z$6:$Z$16</definedName>
    <definedName name="etm_items_satisfied" localSheetId="2">Statistics!$Z$6:$Z$8</definedName>
    <definedName name="etm_items_satisfied">Mathematics!$Z$6:$Z$8</definedName>
    <definedName name="etm_semester" localSheetId="1">'Actuarial Science'!$R$3</definedName>
    <definedName name="etm_semester" localSheetId="2">Statistics!$R$3</definedName>
    <definedName name="etm_semester">Mathematics!$R$3</definedName>
    <definedName name="ge_course" localSheetId="1">'Actuarial Science'!$R$21:$R$32</definedName>
    <definedName name="ge_course" localSheetId="2">Statistics!$R$12:$R$23</definedName>
    <definedName name="ge_course">Mathematics!$R$13:$R$24</definedName>
    <definedName name="ge_credits_required" localSheetId="1">'Actuarial Science'!$S$21:$S$32</definedName>
    <definedName name="ge_credits_required" localSheetId="2">Statistics!$S$12:$S$23</definedName>
    <definedName name="ge_credits_required">Mathematics!$S$13:$S$24</definedName>
    <definedName name="ge_credits_taken" localSheetId="1">'Actuarial Science'!$T$21:$T$32</definedName>
    <definedName name="ge_credits_taken" localSheetId="2">Statistics!$T$12:$T$23</definedName>
    <definedName name="ge_credits_taken">Mathematics!$T$13:$T$24</definedName>
    <definedName name="ge_satisfied" localSheetId="1">'Actuarial Science'!$V$21:$V$32</definedName>
    <definedName name="ge_satisfied" localSheetId="2">Statistics!$V$12:$V$23</definedName>
    <definedName name="ge_satisfied">Mathematics!$V$13:$V$24</definedName>
    <definedName name="ge_tr_AP_credits" localSheetId="1">'Actuarial Science'!$U$21:$U$32</definedName>
    <definedName name="ge_tr_AP_credits" localSheetId="2">Statistics!$U$12:$U$23</definedName>
    <definedName name="ge_tr_AP_credits">Mathematics!$U$13:$U$24</definedName>
    <definedName name="gpa" localSheetId="1">'Actuarial Science'!$Y$16</definedName>
    <definedName name="gpa" localSheetId="2">Statistics!$Y$8</definedName>
    <definedName name="gpa">Mathematics!$Y$8</definedName>
    <definedName name="gpa_tf" localSheetId="1">'Actuarial Science'!$S$48</definedName>
    <definedName name="gpa_tf" localSheetId="2">Statistics!$S$38</definedName>
    <definedName name="gpa_tf">Mathematics!$S$40</definedName>
    <definedName name="grade_letter" localSheetId="1">'Actuarial Science'!$BD$58:$BD$66</definedName>
    <definedName name="grade_letter" localSheetId="2">Statistics!$BD$50:$BD$58</definedName>
    <definedName name="grade_letter">Mathematics!$BD$52:$BD$60</definedName>
    <definedName name="grade_number" localSheetId="1">'Actuarial Science'!$BE$58:$BE$66</definedName>
    <definedName name="grade_number" localSheetId="2">Statistics!$BE$50:$BE$58</definedName>
    <definedName name="grade_number">Mathematics!$BE$52:$BE$60</definedName>
    <definedName name="req_at_after_semester" localSheetId="1">'Actuarial Science'!$AH$4:$AH$148</definedName>
    <definedName name="req_at_after_semester" localSheetId="2">Statistics!$AH$4:$AH$115</definedName>
    <definedName name="req_at_after_semester">Mathematics!$AH$4:$AH$126</definedName>
    <definedName name="req_before_semester" localSheetId="1">'Actuarial Science'!$AF$4:$AF$148</definedName>
    <definedName name="req_before_semester" localSheetId="2">Statistics!$AF$4:$AF$115</definedName>
    <definedName name="req_before_semester">Mathematics!$AF$4:$AF$126</definedName>
    <definedName name="req_before_semester_satisfied" localSheetId="1">'Actuarial Science'!$AG$4:$AG$148</definedName>
    <definedName name="req_before_semester_satisfied" localSheetId="2">Statistics!$AG$4:$AG$115</definedName>
    <definedName name="req_before_semester_satisfied">Mathematics!$AG$4:$AG$126</definedName>
    <definedName name="req_cb_satisfied" localSheetId="1">'Actuarial Science'!$AN$4:$AN$148</definedName>
    <definedName name="req_cb_satisfied" localSheetId="2">Statistics!$AN$4:$AN$115</definedName>
    <definedName name="req_cb_satisfied">Mathematics!$AN$4:$AN$126</definedName>
    <definedName name="req_corequisites" localSheetId="1">'Actuarial Science'!$AT$4:$AT$148</definedName>
    <definedName name="req_corequisites" localSheetId="2">Statistics!$AT$4:$AT$115</definedName>
    <definedName name="req_corequisites">Mathematics!$AT$4:$AT$126</definedName>
    <definedName name="req_course" localSheetId="1">'Actuarial Science'!$AC$4:$AC$148</definedName>
    <definedName name="req_course" localSheetId="2">Statistics!$AC$4:$AC$115</definedName>
    <definedName name="req_course">Mathematics!$AC$4:$AC$126</definedName>
    <definedName name="req_credits" localSheetId="1">'Actuarial Science'!$AO$4:$AO$148</definedName>
    <definedName name="req_credits" localSheetId="2">Statistics!$AO$4:$AO$115</definedName>
    <definedName name="req_credits">Mathematics!$AO$4:$AO$126</definedName>
    <definedName name="req_enteredmajor_cc_satisfied" localSheetId="1">'Actuarial Science'!$AI$4:$AI$148</definedName>
    <definedName name="req_enteredmajor_cc_satisfied" localSheetId="2">Statistics!$AI$4:$AI$115</definedName>
    <definedName name="req_enteredmajor_cc_satisfied">Mathematics!$AI$4:$AI$126</definedName>
    <definedName name="req_fallonly_springonly" localSheetId="1">'Actuarial Science'!$AK$4:$AK$148</definedName>
    <definedName name="req_fallonly_springonly" localSheetId="2">Statistics!$AK$4:$AK$115</definedName>
    <definedName name="req_fallonly_springonly">Mathematics!$AK$4:$AK$126</definedName>
    <definedName name="req_gecode" localSheetId="1">'Actuarial Science'!$AY$4:$AY$148</definedName>
    <definedName name="req_gecode" localSheetId="2">Statistics!$AY$4:$AY$115</definedName>
    <definedName name="req_gecode">Mathematics!$AY$4:$AY$126</definedName>
    <definedName name="req_odd_even" localSheetId="1">'Actuarial Science'!$AJ$4:$AJ$148</definedName>
    <definedName name="req_odd_even" localSheetId="2">Statistics!$AJ$4:$AJ$115</definedName>
    <definedName name="req_odd_even">Mathematics!$AJ$4:$AJ$126</definedName>
    <definedName name="req_prerequisites" localSheetId="1">'Actuarial Science'!$AP$4:$AP$148</definedName>
    <definedName name="req_prerequisites" localSheetId="2">Statistics!$AP$4:$AP$115</definedName>
    <definedName name="req_prerequisites">Mathematics!$AP$4:$AP$126</definedName>
    <definedName name="req_semester_taken" localSheetId="1">'Actuarial Science'!$AE$4:$AE$148</definedName>
    <definedName name="req_semester_taken" localSheetId="2">Statistics!$AE$4:$AE$115</definedName>
    <definedName name="req_semester_taken">Mathematics!$AE$4:$AE$126</definedName>
    <definedName name="req_tr_AP_credit" localSheetId="1">'Actuarial Science'!$AX$4:$AX$148</definedName>
    <definedName name="req_tr_AP_credit" localSheetId="2">Statistics!$AX$4:$AX$115</definedName>
    <definedName name="req_tr_AP_credit">Mathematics!$AX$4:$AX$126</definedName>
    <definedName name="schedule_count_cumulative_calculator" localSheetId="1">'Actuarial Science'!$B$2:$B$82</definedName>
    <definedName name="schedule_count_cumulative_calculator" localSheetId="2">Statistics!$B$2:$B$82</definedName>
    <definedName name="schedule_count_cumulative_calculator">Mathematics!$B$2:$B$82</definedName>
    <definedName name="schedule_count_cumulative_etm" localSheetId="1">'Actuarial Science'!$C$2:$C$82</definedName>
    <definedName name="schedule_count_cumulative_etm" localSheetId="2">Statistics!$C$2:$C$82</definedName>
    <definedName name="schedule_count_cumulative_etm">Mathematics!$C$2:$C$82</definedName>
    <definedName name="schedule_count_semester_calculator" localSheetId="1">'Actuarial Science'!$A$2:$A$82</definedName>
    <definedName name="schedule_count_semester_calculator" localSheetId="2">Statistics!$A$2:$A$82</definedName>
    <definedName name="schedule_count_semester_calculator">Mathematics!$A$2:$A$82</definedName>
    <definedName name="schedule_courses" localSheetId="1">'Actuarial Science'!$L$2:$L$82</definedName>
    <definedName name="schedule_courses" localSheetId="2">Statistics!$L$2:$L$82</definedName>
    <definedName name="schedule_courses">Mathematics!$L$2:$L$82</definedName>
    <definedName name="schedule_credits" localSheetId="1">'Actuarial Science'!$M$2:$M$82</definedName>
    <definedName name="schedule_credits" localSheetId="2">Statistics!$M$2:$M$82</definedName>
    <definedName name="schedule_credits">Mathematics!$M$2:$M$82</definedName>
    <definedName name="schedule_gecode" localSheetId="1">'Actuarial Science'!$N$2:$N$82</definedName>
    <definedName name="schedule_gecode" localSheetId="2">Statistics!$N$2:$N$82</definedName>
    <definedName name="schedule_gecode">Mathematics!$N$2:$N$82</definedName>
    <definedName name="schedule_grades" localSheetId="1">'Actuarial Science'!$K$2:$K$82</definedName>
    <definedName name="schedule_grades" localSheetId="2">Statistics!$K$2:$K$82</definedName>
    <definedName name="schedule_grades">Mathematics!$K$2:$K$82</definedName>
    <definedName name="schedule_n" localSheetId="1">'Actuarial Science'!$O$2:$O$82</definedName>
    <definedName name="schedule_n" localSheetId="2">Statistics!$O$2:$O$82</definedName>
    <definedName name="schedule_n">Mathematics!$O$2:$O$82</definedName>
    <definedName name="schedule_semester" localSheetId="1">'Actuarial Science'!$J$2:$J$82</definedName>
    <definedName name="schedule_semester" localSheetId="2">Statistics!$J$2:$J$82</definedName>
    <definedName name="schedule_semester">Mathematics!$J$2:$J$82</definedName>
    <definedName name="schedule_usil" localSheetId="1">'Actuarial Science'!$P$2:$P$82</definedName>
    <definedName name="schedule_usil" localSheetId="2">Statistics!$P$2:$P$82</definedName>
    <definedName name="schedule_usil">Mathematics!$P$2:$P$82</definedName>
    <definedName name="tf" localSheetId="1">'Actuarial Science'!$BD$69:$BD$70</definedName>
    <definedName name="tf" localSheetId="3">Mathematics!$BD$63:$BD$64</definedName>
    <definedName name="tf" localSheetId="2">Statistics!$BD$61:$BD$62</definedName>
    <definedName name="usil" localSheetId="1">'Actuarial Science'!$BD$73:$BD$74</definedName>
    <definedName name="usil" localSheetId="3">Mathematics!$BD$67:$BD$68</definedName>
    <definedName name="usil" localSheetId="2">Statistics!$BD$65:$BD$66</definedName>
    <definedName name="ws" localSheetId="1">'Actuarial Science'!$1:$1048576</definedName>
    <definedName name="ws" localSheetId="2">Statistics!$1:$1048576</definedName>
    <definedName name="ws">Mathematics!$1:$1048576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Q87" i="5" l="1"/>
  <c r="AR87" i="5"/>
  <c r="AU87" i="5"/>
  <c r="AV87" i="5"/>
  <c r="AW87" i="5" s="1"/>
  <c r="AD96" i="5"/>
  <c r="AE96" i="5"/>
  <c r="AG96" i="5" s="1"/>
  <c r="AF96" i="5"/>
  <c r="AI96" i="5"/>
  <c r="AL96" i="5"/>
  <c r="AN96" i="5"/>
  <c r="AD82" i="5"/>
  <c r="AE82" i="5"/>
  <c r="AF82" i="5"/>
  <c r="AG82" i="5"/>
  <c r="AI82" i="5"/>
  <c r="AJ82" i="5"/>
  <c r="AL82" i="5"/>
  <c r="AN82" i="5"/>
  <c r="AD83" i="5"/>
  <c r="AE83" i="5"/>
  <c r="AG83" i="5" s="1"/>
  <c r="AF83" i="5"/>
  <c r="AL83" i="5"/>
  <c r="AN83" i="5"/>
  <c r="AD84" i="5"/>
  <c r="AE84" i="5"/>
  <c r="AG84" i="5" s="1"/>
  <c r="AF84" i="5"/>
  <c r="AL84" i="5"/>
  <c r="AN84" i="5"/>
  <c r="AD85" i="5"/>
  <c r="AE85" i="5"/>
  <c r="AG85" i="5" s="1"/>
  <c r="AF85" i="5"/>
  <c r="AL85" i="5"/>
  <c r="AN85" i="5"/>
  <c r="AD86" i="5"/>
  <c r="AE86" i="5"/>
  <c r="AG86" i="5" s="1"/>
  <c r="AF86" i="5"/>
  <c r="AL86" i="5"/>
  <c r="AN86" i="5"/>
  <c r="AD87" i="5"/>
  <c r="AE87" i="5"/>
  <c r="AS87" i="5" s="1"/>
  <c r="AF87" i="5"/>
  <c r="AL87" i="5"/>
  <c r="AN87" i="5"/>
  <c r="AD88" i="5"/>
  <c r="AE88" i="5"/>
  <c r="AG88" i="5" s="1"/>
  <c r="AF88" i="5"/>
  <c r="AL88" i="5"/>
  <c r="AN88" i="5"/>
  <c r="AD89" i="5"/>
  <c r="AE89" i="5"/>
  <c r="AG89" i="5" s="1"/>
  <c r="AF89" i="5"/>
  <c r="AL89" i="5"/>
  <c r="AN89" i="5"/>
  <c r="AD90" i="5"/>
  <c r="AE90" i="5"/>
  <c r="AG90" i="5" s="1"/>
  <c r="AF90" i="5"/>
  <c r="AL90" i="5"/>
  <c r="AN90" i="5"/>
  <c r="AD91" i="5"/>
  <c r="AE91" i="5"/>
  <c r="AG91" i="5" s="1"/>
  <c r="AF91" i="5"/>
  <c r="AL91" i="5"/>
  <c r="AN91" i="5"/>
  <c r="AD92" i="5"/>
  <c r="AE92" i="5"/>
  <c r="AG92" i="5" s="1"/>
  <c r="AF92" i="5"/>
  <c r="AL92" i="5"/>
  <c r="AN92" i="5"/>
  <c r="AQ84" i="10"/>
  <c r="AR84" i="10"/>
  <c r="AU84" i="10"/>
  <c r="AD93" i="10"/>
  <c r="AE93" i="10"/>
  <c r="AG93" i="10" s="1"/>
  <c r="AL93" i="10"/>
  <c r="AN93" i="10"/>
  <c r="AD79" i="10"/>
  <c r="AE79" i="10"/>
  <c r="AG79" i="10" s="1"/>
  <c r="AL79" i="10"/>
  <c r="AN79" i="10"/>
  <c r="AD80" i="10"/>
  <c r="AE80" i="10"/>
  <c r="AL80" i="10"/>
  <c r="AN80" i="10"/>
  <c r="AD81" i="10"/>
  <c r="AE81" i="10"/>
  <c r="AL81" i="10"/>
  <c r="AN81" i="10"/>
  <c r="AD82" i="10"/>
  <c r="AE82" i="10"/>
  <c r="AL82" i="10"/>
  <c r="AN82" i="10"/>
  <c r="AD83" i="10"/>
  <c r="AE83" i="10"/>
  <c r="AG83" i="10" s="1"/>
  <c r="AL83" i="10"/>
  <c r="AN83" i="10"/>
  <c r="AD84" i="10"/>
  <c r="AE84" i="10"/>
  <c r="AG84" i="10" s="1"/>
  <c r="AL84" i="10"/>
  <c r="AN84" i="10"/>
  <c r="AD85" i="10"/>
  <c r="AE85" i="10"/>
  <c r="AL85" i="10"/>
  <c r="AN85" i="10"/>
  <c r="AD86" i="10"/>
  <c r="AE86" i="10"/>
  <c r="AL86" i="10"/>
  <c r="AN86" i="10"/>
  <c r="AD87" i="10"/>
  <c r="AE87" i="10"/>
  <c r="AL87" i="10"/>
  <c r="AN87" i="10"/>
  <c r="AD88" i="10"/>
  <c r="AE88" i="10"/>
  <c r="AG88" i="10" s="1"/>
  <c r="AL88" i="10"/>
  <c r="AN88" i="10"/>
  <c r="AD89" i="10"/>
  <c r="AE89" i="10"/>
  <c r="AG89" i="10" s="1"/>
  <c r="AL89" i="10"/>
  <c r="AN89" i="10"/>
  <c r="AD90" i="10"/>
  <c r="AE90" i="10"/>
  <c r="AL90" i="10"/>
  <c r="AN90" i="10"/>
  <c r="AD91" i="10"/>
  <c r="AE91" i="10"/>
  <c r="AG91" i="10" s="1"/>
  <c r="AL91" i="10"/>
  <c r="AN91" i="10"/>
  <c r="AD92" i="10"/>
  <c r="AE92" i="10"/>
  <c r="AG92" i="10" s="1"/>
  <c r="AL92" i="10"/>
  <c r="AN92" i="10"/>
  <c r="AD94" i="10"/>
  <c r="AE94" i="10"/>
  <c r="AG94" i="10" s="1"/>
  <c r="AL94" i="10"/>
  <c r="AN94" i="10"/>
  <c r="AD95" i="10"/>
  <c r="AE95" i="10"/>
  <c r="AG95" i="10" s="1"/>
  <c r="AL95" i="10"/>
  <c r="AN95" i="10"/>
  <c r="AD96" i="10"/>
  <c r="AE96" i="10"/>
  <c r="AG96" i="10" s="1"/>
  <c r="AL96" i="10"/>
  <c r="AN96" i="10"/>
  <c r="AJ96" i="5" l="1"/>
  <c r="AJ92" i="5"/>
  <c r="AJ90" i="5"/>
  <c r="AJ89" i="5"/>
  <c r="AJ88" i="5"/>
  <c r="AJ87" i="5"/>
  <c r="AJ86" i="5"/>
  <c r="AJ84" i="5"/>
  <c r="AJ83" i="5"/>
  <c r="AI92" i="5"/>
  <c r="AI91" i="5"/>
  <c r="AI90" i="5"/>
  <c r="AI89" i="5"/>
  <c r="AI88" i="5"/>
  <c r="AI87" i="5"/>
  <c r="AI86" i="5"/>
  <c r="AI85" i="5"/>
  <c r="AI84" i="5"/>
  <c r="AI83" i="5"/>
  <c r="AJ91" i="5"/>
  <c r="AJ85" i="5"/>
  <c r="AG87" i="5"/>
  <c r="AJ80" i="10"/>
  <c r="AJ93" i="10"/>
  <c r="AJ79" i="10"/>
  <c r="AJ96" i="10"/>
  <c r="AJ91" i="10"/>
  <c r="AJ89" i="10"/>
  <c r="AJ88" i="10"/>
  <c r="AJ85" i="10"/>
  <c r="AJ81" i="10"/>
  <c r="AI96" i="10"/>
  <c r="AI92" i="10"/>
  <c r="AI89" i="10"/>
  <c r="AI83" i="10"/>
  <c r="AJ94" i="10"/>
  <c r="AJ87" i="10"/>
  <c r="AJ83" i="10"/>
  <c r="AJ82" i="10"/>
  <c r="AJ95" i="10"/>
  <c r="AJ90" i="10"/>
  <c r="AJ86" i="10"/>
  <c r="AJ84" i="10"/>
  <c r="AI95" i="10"/>
  <c r="AI91" i="10"/>
  <c r="AI88" i="10"/>
  <c r="AI86" i="10"/>
  <c r="AI84" i="10"/>
  <c r="AI82" i="10"/>
  <c r="AI81" i="10"/>
  <c r="AI80" i="10"/>
  <c r="AI79" i="10"/>
  <c r="AI93" i="10"/>
  <c r="AJ92" i="10"/>
  <c r="AI94" i="10"/>
  <c r="AI90" i="10"/>
  <c r="AI87" i="10"/>
  <c r="AI85" i="10"/>
  <c r="AS84" i="10"/>
  <c r="AT18" i="10"/>
  <c r="AQ25" i="10" l="1"/>
  <c r="AR25" i="10"/>
  <c r="AQ26" i="10"/>
  <c r="AQ43" i="5" l="1"/>
  <c r="AR43" i="5"/>
  <c r="AS43" i="5" s="1"/>
  <c r="AU43" i="5"/>
  <c r="AV43" i="5"/>
  <c r="AW43" i="5" s="1"/>
  <c r="AQ44" i="5"/>
  <c r="AR44" i="5"/>
  <c r="AU44" i="5"/>
  <c r="AV44" i="5"/>
  <c r="AW44" i="5" s="1"/>
  <c r="AQ45" i="5"/>
  <c r="AR45" i="5"/>
  <c r="AS45" i="5" s="1"/>
  <c r="AU45" i="5"/>
  <c r="AV45" i="5"/>
  <c r="AW45" i="5" s="1"/>
  <c r="AQ46" i="5"/>
  <c r="AR46" i="5"/>
  <c r="AU46" i="5"/>
  <c r="AV46" i="5"/>
  <c r="AW46" i="5" s="1"/>
  <c r="AQ47" i="5"/>
  <c r="AR47" i="5"/>
  <c r="AS47" i="5" s="1"/>
  <c r="AU47" i="5"/>
  <c r="AV47" i="5"/>
  <c r="AW47" i="5" s="1"/>
  <c r="AD43" i="5"/>
  <c r="AE43" i="5"/>
  <c r="AI43" i="5" s="1"/>
  <c r="AF43" i="5"/>
  <c r="AL43" i="5"/>
  <c r="AN43" i="5"/>
  <c r="AD44" i="5"/>
  <c r="AE44" i="5"/>
  <c r="AG44" i="5" s="1"/>
  <c r="AF44" i="5"/>
  <c r="AL44" i="5"/>
  <c r="AN44" i="5"/>
  <c r="AD45" i="5"/>
  <c r="AE45" i="5"/>
  <c r="AI45" i="5" s="1"/>
  <c r="AF45" i="5"/>
  <c r="AL45" i="5"/>
  <c r="AN45" i="5"/>
  <c r="AD46" i="5"/>
  <c r="AE46" i="5"/>
  <c r="AG46" i="5" s="1"/>
  <c r="AF46" i="5"/>
  <c r="AL46" i="5"/>
  <c r="AN46" i="5"/>
  <c r="AD47" i="5"/>
  <c r="AE47" i="5"/>
  <c r="AI47" i="5" s="1"/>
  <c r="AF47" i="5"/>
  <c r="AL47" i="5"/>
  <c r="AN47" i="5"/>
  <c r="AQ42" i="10"/>
  <c r="AU42" i="10"/>
  <c r="AQ43" i="10"/>
  <c r="AU43" i="10"/>
  <c r="AQ44" i="10"/>
  <c r="AR44" i="10"/>
  <c r="AS44" i="10" s="1"/>
  <c r="AU44" i="10"/>
  <c r="AV44" i="10"/>
  <c r="AW44" i="10" s="1"/>
  <c r="AQ45" i="10"/>
  <c r="AU45" i="10"/>
  <c r="AV45" i="10"/>
  <c r="AW45" i="10" s="1"/>
  <c r="AQ46" i="10"/>
  <c r="AU46" i="10"/>
  <c r="AQ47" i="10"/>
  <c r="AU47" i="10"/>
  <c r="AQ48" i="10"/>
  <c r="AU48" i="10"/>
  <c r="AD43" i="10"/>
  <c r="AI43" i="10"/>
  <c r="AJ43" i="10"/>
  <c r="AL43" i="10"/>
  <c r="AN43" i="10"/>
  <c r="AD44" i="10"/>
  <c r="AI44" i="10"/>
  <c r="AJ44" i="10"/>
  <c r="AL44" i="10"/>
  <c r="AN44" i="10"/>
  <c r="AD45" i="10"/>
  <c r="AI45" i="10"/>
  <c r="AJ45" i="10"/>
  <c r="AL45" i="10"/>
  <c r="AN45" i="10"/>
  <c r="AD46" i="10"/>
  <c r="AE46" i="10"/>
  <c r="AJ46" i="10" s="1"/>
  <c r="AL46" i="10"/>
  <c r="AN46" i="10"/>
  <c r="AD47" i="10"/>
  <c r="AE47" i="10"/>
  <c r="AJ47" i="10" s="1"/>
  <c r="AL47" i="10"/>
  <c r="AN47" i="10"/>
  <c r="AD48" i="10"/>
  <c r="AE48" i="10"/>
  <c r="AI48" i="10" s="1"/>
  <c r="AL48" i="10"/>
  <c r="AN48" i="10"/>
  <c r="AQ51" i="8"/>
  <c r="AR51" i="8"/>
  <c r="AU51" i="8"/>
  <c r="AQ52" i="8"/>
  <c r="AU52" i="8"/>
  <c r="AQ53" i="8"/>
  <c r="AU53" i="8"/>
  <c r="AQ54" i="8"/>
  <c r="AU54" i="8"/>
  <c r="AQ55" i="8"/>
  <c r="AU55" i="8"/>
  <c r="AD51" i="8"/>
  <c r="AE51" i="8"/>
  <c r="AG51" i="8" s="1"/>
  <c r="AF51" i="8"/>
  <c r="AL51" i="8"/>
  <c r="AN51" i="8"/>
  <c r="AD52" i="8"/>
  <c r="AE52" i="8"/>
  <c r="AJ52" i="8" s="1"/>
  <c r="AF52" i="8"/>
  <c r="AL52" i="8"/>
  <c r="AN52" i="8"/>
  <c r="AD53" i="8"/>
  <c r="AE53" i="8"/>
  <c r="AJ53" i="8" s="1"/>
  <c r="AF53" i="8"/>
  <c r="AL53" i="8"/>
  <c r="AN53" i="8"/>
  <c r="AD54" i="8"/>
  <c r="AE54" i="8"/>
  <c r="AJ54" i="8" s="1"/>
  <c r="AF54" i="8"/>
  <c r="AL54" i="8"/>
  <c r="AN54" i="8"/>
  <c r="AD55" i="8"/>
  <c r="AE55" i="8"/>
  <c r="AJ55" i="8" s="1"/>
  <c r="AF55" i="8"/>
  <c r="AL55" i="8"/>
  <c r="AN55" i="8"/>
  <c r="AG45" i="5" l="1"/>
  <c r="AG47" i="5"/>
  <c r="AS46" i="5"/>
  <c r="AG43" i="5"/>
  <c r="AS44" i="5"/>
  <c r="AJ47" i="5"/>
  <c r="AJ45" i="5"/>
  <c r="AJ43" i="5"/>
  <c r="AJ46" i="5"/>
  <c r="AJ44" i="5"/>
  <c r="AI46" i="5"/>
  <c r="AI44" i="5"/>
  <c r="AJ51" i="8"/>
  <c r="AI51" i="8"/>
  <c r="AI52" i="8"/>
  <c r="AG52" i="8"/>
  <c r="AI55" i="8"/>
  <c r="AI54" i="8"/>
  <c r="AI53" i="8"/>
  <c r="AG55" i="8"/>
  <c r="AG54" i="8"/>
  <c r="AG53" i="8"/>
  <c r="AS51" i="8"/>
  <c r="AJ48" i="10"/>
  <c r="AG46" i="10"/>
  <c r="AI47" i="10"/>
  <c r="AG47" i="10"/>
  <c r="AG48" i="10"/>
  <c r="AI46" i="10"/>
  <c r="AO12" i="10" a="1"/>
  <c r="AO12" i="10" s="1"/>
  <c r="AO107" i="10" s="1"/>
  <c r="AC107" i="10"/>
  <c r="AD108" i="10"/>
  <c r="AE108" i="10"/>
  <c r="AG108" i="10" s="1"/>
  <c r="AL108" i="10"/>
  <c r="AN108" i="10"/>
  <c r="AD109" i="10"/>
  <c r="AE109" i="10"/>
  <c r="AG109" i="10" s="1"/>
  <c r="AL109" i="10"/>
  <c r="AN109" i="10"/>
  <c r="AD110" i="10"/>
  <c r="AE110" i="10"/>
  <c r="AG110" i="10" s="1"/>
  <c r="AL110" i="10"/>
  <c r="AN110" i="10"/>
  <c r="AR26" i="10" l="1"/>
  <c r="AS26" i="10" s="1"/>
  <c r="AV84" i="10"/>
  <c r="AW84" i="10" s="1"/>
  <c r="AR42" i="10"/>
  <c r="AS42" i="10" s="1"/>
  <c r="AV42" i="10"/>
  <c r="AW42" i="10" s="1"/>
  <c r="AR43" i="10"/>
  <c r="AS43" i="10" s="1"/>
  <c r="AV43" i="10"/>
  <c r="AW43" i="10" s="1"/>
  <c r="AR45" i="10"/>
  <c r="AS45" i="10" s="1"/>
  <c r="AR46" i="10"/>
  <c r="AS46" i="10" s="1"/>
  <c r="AV46" i="10"/>
  <c r="AW46" i="10" s="1"/>
  <c r="AR47" i="10"/>
  <c r="AS47" i="10" s="1"/>
  <c r="AV47" i="10"/>
  <c r="AW47" i="10" s="1"/>
  <c r="AR48" i="10"/>
  <c r="AS48" i="10" s="1"/>
  <c r="AV48" i="10"/>
  <c r="AW48" i="10" s="1"/>
  <c r="AI109" i="10"/>
  <c r="AJ109" i="10"/>
  <c r="AJ110" i="10"/>
  <c r="AJ108" i="10"/>
  <c r="AI110" i="10"/>
  <c r="AI108" i="10"/>
  <c r="S39" i="10" a="1"/>
  <c r="S39" i="10" s="1"/>
  <c r="S30" i="8" a="1"/>
  <c r="S30" i="8" s="1"/>
  <c r="W12" i="10"/>
  <c r="S31" i="5" l="1" a="1"/>
  <c r="S31" i="5" s="1"/>
  <c r="AP5" i="5" l="1"/>
  <c r="AQ5" i="5" s="1"/>
  <c r="AT5" i="5"/>
  <c r="AU5" i="5" s="1"/>
  <c r="AD5" i="5"/>
  <c r="AE5" i="5"/>
  <c r="AF5" i="5"/>
  <c r="AL5" i="5"/>
  <c r="AN5" i="5"/>
  <c r="AO13" i="5" a="1"/>
  <c r="AO13" i="5" s="1"/>
  <c r="AP13" i="5"/>
  <c r="AQ13" i="5" s="1"/>
  <c r="AU13" i="5"/>
  <c r="AV13" i="5"/>
  <c r="AW13" i="5" s="1"/>
  <c r="AD13" i="5"/>
  <c r="AE13" i="5"/>
  <c r="AF13" i="5"/>
  <c r="AL13" i="5"/>
  <c r="AN13" i="5"/>
  <c r="AU20" i="5"/>
  <c r="AV20" i="5"/>
  <c r="AW20" i="5" s="1"/>
  <c r="AP20" i="5" a="1"/>
  <c r="AP20" i="5" s="1"/>
  <c r="AQ20" i="5" s="1"/>
  <c r="AD20" i="5"/>
  <c r="AE20" i="5"/>
  <c r="AF20" i="5"/>
  <c r="AL20" i="5"/>
  <c r="AN20" i="5"/>
  <c r="AG20" i="5" l="1"/>
  <c r="AG5" i="5"/>
  <c r="AG13" i="5"/>
  <c r="AR5" i="5"/>
  <c r="AS5" i="5" s="1"/>
  <c r="AV5" i="5"/>
  <c r="AW5" i="5" s="1"/>
  <c r="AJ5" i="5"/>
  <c r="AI5" i="5"/>
  <c r="AJ13" i="5"/>
  <c r="AI13" i="5"/>
  <c r="AR13" i="5"/>
  <c r="AS13" i="5" s="1"/>
  <c r="AR20" i="5"/>
  <c r="AS20" i="5" s="1"/>
  <c r="AJ20" i="5"/>
  <c r="AI20" i="5"/>
  <c r="S35" i="5" a="1"/>
  <c r="S35" i="5" s="1"/>
  <c r="S33" i="5" a="1"/>
  <c r="S33" i="5" s="1"/>
  <c r="S32" i="8" a="1"/>
  <c r="S32" i="8" s="1"/>
  <c r="S34" i="8" a="1"/>
  <c r="S34" i="8" s="1"/>
  <c r="S33" i="8" a="1"/>
  <c r="S33" i="8" s="1"/>
  <c r="S43" i="10" a="1"/>
  <c r="S43" i="10" s="1"/>
  <c r="S41" i="10" a="1"/>
  <c r="S41" i="10" s="1"/>
  <c r="S42" i="10" a="1"/>
  <c r="S42" i="10" s="1"/>
  <c r="S34" i="5" l="1" a="1"/>
  <c r="S34" i="5" s="1"/>
  <c r="AQ40" i="10"/>
  <c r="AR40" i="10"/>
  <c r="AS40" i="10" s="1"/>
  <c r="AU40" i="10"/>
  <c r="AV40" i="10"/>
  <c r="AW40" i="10" s="1"/>
  <c r="AQ41" i="10"/>
  <c r="AR41" i="10"/>
  <c r="AS41" i="10" s="1"/>
  <c r="AU41" i="10"/>
  <c r="AV41" i="10"/>
  <c r="AW41" i="10" s="1"/>
  <c r="AQ49" i="10"/>
  <c r="AR49" i="10"/>
  <c r="AS49" i="10" s="1"/>
  <c r="AU49" i="10"/>
  <c r="AV49" i="10"/>
  <c r="AW49" i="10" s="1"/>
  <c r="AQ50" i="10"/>
  <c r="AR50" i="10"/>
  <c r="AS50" i="10" s="1"/>
  <c r="AU50" i="10"/>
  <c r="AV50" i="10"/>
  <c r="AW50" i="10" s="1"/>
  <c r="AQ51" i="10"/>
  <c r="AR51" i="10"/>
  <c r="AS51" i="10" s="1"/>
  <c r="AU51" i="10"/>
  <c r="AV51" i="10"/>
  <c r="AW51" i="10" s="1"/>
  <c r="AQ52" i="10"/>
  <c r="AR52" i="10"/>
  <c r="AS52" i="10" s="1"/>
  <c r="AU52" i="10"/>
  <c r="AV52" i="10"/>
  <c r="AW52" i="10" s="1"/>
  <c r="AQ53" i="10"/>
  <c r="AR53" i="10"/>
  <c r="AS53" i="10" s="1"/>
  <c r="AU53" i="10"/>
  <c r="AV53" i="10"/>
  <c r="AW53" i="10" s="1"/>
  <c r="AQ54" i="10"/>
  <c r="AR54" i="10"/>
  <c r="AS54" i="10" s="1"/>
  <c r="AU54" i="10"/>
  <c r="AV54" i="10"/>
  <c r="AW54" i="10" s="1"/>
  <c r="AQ55" i="10"/>
  <c r="AR55" i="10"/>
  <c r="AS55" i="10" s="1"/>
  <c r="AU55" i="10"/>
  <c r="AV55" i="10"/>
  <c r="AW55" i="10" s="1"/>
  <c r="AQ56" i="10"/>
  <c r="AR56" i="10"/>
  <c r="AS56" i="10" s="1"/>
  <c r="AU56" i="10"/>
  <c r="AV56" i="10"/>
  <c r="AW56" i="10" s="1"/>
  <c r="AQ57" i="10"/>
  <c r="AR57" i="10"/>
  <c r="AS57" i="10" s="1"/>
  <c r="AU57" i="10"/>
  <c r="AV57" i="10"/>
  <c r="AW57" i="10" s="1"/>
  <c r="AQ58" i="10"/>
  <c r="AR58" i="10"/>
  <c r="AS58" i="10" s="1"/>
  <c r="AU58" i="10"/>
  <c r="AV58" i="10"/>
  <c r="AW58" i="10" s="1"/>
  <c r="AD49" i="10"/>
  <c r="AE49" i="10"/>
  <c r="AL49" i="10"/>
  <c r="AN49" i="10"/>
  <c r="AD50" i="10"/>
  <c r="AE50" i="10"/>
  <c r="AL50" i="10"/>
  <c r="AN50" i="10"/>
  <c r="AD51" i="10"/>
  <c r="AE51" i="10"/>
  <c r="AG51" i="10" s="1"/>
  <c r="AL51" i="10"/>
  <c r="AN51" i="10"/>
  <c r="AD52" i="10"/>
  <c r="AE52" i="10"/>
  <c r="AJ52" i="10" s="1"/>
  <c r="AL52" i="10"/>
  <c r="AN52" i="10"/>
  <c r="AD53" i="10"/>
  <c r="AE53" i="10"/>
  <c r="AG53" i="10" s="1"/>
  <c r="AL53" i="10"/>
  <c r="AN53" i="10"/>
  <c r="AD54" i="10"/>
  <c r="AE54" i="10"/>
  <c r="AI54" i="10" s="1"/>
  <c r="AL54" i="10"/>
  <c r="AN54" i="10"/>
  <c r="AD55" i="10"/>
  <c r="AE55" i="10"/>
  <c r="AG55" i="10" s="1"/>
  <c r="AL55" i="10"/>
  <c r="AN55" i="10"/>
  <c r="AD56" i="10"/>
  <c r="AE56" i="10"/>
  <c r="AI56" i="10" s="1"/>
  <c r="AL56" i="10"/>
  <c r="AN56" i="10"/>
  <c r="AD57" i="10"/>
  <c r="AE57" i="10"/>
  <c r="AG57" i="10" s="1"/>
  <c r="AL57" i="10"/>
  <c r="AN57" i="10"/>
  <c r="AD58" i="10"/>
  <c r="AE58" i="10"/>
  <c r="AG58" i="10" s="1"/>
  <c r="AL58" i="10"/>
  <c r="AN58" i="10"/>
  <c r="AQ30" i="10"/>
  <c r="AR30" i="10"/>
  <c r="AS30" i="10" s="1"/>
  <c r="AU30" i="10"/>
  <c r="AV30" i="10"/>
  <c r="AW30" i="10" s="1"/>
  <c r="AQ31" i="10"/>
  <c r="AR31" i="10"/>
  <c r="AS31" i="10" s="1"/>
  <c r="AU31" i="10"/>
  <c r="AV31" i="10"/>
  <c r="AW31" i="10" s="1"/>
  <c r="AQ32" i="10"/>
  <c r="AR32" i="10"/>
  <c r="AS32" i="10" s="1"/>
  <c r="AU32" i="10"/>
  <c r="AV32" i="10"/>
  <c r="AW32" i="10" s="1"/>
  <c r="AD31" i="10"/>
  <c r="AE31" i="10"/>
  <c r="AG31" i="10" s="1"/>
  <c r="AL31" i="10"/>
  <c r="AN31" i="10"/>
  <c r="AD32" i="10"/>
  <c r="AE32" i="10"/>
  <c r="AG32" i="10" s="1"/>
  <c r="AL32" i="10"/>
  <c r="AN32" i="10"/>
  <c r="AD33" i="10"/>
  <c r="AE33" i="10"/>
  <c r="AL33" i="10"/>
  <c r="AN33" i="10"/>
  <c r="AQ41" i="5"/>
  <c r="AR41" i="5"/>
  <c r="AS41" i="5" s="1"/>
  <c r="AU41" i="5"/>
  <c r="AV41" i="5"/>
  <c r="AW41" i="5" s="1"/>
  <c r="AQ42" i="5"/>
  <c r="AR42" i="5"/>
  <c r="AS42" i="5" s="1"/>
  <c r="AU42" i="5"/>
  <c r="AV42" i="5"/>
  <c r="AW42" i="5" s="1"/>
  <c r="AQ48" i="5"/>
  <c r="AR48" i="5"/>
  <c r="AS48" i="5" s="1"/>
  <c r="AU48" i="5"/>
  <c r="AV48" i="5"/>
  <c r="AW48" i="5" s="1"/>
  <c r="AQ49" i="5"/>
  <c r="AR49" i="5"/>
  <c r="AS49" i="5" s="1"/>
  <c r="AU49" i="5"/>
  <c r="AV49" i="5"/>
  <c r="AW49" i="5" s="1"/>
  <c r="AQ50" i="5"/>
  <c r="AR50" i="5"/>
  <c r="AS50" i="5" s="1"/>
  <c r="AU50" i="5"/>
  <c r="AV50" i="5"/>
  <c r="AW50" i="5" s="1"/>
  <c r="AQ51" i="5"/>
  <c r="AR51" i="5"/>
  <c r="AS51" i="5" s="1"/>
  <c r="AU51" i="5"/>
  <c r="AV51" i="5"/>
  <c r="AW51" i="5" s="1"/>
  <c r="AQ52" i="5"/>
  <c r="AR52" i="5"/>
  <c r="AS52" i="5" s="1"/>
  <c r="AU52" i="5"/>
  <c r="AV52" i="5"/>
  <c r="AW52" i="5" s="1"/>
  <c r="AQ53" i="5"/>
  <c r="AR53" i="5"/>
  <c r="AS53" i="5" s="1"/>
  <c r="AU53" i="5"/>
  <c r="AV53" i="5"/>
  <c r="AW53" i="5" s="1"/>
  <c r="AQ54" i="5"/>
  <c r="AR54" i="5"/>
  <c r="AS54" i="5" s="1"/>
  <c r="AU54" i="5"/>
  <c r="AV54" i="5"/>
  <c r="AW54" i="5" s="1"/>
  <c r="AQ55" i="5"/>
  <c r="AR55" i="5"/>
  <c r="AS55" i="5" s="1"/>
  <c r="AU55" i="5"/>
  <c r="AV55" i="5"/>
  <c r="AW55" i="5" s="1"/>
  <c r="AQ56" i="5"/>
  <c r="AR56" i="5"/>
  <c r="AS56" i="5" s="1"/>
  <c r="AU56" i="5"/>
  <c r="AV56" i="5"/>
  <c r="AW56" i="5" s="1"/>
  <c r="AQ57" i="5"/>
  <c r="AR57" i="5"/>
  <c r="AS57" i="5" s="1"/>
  <c r="AU57" i="5"/>
  <c r="AV57" i="5"/>
  <c r="AW57" i="5" s="1"/>
  <c r="AQ58" i="5"/>
  <c r="AR58" i="5"/>
  <c r="AS58" i="5" s="1"/>
  <c r="AU58" i="5"/>
  <c r="AV58" i="5"/>
  <c r="AW58" i="5" s="1"/>
  <c r="AQ59" i="5"/>
  <c r="AR59" i="5"/>
  <c r="AS59" i="5" s="1"/>
  <c r="AU59" i="5"/>
  <c r="AV59" i="5"/>
  <c r="AW59" i="5" s="1"/>
  <c r="AQ60" i="5"/>
  <c r="AR60" i="5"/>
  <c r="AS60" i="5" s="1"/>
  <c r="AU60" i="5"/>
  <c r="AV60" i="5"/>
  <c r="AW60" i="5" s="1"/>
  <c r="AQ61" i="5"/>
  <c r="AR61" i="5"/>
  <c r="AS61" i="5" s="1"/>
  <c r="AU61" i="5"/>
  <c r="AV61" i="5"/>
  <c r="AW61" i="5" s="1"/>
  <c r="AD48" i="5"/>
  <c r="AE48" i="5"/>
  <c r="AF48" i="5"/>
  <c r="AL48" i="5"/>
  <c r="AN48" i="5"/>
  <c r="AD49" i="5"/>
  <c r="AE49" i="5"/>
  <c r="AJ49" i="5" s="1"/>
  <c r="AF49" i="5"/>
  <c r="AL49" i="5"/>
  <c r="AN49" i="5"/>
  <c r="AD50" i="5"/>
  <c r="AE50" i="5"/>
  <c r="AG50" i="5" s="1"/>
  <c r="AF50" i="5"/>
  <c r="AL50" i="5"/>
  <c r="AN50" i="5"/>
  <c r="AD51" i="5"/>
  <c r="AE51" i="5"/>
  <c r="AJ51" i="5" s="1"/>
  <c r="AF51" i="5"/>
  <c r="AL51" i="5"/>
  <c r="AN51" i="5"/>
  <c r="AD52" i="5"/>
  <c r="AE52" i="5"/>
  <c r="AG52" i="5" s="1"/>
  <c r="AF52" i="5"/>
  <c r="AL52" i="5"/>
  <c r="AN52" i="5"/>
  <c r="AD53" i="5"/>
  <c r="AE53" i="5"/>
  <c r="AG53" i="5" s="1"/>
  <c r="AF53" i="5"/>
  <c r="AL53" i="5"/>
  <c r="AN53" i="5"/>
  <c r="AD54" i="5"/>
  <c r="AE54" i="5"/>
  <c r="AG54" i="5" s="1"/>
  <c r="AF54" i="5"/>
  <c r="AL54" i="5"/>
  <c r="AN54" i="5"/>
  <c r="AD55" i="5"/>
  <c r="AE55" i="5"/>
  <c r="AG55" i="5" s="1"/>
  <c r="AF55" i="5"/>
  <c r="AL55" i="5"/>
  <c r="AN55" i="5"/>
  <c r="AD56" i="5"/>
  <c r="AE56" i="5"/>
  <c r="AG56" i="5" s="1"/>
  <c r="AF56" i="5"/>
  <c r="AL56" i="5"/>
  <c r="AN56" i="5"/>
  <c r="AD57" i="5"/>
  <c r="AE57" i="5"/>
  <c r="AJ57" i="5" s="1"/>
  <c r="AF57" i="5"/>
  <c r="AL57" i="5"/>
  <c r="AN57" i="5"/>
  <c r="AD58" i="5"/>
  <c r="AE58" i="5"/>
  <c r="AG58" i="5" s="1"/>
  <c r="AF58" i="5"/>
  <c r="AL58" i="5"/>
  <c r="AN58" i="5"/>
  <c r="AD59" i="5"/>
  <c r="AE59" i="5"/>
  <c r="AI59" i="5" s="1"/>
  <c r="AF59" i="5"/>
  <c r="AL59" i="5"/>
  <c r="AN59" i="5"/>
  <c r="AD60" i="5"/>
  <c r="AE60" i="5"/>
  <c r="AG60" i="5" s="1"/>
  <c r="AF60" i="5"/>
  <c r="AL60" i="5"/>
  <c r="AN60" i="5"/>
  <c r="AD61" i="5"/>
  <c r="AE61" i="5"/>
  <c r="AG61" i="5" s="1"/>
  <c r="AF61" i="5"/>
  <c r="AL61" i="5"/>
  <c r="AN61" i="5"/>
  <c r="AH26" i="5"/>
  <c r="AP37" i="8" a="1"/>
  <c r="AP37" i="8" s="1"/>
  <c r="AP34" i="8" a="1"/>
  <c r="AP34" i="8" s="1"/>
  <c r="AP31" i="8" a="1"/>
  <c r="AP31" i="8" s="1"/>
  <c r="AU57" i="8"/>
  <c r="AU58" i="8"/>
  <c r="AU59" i="8"/>
  <c r="AU60" i="8"/>
  <c r="AU61" i="8"/>
  <c r="AU62" i="8"/>
  <c r="AU63" i="8"/>
  <c r="AU64" i="8"/>
  <c r="AU65" i="8"/>
  <c r="AU66" i="8"/>
  <c r="AU67" i="8"/>
  <c r="AU68" i="8"/>
  <c r="AQ57" i="8"/>
  <c r="AQ58" i="8"/>
  <c r="AQ59" i="8"/>
  <c r="AQ60" i="8"/>
  <c r="AQ61" i="8"/>
  <c r="AQ62" i="8"/>
  <c r="AQ63" i="8"/>
  <c r="AQ64" i="8"/>
  <c r="AQ65" i="8"/>
  <c r="AQ66" i="8"/>
  <c r="AQ67" i="8"/>
  <c r="AQ68" i="8"/>
  <c r="AD58" i="8"/>
  <c r="AE58" i="8"/>
  <c r="AF58" i="8"/>
  <c r="AL58" i="8"/>
  <c r="AN58" i="8"/>
  <c r="AD59" i="8"/>
  <c r="AE59" i="8"/>
  <c r="AF59" i="8"/>
  <c r="AL59" i="8"/>
  <c r="AN59" i="8"/>
  <c r="AD60" i="8"/>
  <c r="AE60" i="8"/>
  <c r="AF60" i="8"/>
  <c r="AL60" i="8"/>
  <c r="AN60" i="8"/>
  <c r="AD61" i="8"/>
  <c r="AE61" i="8"/>
  <c r="AI61" i="8" s="1"/>
  <c r="AF61" i="8"/>
  <c r="AL61" i="8"/>
  <c r="AN61" i="8"/>
  <c r="AD62" i="8"/>
  <c r="AE62" i="8"/>
  <c r="AG62" i="8" s="1"/>
  <c r="AF62" i="8"/>
  <c r="AL62" i="8"/>
  <c r="AN62" i="8"/>
  <c r="AD63" i="8"/>
  <c r="AE63" i="8"/>
  <c r="AG63" i="8" s="1"/>
  <c r="AF63" i="8"/>
  <c r="AL63" i="8"/>
  <c r="AN63" i="8"/>
  <c r="AD64" i="8"/>
  <c r="AE64" i="8"/>
  <c r="AG64" i="8" s="1"/>
  <c r="AF64" i="8"/>
  <c r="AL64" i="8"/>
  <c r="AN64" i="8"/>
  <c r="AD65" i="8"/>
  <c r="AE65" i="8"/>
  <c r="AG65" i="8" s="1"/>
  <c r="AF65" i="8"/>
  <c r="AL65" i="8"/>
  <c r="AN65" i="8"/>
  <c r="AD66" i="8"/>
  <c r="AE66" i="8"/>
  <c r="AF66" i="8"/>
  <c r="AL66" i="8"/>
  <c r="AN66" i="8"/>
  <c r="AD67" i="8"/>
  <c r="AE67" i="8"/>
  <c r="AJ67" i="8" s="1"/>
  <c r="AF67" i="8"/>
  <c r="AL67" i="8"/>
  <c r="AN67" i="8"/>
  <c r="AD68" i="8"/>
  <c r="AE68" i="8"/>
  <c r="AJ68" i="8" s="1"/>
  <c r="AF68" i="8"/>
  <c r="AL68" i="8"/>
  <c r="AN68" i="8"/>
  <c r="AN57" i="8"/>
  <c r="AL57" i="8"/>
  <c r="AF57" i="8"/>
  <c r="AE57" i="8"/>
  <c r="AJ57" i="8" s="1"/>
  <c r="AD57" i="8"/>
  <c r="R16" i="10"/>
  <c r="AG60" i="8" l="1"/>
  <c r="AG66" i="8"/>
  <c r="AG58" i="8"/>
  <c r="AG59" i="8"/>
  <c r="AG48" i="5"/>
  <c r="AG67" i="8"/>
  <c r="AI59" i="8"/>
  <c r="AI51" i="5"/>
  <c r="AI57" i="5"/>
  <c r="AG51" i="5"/>
  <c r="AJ61" i="5"/>
  <c r="AI61" i="5"/>
  <c r="AJ55" i="5"/>
  <c r="AI55" i="5"/>
  <c r="AI49" i="5"/>
  <c r="AG57" i="5"/>
  <c r="AG49" i="5"/>
  <c r="AJ53" i="5"/>
  <c r="AI53" i="5"/>
  <c r="AG59" i="5"/>
  <c r="AJ59" i="5"/>
  <c r="AI32" i="10"/>
  <c r="AG54" i="10"/>
  <c r="AJ64" i="8"/>
  <c r="AI64" i="8"/>
  <c r="AJ65" i="8"/>
  <c r="AJ66" i="8"/>
  <c r="AI66" i="8"/>
  <c r="AG61" i="8"/>
  <c r="AI68" i="8"/>
  <c r="AG68" i="8"/>
  <c r="AI65" i="8"/>
  <c r="AI67" i="8"/>
  <c r="AJ62" i="8"/>
  <c r="AJ59" i="8"/>
  <c r="AJ53" i="10"/>
  <c r="AJ58" i="10"/>
  <c r="AI52" i="10"/>
  <c r="AJ49" i="10"/>
  <c r="AJ32" i="10"/>
  <c r="AJ54" i="10"/>
  <c r="AG52" i="10"/>
  <c r="AJ51" i="10"/>
  <c r="AJ33" i="10"/>
  <c r="AI58" i="10"/>
  <c r="AI33" i="10"/>
  <c r="AJ50" i="10"/>
  <c r="AI50" i="10"/>
  <c r="AJ56" i="10"/>
  <c r="AG56" i="10"/>
  <c r="AJ55" i="10"/>
  <c r="AI57" i="10"/>
  <c r="AI55" i="10"/>
  <c r="AI53" i="10"/>
  <c r="AI51" i="10"/>
  <c r="AI49" i="10"/>
  <c r="AJ57" i="10"/>
  <c r="AI31" i="10"/>
  <c r="AJ31" i="10"/>
  <c r="AJ60" i="5"/>
  <c r="AJ54" i="5"/>
  <c r="AJ48" i="5"/>
  <c r="AI60" i="5"/>
  <c r="AI58" i="5"/>
  <c r="AI56" i="5"/>
  <c r="AI54" i="5"/>
  <c r="AI52" i="5"/>
  <c r="AI50" i="5"/>
  <c r="AI48" i="5"/>
  <c r="AJ58" i="5"/>
  <c r="AJ56" i="5"/>
  <c r="AJ52" i="5"/>
  <c r="AJ50" i="5"/>
  <c r="AI62" i="8"/>
  <c r="AJ60" i="8"/>
  <c r="AI60" i="8"/>
  <c r="AJ58" i="8"/>
  <c r="AI58" i="8"/>
  <c r="AJ63" i="8"/>
  <c r="AI63" i="8"/>
  <c r="AJ61" i="8"/>
  <c r="AI57" i="8"/>
  <c r="AG57" i="8"/>
  <c r="B2" i="10" a="1"/>
  <c r="S32" i="5" a="1"/>
  <c r="S32" i="5" s="1"/>
  <c r="S30" i="5" a="1"/>
  <c r="S30" i="5" s="1"/>
  <c r="S29" i="5" a="1"/>
  <c r="S29" i="5" s="1"/>
  <c r="S28" i="5" a="1"/>
  <c r="S28" i="5" s="1"/>
  <c r="S38" i="10" a="1"/>
  <c r="S38" i="10" s="1"/>
  <c r="S37" i="10" a="1"/>
  <c r="S37" i="10" s="1"/>
  <c r="S36" i="10" a="1"/>
  <c r="S36" i="10" s="1"/>
  <c r="S40" i="10" a="1"/>
  <c r="S40" i="10" s="1"/>
  <c r="B2" i="10" l="1"/>
  <c r="R6" i="10"/>
  <c r="AD41" i="10"/>
  <c r="AE41" i="10"/>
  <c r="AL41" i="10"/>
  <c r="AN41" i="10"/>
  <c r="AD42" i="10"/>
  <c r="AE42" i="10"/>
  <c r="AI42" i="10" s="1"/>
  <c r="AL42" i="10"/>
  <c r="AN42" i="10"/>
  <c r="AD40" i="10"/>
  <c r="AE40" i="10"/>
  <c r="AL40" i="10"/>
  <c r="AN40" i="10"/>
  <c r="AB75" i="10" a="1"/>
  <c r="AB75" i="10" s="1"/>
  <c r="AF79" i="10" l="1"/>
  <c r="AF87" i="10"/>
  <c r="AG87" i="10" s="1"/>
  <c r="AF96" i="10"/>
  <c r="AF81" i="10"/>
  <c r="AG81" i="10" s="1"/>
  <c r="AF89" i="10"/>
  <c r="AF84" i="10"/>
  <c r="AF92" i="10"/>
  <c r="AF93" i="10"/>
  <c r="AF86" i="10"/>
  <c r="AG86" i="10" s="1"/>
  <c r="AF95" i="10"/>
  <c r="AF83" i="10"/>
  <c r="AF91" i="10"/>
  <c r="AF94" i="10"/>
  <c r="AF80" i="10"/>
  <c r="AG80" i="10" s="1"/>
  <c r="AF88" i="10"/>
  <c r="AF85" i="10"/>
  <c r="AG85" i="10" s="1"/>
  <c r="AF82" i="10"/>
  <c r="AG82" i="10" s="1"/>
  <c r="AF90" i="10"/>
  <c r="AG90" i="10" s="1"/>
  <c r="AJ42" i="10"/>
  <c r="AJ41" i="10"/>
  <c r="AI41" i="10"/>
  <c r="AJ40" i="10"/>
  <c r="AI40" i="10"/>
  <c r="AQ108" i="10"/>
  <c r="AR108" i="10"/>
  <c r="AS108" i="10" s="1"/>
  <c r="AU108" i="10"/>
  <c r="AV108" i="10"/>
  <c r="AW108" i="10" s="1"/>
  <c r="AQ109" i="10"/>
  <c r="AR109" i="10"/>
  <c r="AS109" i="10" s="1"/>
  <c r="AU109" i="10"/>
  <c r="AV109" i="10"/>
  <c r="AW109" i="10" s="1"/>
  <c r="AQ110" i="10"/>
  <c r="AR110" i="10"/>
  <c r="AS110" i="10" s="1"/>
  <c r="AU110" i="10"/>
  <c r="AV110" i="10"/>
  <c r="AW110" i="10" s="1"/>
  <c r="AB112" i="10" a="1"/>
  <c r="AB112" i="10" s="1"/>
  <c r="AB113" i="10" s="1"/>
  <c r="AD30" i="10"/>
  <c r="AE30" i="10"/>
  <c r="AN30" i="10"/>
  <c r="AJ30" i="10" l="1"/>
  <c r="AL30" i="10" s="1"/>
  <c r="AI30" i="10"/>
  <c r="AH23" i="10"/>
  <c r="AH22" i="10"/>
  <c r="AH21" i="10"/>
  <c r="AH20" i="10"/>
  <c r="AF10" i="10"/>
  <c r="AF11" i="10"/>
  <c r="R9" i="10"/>
  <c r="W14" i="10"/>
  <c r="W7" i="10"/>
  <c r="W8" i="10"/>
  <c r="W10" i="10"/>
  <c r="W11" i="10"/>
  <c r="W13" i="10"/>
  <c r="W6" i="10"/>
  <c r="AH50" i="8"/>
  <c r="AH49" i="8"/>
  <c r="AH16" i="8"/>
  <c r="AH15" i="8"/>
  <c r="AH14" i="8"/>
  <c r="AH13" i="8"/>
  <c r="AV99" i="10"/>
  <c r="AW99" i="10" s="1"/>
  <c r="AU99" i="10"/>
  <c r="AR99" i="10"/>
  <c r="AS99" i="10" s="1"/>
  <c r="AQ99" i="10"/>
  <c r="AV98" i="10"/>
  <c r="AW98" i="10" s="1"/>
  <c r="AU98" i="10"/>
  <c r="AR98" i="10"/>
  <c r="AS98" i="10" s="1"/>
  <c r="AQ98" i="10"/>
  <c r="AB98" i="10" a="1"/>
  <c r="AB98" i="10" s="1"/>
  <c r="AB99" i="10" s="1"/>
  <c r="AV97" i="10"/>
  <c r="AW97" i="10" s="1"/>
  <c r="AU97" i="10"/>
  <c r="AR97" i="10"/>
  <c r="AS97" i="10" s="1"/>
  <c r="AQ97" i="10"/>
  <c r="AV96" i="10"/>
  <c r="AW96" i="10" s="1"/>
  <c r="AU96" i="10"/>
  <c r="AR96" i="10"/>
  <c r="AS96" i="10" s="1"/>
  <c r="AQ96" i="10"/>
  <c r="AV95" i="10"/>
  <c r="AW95" i="10" s="1"/>
  <c r="AU95" i="10"/>
  <c r="AR95" i="10"/>
  <c r="AS95" i="10" s="1"/>
  <c r="AQ95" i="10"/>
  <c r="AV94" i="10"/>
  <c r="AW94" i="10" s="1"/>
  <c r="AU94" i="10"/>
  <c r="AR94" i="10"/>
  <c r="AS94" i="10" s="1"/>
  <c r="AQ94" i="10"/>
  <c r="AV93" i="10"/>
  <c r="AW93" i="10" s="1"/>
  <c r="AU93" i="10"/>
  <c r="AR93" i="10"/>
  <c r="AS93" i="10" s="1"/>
  <c r="AQ93" i="10"/>
  <c r="AV92" i="10"/>
  <c r="AW92" i="10" s="1"/>
  <c r="AU92" i="10"/>
  <c r="AR92" i="10"/>
  <c r="AQ92" i="10"/>
  <c r="AV91" i="10"/>
  <c r="AW91" i="10" s="1"/>
  <c r="AU91" i="10"/>
  <c r="AR91" i="10"/>
  <c r="AQ91" i="10"/>
  <c r="AV90" i="10"/>
  <c r="AW90" i="10" s="1"/>
  <c r="AU90" i="10"/>
  <c r="AR90" i="10"/>
  <c r="AS90" i="10" s="1"/>
  <c r="AQ90" i="10"/>
  <c r="AV89" i="10"/>
  <c r="AW89" i="10" s="1"/>
  <c r="AU89" i="10"/>
  <c r="AR89" i="10"/>
  <c r="AQ89" i="10"/>
  <c r="AV88" i="10"/>
  <c r="AW88" i="10" s="1"/>
  <c r="AU88" i="10"/>
  <c r="AR88" i="10"/>
  <c r="AQ88" i="10"/>
  <c r="AV87" i="10"/>
  <c r="AW87" i="10" s="1"/>
  <c r="AU87" i="10"/>
  <c r="AR87" i="10"/>
  <c r="AQ87" i="10"/>
  <c r="AV86" i="10"/>
  <c r="AW86" i="10" s="1"/>
  <c r="AU86" i="10"/>
  <c r="AR86" i="10"/>
  <c r="AQ86" i="10"/>
  <c r="AV85" i="10"/>
  <c r="AW85" i="10" s="1"/>
  <c r="AU85" i="10"/>
  <c r="AR85" i="10"/>
  <c r="AQ85" i="10"/>
  <c r="AV83" i="10"/>
  <c r="AW83" i="10" s="1"/>
  <c r="AU83" i="10"/>
  <c r="AR83" i="10"/>
  <c r="AQ83" i="10"/>
  <c r="AV82" i="10"/>
  <c r="AW82" i="10" s="1"/>
  <c r="AU82" i="10"/>
  <c r="AR82" i="10"/>
  <c r="AQ82" i="10"/>
  <c r="AV81" i="10"/>
  <c r="AW81" i="10" s="1"/>
  <c r="AU81" i="10"/>
  <c r="AR81" i="10"/>
  <c r="AQ81" i="10"/>
  <c r="AV80" i="10"/>
  <c r="AW80" i="10" s="1"/>
  <c r="AU80" i="10"/>
  <c r="AR80" i="10"/>
  <c r="AQ80" i="10"/>
  <c r="AV79" i="10"/>
  <c r="AW79" i="10" s="1"/>
  <c r="AU79" i="10"/>
  <c r="AR79" i="10"/>
  <c r="AQ79" i="10"/>
  <c r="AV78" i="10"/>
  <c r="AW78" i="10" s="1"/>
  <c r="AU78" i="10"/>
  <c r="AR78" i="10"/>
  <c r="AQ78" i="10"/>
  <c r="AN78" i="10"/>
  <c r="AL78" i="10"/>
  <c r="AF78" i="10"/>
  <c r="AE78" i="10"/>
  <c r="AD78" i="10"/>
  <c r="AV77" i="10"/>
  <c r="AW77" i="10" s="1"/>
  <c r="AU77" i="10"/>
  <c r="AR77" i="10"/>
  <c r="AS77" i="10" s="1"/>
  <c r="AQ77" i="10"/>
  <c r="AV76" i="10"/>
  <c r="AW76" i="10" s="1"/>
  <c r="AU76" i="10"/>
  <c r="AR76" i="10"/>
  <c r="AS76" i="10" s="1"/>
  <c r="AQ76" i="10"/>
  <c r="AV75" i="10"/>
  <c r="AW75" i="10" s="1"/>
  <c r="AU75" i="10"/>
  <c r="AR75" i="10"/>
  <c r="AS75" i="10" s="1"/>
  <c r="AQ75" i="10"/>
  <c r="AB76" i="10"/>
  <c r="AV74" i="10"/>
  <c r="AW74" i="10" s="1"/>
  <c r="AU74" i="10"/>
  <c r="AR74" i="10"/>
  <c r="AS74" i="10" s="1"/>
  <c r="AQ74" i="10"/>
  <c r="AV73" i="10"/>
  <c r="AW73" i="10" s="1"/>
  <c r="AU73" i="10"/>
  <c r="AR73" i="10"/>
  <c r="AQ73" i="10"/>
  <c r="AN73" i="10"/>
  <c r="AL73" i="10"/>
  <c r="AF73" i="10"/>
  <c r="AE73" i="10"/>
  <c r="AI73" i="10" s="1"/>
  <c r="AD73" i="10"/>
  <c r="AV72" i="10"/>
  <c r="AU72" i="10"/>
  <c r="AR72" i="10"/>
  <c r="AS72" i="10" s="1"/>
  <c r="AQ72" i="10"/>
  <c r="AN72" i="10"/>
  <c r="AL72" i="10"/>
  <c r="AF72" i="10"/>
  <c r="AE72" i="10"/>
  <c r="AI72" i="10" s="1"/>
  <c r="AD72" i="10"/>
  <c r="AV71" i="10"/>
  <c r="AW71" i="10" s="1"/>
  <c r="AU71" i="10"/>
  <c r="AR71" i="10"/>
  <c r="AQ71" i="10"/>
  <c r="AN71" i="10"/>
  <c r="AL71" i="10"/>
  <c r="AF71" i="10"/>
  <c r="AE71" i="10"/>
  <c r="AJ71" i="10" s="1"/>
  <c r="AD71" i="10"/>
  <c r="AV70" i="10"/>
  <c r="AW70" i="10" s="1"/>
  <c r="AU70" i="10"/>
  <c r="AR70" i="10"/>
  <c r="AQ70" i="10"/>
  <c r="AN70" i="10"/>
  <c r="AL70" i="10"/>
  <c r="AF70" i="10"/>
  <c r="AE70" i="10"/>
  <c r="AI70" i="10" s="1"/>
  <c r="AD70" i="10"/>
  <c r="AV69" i="10"/>
  <c r="AW69" i="10" s="1"/>
  <c r="AU69" i="10"/>
  <c r="AR69" i="10"/>
  <c r="AQ69" i="10"/>
  <c r="AN69" i="10"/>
  <c r="AL69" i="10"/>
  <c r="AF69" i="10"/>
  <c r="AE69" i="10"/>
  <c r="AI69" i="10" s="1"/>
  <c r="AD69" i="10"/>
  <c r="AV68" i="10"/>
  <c r="AW68" i="10" s="1"/>
  <c r="AU68" i="10"/>
  <c r="AR68" i="10"/>
  <c r="AS68" i="10" s="1"/>
  <c r="AQ68" i="10"/>
  <c r="AN68" i="10"/>
  <c r="AL68" i="10"/>
  <c r="AF68" i="10"/>
  <c r="AE68" i="10"/>
  <c r="AJ68" i="10" s="1"/>
  <c r="AD68" i="10"/>
  <c r="AV67" i="10"/>
  <c r="AW67" i="10" s="1"/>
  <c r="AU67" i="10"/>
  <c r="AR67" i="10"/>
  <c r="AS67" i="10" s="1"/>
  <c r="AQ67" i="10"/>
  <c r="AV66" i="10"/>
  <c r="AW66" i="10" s="1"/>
  <c r="AU66" i="10"/>
  <c r="AR66" i="10"/>
  <c r="AQ66" i="10"/>
  <c r="AN66" i="10"/>
  <c r="AL66" i="10"/>
  <c r="AF66" i="10"/>
  <c r="AE66" i="10"/>
  <c r="AD66" i="10"/>
  <c r="AV65" i="10"/>
  <c r="AW65" i="10" s="1"/>
  <c r="AU65" i="10"/>
  <c r="AR65" i="10"/>
  <c r="AS65" i="10" s="1"/>
  <c r="AQ65" i="10"/>
  <c r="AN65" i="10"/>
  <c r="AL65" i="10"/>
  <c r="AF65" i="10"/>
  <c r="AE65" i="10"/>
  <c r="AI65" i="10" s="1"/>
  <c r="AD65" i="10"/>
  <c r="AF43" i="10" l="1"/>
  <c r="AG43" i="10" s="1"/>
  <c r="AF44" i="10"/>
  <c r="AG44" i="10" s="1"/>
  <c r="AF45" i="10"/>
  <c r="AG45" i="10" s="1"/>
  <c r="AF46" i="10"/>
  <c r="AF47" i="10"/>
  <c r="AF48" i="10"/>
  <c r="AF108" i="10"/>
  <c r="AF109" i="10"/>
  <c r="AF110" i="10"/>
  <c r="AS91" i="10"/>
  <c r="AS92" i="10"/>
  <c r="AF51" i="10"/>
  <c r="AF49" i="10"/>
  <c r="AG49" i="10" s="1"/>
  <c r="AF56" i="10"/>
  <c r="AF33" i="10"/>
  <c r="AG33" i="10" s="1"/>
  <c r="AF32" i="10"/>
  <c r="AF55" i="10"/>
  <c r="AF31" i="10"/>
  <c r="AF57" i="10"/>
  <c r="AF50" i="10"/>
  <c r="AG50" i="10" s="1"/>
  <c r="AF53" i="10"/>
  <c r="AF54" i="10"/>
  <c r="AF58" i="10"/>
  <c r="AF52" i="10"/>
  <c r="AS70" i="10"/>
  <c r="AS73" i="10"/>
  <c r="AS79" i="10"/>
  <c r="AS87" i="10"/>
  <c r="AF41" i="10"/>
  <c r="AG41" i="10" s="1"/>
  <c r="AF42" i="10"/>
  <c r="AG42" i="10" s="1"/>
  <c r="AF40" i="10"/>
  <c r="AG40" i="10" s="1"/>
  <c r="AG78" i="10"/>
  <c r="AS81" i="10"/>
  <c r="AS86" i="10"/>
  <c r="AS82" i="10"/>
  <c r="AS78" i="10"/>
  <c r="AW72" i="10"/>
  <c r="W9" i="10"/>
  <c r="AF30" i="10"/>
  <c r="AG30" i="10" s="1"/>
  <c r="AF21" i="10"/>
  <c r="AF39" i="10"/>
  <c r="AF20" i="10"/>
  <c r="AF38" i="10"/>
  <c r="AF19" i="10"/>
  <c r="AF37" i="10"/>
  <c r="AF18" i="10"/>
  <c r="AF36" i="10"/>
  <c r="AF17" i="10"/>
  <c r="AF35" i="10"/>
  <c r="AF16" i="10"/>
  <c r="AF34" i="10"/>
  <c r="AF15" i="10"/>
  <c r="AF14" i="10"/>
  <c r="AF29" i="10"/>
  <c r="AF13" i="10"/>
  <c r="AF28" i="10"/>
  <c r="AF12" i="10"/>
  <c r="AF27" i="10"/>
  <c r="AF26" i="10"/>
  <c r="AF25" i="10"/>
  <c r="AF24" i="10"/>
  <c r="AF23" i="10"/>
  <c r="AF22" i="10"/>
  <c r="AJ78" i="10"/>
  <c r="AG65" i="10"/>
  <c r="AG66" i="10"/>
  <c r="AS85" i="10"/>
  <c r="AI78" i="10"/>
  <c r="AJ65" i="10"/>
  <c r="AS71" i="10"/>
  <c r="AS80" i="10"/>
  <c r="AS83" i="10"/>
  <c r="AJ70" i="10"/>
  <c r="AS89" i="10"/>
  <c r="AS66" i="10"/>
  <c r="AJ69" i="10"/>
  <c r="AJ72" i="10"/>
  <c r="AG69" i="10"/>
  <c r="AG71" i="10"/>
  <c r="AS69" i="10"/>
  <c r="AJ66" i="10"/>
  <c r="AI71" i="10"/>
  <c r="AS88" i="10"/>
  <c r="AG70" i="10"/>
  <c r="AI66" i="10"/>
  <c r="AG68" i="10"/>
  <c r="AI68" i="10"/>
  <c r="AG73" i="10"/>
  <c r="AG72" i="10"/>
  <c r="AJ73" i="10"/>
  <c r="AD25" i="10"/>
  <c r="AE25" i="10"/>
  <c r="AS25" i="10" s="1"/>
  <c r="AL25" i="10"/>
  <c r="AN25" i="10"/>
  <c r="AD26" i="10"/>
  <c r="AE26" i="10"/>
  <c r="AJ26" i="10" s="1"/>
  <c r="AL26" i="10"/>
  <c r="AN26" i="10"/>
  <c r="AD13" i="10"/>
  <c r="AE13" i="10"/>
  <c r="X13" i="10" s="1" a="1"/>
  <c r="X13" i="10" s="1"/>
  <c r="AL13" i="10"/>
  <c r="AN13" i="10"/>
  <c r="AD14" i="10"/>
  <c r="AE14" i="10"/>
  <c r="AI14" i="10" s="1"/>
  <c r="AL14" i="10"/>
  <c r="AN14" i="10"/>
  <c r="AD15" i="10"/>
  <c r="AE15" i="10"/>
  <c r="X12" i="10" s="1" a="1"/>
  <c r="X12" i="10" s="1"/>
  <c r="AL15" i="10"/>
  <c r="AN15" i="10"/>
  <c r="Y12" i="10" s="1" a="1"/>
  <c r="Y12" i="10" s="1"/>
  <c r="AD4" i="10"/>
  <c r="AE4" i="10"/>
  <c r="AF4" i="10"/>
  <c r="AL4" i="10"/>
  <c r="AN4" i="10"/>
  <c r="AD5" i="10"/>
  <c r="AE5" i="10"/>
  <c r="AI5" i="10" s="1"/>
  <c r="AF5" i="10"/>
  <c r="AL5" i="10"/>
  <c r="AN5" i="10"/>
  <c r="AD6" i="10"/>
  <c r="AE6" i="10"/>
  <c r="AF6" i="10"/>
  <c r="AL6" i="10"/>
  <c r="AN6" i="10"/>
  <c r="AP24" i="10" a="1"/>
  <c r="AP24" i="10" s="1"/>
  <c r="Z12" i="10" l="1"/>
  <c r="AG4" i="10"/>
  <c r="AG13" i="10"/>
  <c r="AG15" i="10"/>
  <c r="AG6" i="10"/>
  <c r="AG25" i="10"/>
  <c r="AI26" i="10"/>
  <c r="AG26" i="10"/>
  <c r="AJ25" i="10"/>
  <c r="AI25" i="10"/>
  <c r="AG14" i="10"/>
  <c r="AJ14" i="10"/>
  <c r="AI13" i="10"/>
  <c r="AJ15" i="10"/>
  <c r="AJ13" i="10"/>
  <c r="AI15" i="10"/>
  <c r="AG5" i="10"/>
  <c r="AI4" i="10"/>
  <c r="AJ6" i="10"/>
  <c r="AJ4" i="10"/>
  <c r="AI6" i="10"/>
  <c r="AJ5" i="10"/>
  <c r="AB147" i="10" a="1"/>
  <c r="AB147" i="10" s="1"/>
  <c r="AB148" i="10" s="1"/>
  <c r="AU145" i="10"/>
  <c r="AQ145" i="10"/>
  <c r="AN145" i="10"/>
  <c r="AL145" i="10"/>
  <c r="AF145" i="10"/>
  <c r="AE145" i="10"/>
  <c r="AJ145" i="10" s="1"/>
  <c r="AD145" i="10"/>
  <c r="AU144" i="10"/>
  <c r="AQ144" i="10"/>
  <c r="AN144" i="10"/>
  <c r="AL144" i="10"/>
  <c r="AF144" i="10"/>
  <c r="AE144" i="10"/>
  <c r="AJ144" i="10" s="1"/>
  <c r="AD144" i="10"/>
  <c r="AU143" i="10"/>
  <c r="AQ143" i="10"/>
  <c r="AN143" i="10"/>
  <c r="AL143" i="10"/>
  <c r="AF143" i="10"/>
  <c r="AE143" i="10"/>
  <c r="AJ143" i="10" s="1"/>
  <c r="AD143" i="10"/>
  <c r="AU142" i="10"/>
  <c r="AQ142" i="10"/>
  <c r="AN142" i="10"/>
  <c r="AL142" i="10"/>
  <c r="AF142" i="10"/>
  <c r="AE142" i="10"/>
  <c r="AJ142" i="10" s="1"/>
  <c r="AD142" i="10"/>
  <c r="AU132" i="10"/>
  <c r="AQ132" i="10"/>
  <c r="AN132" i="10"/>
  <c r="AL132" i="10"/>
  <c r="AF132" i="10"/>
  <c r="AE132" i="10"/>
  <c r="AJ132" i="10" s="1"/>
  <c r="AD132" i="10"/>
  <c r="AU131" i="10"/>
  <c r="AQ131" i="10"/>
  <c r="AN131" i="10"/>
  <c r="AL131" i="10"/>
  <c r="AF131" i="10"/>
  <c r="AE131" i="10"/>
  <c r="AJ131" i="10" s="1"/>
  <c r="AD131" i="10"/>
  <c r="AU130" i="10"/>
  <c r="AQ130" i="10"/>
  <c r="AN130" i="10"/>
  <c r="AL130" i="10"/>
  <c r="AF130" i="10"/>
  <c r="AE130" i="10"/>
  <c r="AJ130" i="10" s="1"/>
  <c r="AD130" i="10"/>
  <c r="AU129" i="10"/>
  <c r="AQ129" i="10"/>
  <c r="AN129" i="10"/>
  <c r="AL129" i="10"/>
  <c r="AF129" i="10"/>
  <c r="AE129" i="10"/>
  <c r="AJ129" i="10" s="1"/>
  <c r="AD129" i="10"/>
  <c r="AB122" i="10" a="1"/>
  <c r="AB122" i="10" s="1"/>
  <c r="AB123" i="10" s="1"/>
  <c r="AU120" i="10"/>
  <c r="AQ120" i="10"/>
  <c r="AN120" i="10"/>
  <c r="AL120" i="10"/>
  <c r="AF120" i="10"/>
  <c r="AE120" i="10"/>
  <c r="AJ120" i="10" s="1"/>
  <c r="AD120" i="10"/>
  <c r="AU119" i="10"/>
  <c r="AQ119" i="10"/>
  <c r="AN119" i="10"/>
  <c r="AL119" i="10"/>
  <c r="AF119" i="10"/>
  <c r="AE119" i="10"/>
  <c r="AJ119" i="10" s="1"/>
  <c r="AD119" i="10"/>
  <c r="AU118" i="10"/>
  <c r="AQ118" i="10"/>
  <c r="AN118" i="10"/>
  <c r="AL118" i="10"/>
  <c r="AF118" i="10"/>
  <c r="AE118" i="10"/>
  <c r="AI118" i="10" s="1"/>
  <c r="AD118" i="10"/>
  <c r="AU117" i="10"/>
  <c r="AQ117" i="10"/>
  <c r="AN117" i="10"/>
  <c r="AL117" i="10"/>
  <c r="AF117" i="10"/>
  <c r="AE117" i="10"/>
  <c r="AI117" i="10" s="1"/>
  <c r="AD117" i="10"/>
  <c r="AU116" i="10"/>
  <c r="AQ116" i="10"/>
  <c r="AN116" i="10"/>
  <c r="AL116" i="10"/>
  <c r="AF116" i="10"/>
  <c r="AE116" i="10"/>
  <c r="AJ116" i="10" s="1"/>
  <c r="AD116" i="10"/>
  <c r="AU115" i="10"/>
  <c r="AQ115" i="10"/>
  <c r="AN115" i="10"/>
  <c r="AL115" i="10"/>
  <c r="AF115" i="10"/>
  <c r="AE115" i="10"/>
  <c r="AD115" i="10"/>
  <c r="AU107" i="10"/>
  <c r="AR107" i="10"/>
  <c r="AQ107" i="10"/>
  <c r="AN107" i="10"/>
  <c r="AL107" i="10"/>
  <c r="AF107" i="10"/>
  <c r="AE107" i="10"/>
  <c r="AJ107" i="10" s="1"/>
  <c r="AD107" i="10"/>
  <c r="AU105" i="10"/>
  <c r="AR105" i="10"/>
  <c r="AQ105" i="10"/>
  <c r="AN105" i="10"/>
  <c r="AL105" i="10"/>
  <c r="AF105" i="10"/>
  <c r="AE105" i="10"/>
  <c r="AJ105" i="10" s="1"/>
  <c r="AD105" i="10"/>
  <c r="AU104" i="10"/>
  <c r="AQ104" i="10"/>
  <c r="AN104" i="10"/>
  <c r="AL104" i="10"/>
  <c r="AF104" i="10"/>
  <c r="AE104" i="10"/>
  <c r="AJ104" i="10" s="1"/>
  <c r="AD104" i="10"/>
  <c r="AU24" i="10"/>
  <c r="AR24" i="10"/>
  <c r="AQ24" i="10"/>
  <c r="AN24" i="10"/>
  <c r="AL24" i="10"/>
  <c r="AE24" i="10"/>
  <c r="AI24" i="10" s="1"/>
  <c r="AD24" i="10"/>
  <c r="AV18" i="10"/>
  <c r="AU18" i="10"/>
  <c r="AQ18" i="10"/>
  <c r="AN18" i="10"/>
  <c r="AL18" i="10"/>
  <c r="AE18" i="10"/>
  <c r="AJ18" i="10" s="1"/>
  <c r="AD18" i="10"/>
  <c r="AV17" i="10"/>
  <c r="AU17" i="10"/>
  <c r="AQ17" i="10"/>
  <c r="AN17" i="10"/>
  <c r="AL17" i="10"/>
  <c r="AE17" i="10"/>
  <c r="AJ17" i="10" s="1"/>
  <c r="AD17" i="10"/>
  <c r="AU39" i="10"/>
  <c r="AR39" i="10"/>
  <c r="AQ39" i="10"/>
  <c r="AN39" i="10"/>
  <c r="AL39" i="10"/>
  <c r="AE39" i="10"/>
  <c r="AI39" i="10" s="1"/>
  <c r="AD39" i="10"/>
  <c r="AU38" i="10"/>
  <c r="AP38" i="10"/>
  <c r="AR38" i="10" s="1"/>
  <c r="AN38" i="10"/>
  <c r="AL38" i="10"/>
  <c r="AE38" i="10"/>
  <c r="AJ38" i="10" s="1"/>
  <c r="AD38" i="10"/>
  <c r="AU37" i="10"/>
  <c r="AN37" i="10"/>
  <c r="AL37" i="10"/>
  <c r="AE37" i="10"/>
  <c r="AJ37" i="10" s="1"/>
  <c r="AD37" i="10"/>
  <c r="AU36" i="10"/>
  <c r="AQ36" i="10"/>
  <c r="AN36" i="10"/>
  <c r="AL36" i="10"/>
  <c r="AE36" i="10"/>
  <c r="AD36" i="10"/>
  <c r="AU35" i="10"/>
  <c r="AQ35" i="10"/>
  <c r="AN35" i="10"/>
  <c r="AL35" i="10"/>
  <c r="AE35" i="10"/>
  <c r="AJ35" i="10" s="1"/>
  <c r="AD35" i="10"/>
  <c r="AU34" i="10"/>
  <c r="AQ34" i="10"/>
  <c r="AN34" i="10"/>
  <c r="AL34" i="10"/>
  <c r="AE34" i="10"/>
  <c r="X10" i="10" s="1" a="1"/>
  <c r="X10" i="10" s="1"/>
  <c r="AD34" i="10"/>
  <c r="AU33" i="10"/>
  <c r="AQ33" i="10"/>
  <c r="T31" i="10"/>
  <c r="V31" i="10" s="1"/>
  <c r="T30" i="10"/>
  <c r="V30" i="10" s="1"/>
  <c r="T29" i="10"/>
  <c r="V29" i="10" s="1"/>
  <c r="AV28" i="10"/>
  <c r="AU28" i="10"/>
  <c r="AQ28" i="10"/>
  <c r="AN28" i="10"/>
  <c r="AL28" i="10"/>
  <c r="AE28" i="10"/>
  <c r="AJ28" i="10" s="1"/>
  <c r="AD28" i="10"/>
  <c r="AV29" i="10"/>
  <c r="AU29" i="10"/>
  <c r="AQ29" i="10"/>
  <c r="AN29" i="10"/>
  <c r="AL29" i="10"/>
  <c r="AE29" i="10"/>
  <c r="AI29" i="10" s="1"/>
  <c r="AD29" i="10"/>
  <c r="AU27" i="10"/>
  <c r="AQ27" i="10"/>
  <c r="AN27" i="10"/>
  <c r="AL27" i="10"/>
  <c r="AE27" i="10"/>
  <c r="AJ27" i="10" s="1"/>
  <c r="AD27" i="10"/>
  <c r="AU23" i="10"/>
  <c r="AR23" i="10"/>
  <c r="AQ23" i="10"/>
  <c r="AN23" i="10"/>
  <c r="AE23" i="10"/>
  <c r="AJ23" i="10" s="1"/>
  <c r="AL23" i="10" s="1"/>
  <c r="AD23" i="10"/>
  <c r="AU22" i="10"/>
  <c r="AR22" i="10"/>
  <c r="AQ22" i="10"/>
  <c r="AN22" i="10"/>
  <c r="AE22" i="10"/>
  <c r="AJ22" i="10" s="1"/>
  <c r="AL22" i="10" s="1"/>
  <c r="AD22" i="10"/>
  <c r="AU21" i="10"/>
  <c r="AR21" i="10"/>
  <c r="AQ21" i="10"/>
  <c r="AN21" i="10"/>
  <c r="AL21" i="10"/>
  <c r="AE21" i="10"/>
  <c r="AJ21" i="10" s="1"/>
  <c r="AD21" i="10"/>
  <c r="AU20" i="10"/>
  <c r="AR20" i="10"/>
  <c r="AQ20" i="10"/>
  <c r="AN20" i="10"/>
  <c r="AL20" i="10"/>
  <c r="AE20" i="10"/>
  <c r="AI20" i="10" s="1"/>
  <c r="AD20" i="10"/>
  <c r="AU19" i="10"/>
  <c r="AQ19" i="10"/>
  <c r="AN19" i="10"/>
  <c r="AL19" i="10"/>
  <c r="AH19" i="10"/>
  <c r="AE19" i="10"/>
  <c r="AJ19" i="10" s="1"/>
  <c r="AD19" i="10"/>
  <c r="AU16" i="10"/>
  <c r="AQ16" i="10"/>
  <c r="AN16" i="10"/>
  <c r="AL16" i="10"/>
  <c r="AE16" i="10"/>
  <c r="AJ16" i="10" s="1"/>
  <c r="AD16" i="10"/>
  <c r="AU12" i="10"/>
  <c r="AR12" i="10"/>
  <c r="AQ12" i="10"/>
  <c r="AN12" i="10"/>
  <c r="AL12" i="10"/>
  <c r="AE12" i="10"/>
  <c r="AJ12" i="10" s="1"/>
  <c r="AD12" i="10"/>
  <c r="AU11" i="10"/>
  <c r="AR11" i="10"/>
  <c r="AQ11" i="10"/>
  <c r="AN11" i="10"/>
  <c r="AL11" i="10"/>
  <c r="AE11" i="10"/>
  <c r="AD11" i="10"/>
  <c r="AU10" i="10"/>
  <c r="AQ10" i="10"/>
  <c r="AN10" i="10"/>
  <c r="AL10" i="10"/>
  <c r="AE10" i="10"/>
  <c r="AD10" i="10"/>
  <c r="AU9" i="10"/>
  <c r="AQ9" i="10"/>
  <c r="AN9" i="10"/>
  <c r="AL9" i="10"/>
  <c r="AF9" i="10"/>
  <c r="AE9" i="10"/>
  <c r="AI9" i="10" s="1"/>
  <c r="AD9" i="10"/>
  <c r="AU8" i="10"/>
  <c r="AQ8" i="10"/>
  <c r="AN8" i="10"/>
  <c r="AL8" i="10"/>
  <c r="AF8" i="10"/>
  <c r="AE8" i="10"/>
  <c r="AD8" i="10"/>
  <c r="AU7" i="10"/>
  <c r="AQ7" i="10"/>
  <c r="AN7" i="10"/>
  <c r="AL7" i="10"/>
  <c r="AF7" i="10"/>
  <c r="AE7" i="10"/>
  <c r="AD7" i="10"/>
  <c r="C2" i="10" a="1"/>
  <c r="A2" i="10" a="1"/>
  <c r="AU23" i="8"/>
  <c r="AU24" i="8"/>
  <c r="AU25" i="8"/>
  <c r="AU26" i="8"/>
  <c r="AU28" i="8"/>
  <c r="AU29" i="8"/>
  <c r="AU30" i="8"/>
  <c r="AU31" i="8"/>
  <c r="AU32" i="8"/>
  <c r="AU33" i="8"/>
  <c r="AU34" i="8"/>
  <c r="AU35" i="8"/>
  <c r="AU36" i="8"/>
  <c r="AU37" i="8"/>
  <c r="AU38" i="8"/>
  <c r="AU39" i="8"/>
  <c r="AU40" i="8"/>
  <c r="AU41" i="8"/>
  <c r="AU42" i="8"/>
  <c r="AU43" i="8"/>
  <c r="AU44" i="8"/>
  <c r="AU45" i="8"/>
  <c r="AU46" i="8"/>
  <c r="AU49" i="8"/>
  <c r="AU50" i="8"/>
  <c r="AQ25" i="8"/>
  <c r="AQ40" i="8"/>
  <c r="AQ41" i="8"/>
  <c r="AQ42" i="8"/>
  <c r="AQ47" i="8"/>
  <c r="AQ48" i="8"/>
  <c r="AP26" i="8" a="1"/>
  <c r="AP26" i="8" s="1"/>
  <c r="AQ26" i="8" s="1"/>
  <c r="AO26" i="8" a="1"/>
  <c r="AO26" i="8" s="1"/>
  <c r="AT27" i="8" a="1"/>
  <c r="AT27" i="8" s="1"/>
  <c r="AP27" i="8" a="1"/>
  <c r="AP27" i="8" s="1"/>
  <c r="AQ27" i="8" s="1"/>
  <c r="AP28" i="8" a="1"/>
  <c r="AP28" i="8" s="1"/>
  <c r="AC36" i="8"/>
  <c r="AP36" i="8" s="1" a="1"/>
  <c r="AP36" i="8" s="1"/>
  <c r="AC35" i="8"/>
  <c r="AF35" i="8" s="1"/>
  <c r="AL33" i="8"/>
  <c r="AF34" i="8"/>
  <c r="AL34" i="8"/>
  <c r="AL35" i="8"/>
  <c r="AL36" i="8"/>
  <c r="AF37" i="8"/>
  <c r="AL37" i="8"/>
  <c r="AF31" i="8"/>
  <c r="AL31" i="8"/>
  <c r="AL32" i="8"/>
  <c r="AL38" i="8"/>
  <c r="AL39" i="8"/>
  <c r="AC38" i="8"/>
  <c r="AC32" i="8"/>
  <c r="AL29" i="8"/>
  <c r="AL30" i="8"/>
  <c r="AC29" i="8"/>
  <c r="AC39" i="8"/>
  <c r="AC33" i="8"/>
  <c r="AC30" i="8"/>
  <c r="AN49" i="8"/>
  <c r="AL49" i="8"/>
  <c r="AF49" i="8"/>
  <c r="AN48" i="8"/>
  <c r="AL48" i="8"/>
  <c r="AF48" i="8"/>
  <c r="AN47" i="8"/>
  <c r="AL47" i="8"/>
  <c r="AF47" i="8"/>
  <c r="AL46" i="8"/>
  <c r="AF46" i="8"/>
  <c r="AL45" i="8"/>
  <c r="AF45" i="8"/>
  <c r="AL44" i="8"/>
  <c r="AF44" i="8"/>
  <c r="AL43" i="8"/>
  <c r="AF43" i="8"/>
  <c r="AN42" i="8"/>
  <c r="AL42" i="8"/>
  <c r="AF42" i="8"/>
  <c r="AN41" i="8"/>
  <c r="AL41" i="8"/>
  <c r="AF41" i="8"/>
  <c r="AL40" i="8"/>
  <c r="AF40" i="8"/>
  <c r="AN50" i="8"/>
  <c r="AG115" i="10" l="1"/>
  <c r="AR52" i="8"/>
  <c r="AS52" i="8" s="1"/>
  <c r="AR53" i="8"/>
  <c r="AS53" i="8" s="1"/>
  <c r="AR54" i="8"/>
  <c r="AS54" i="8" s="1"/>
  <c r="AR55" i="8"/>
  <c r="AS55" i="8" s="1"/>
  <c r="AV51" i="8"/>
  <c r="AW51" i="8" s="1"/>
  <c r="AV52" i="8"/>
  <c r="AW52" i="8" s="1"/>
  <c r="AV53" i="8"/>
  <c r="AW53" i="8" s="1"/>
  <c r="AV54" i="8"/>
  <c r="AW54" i="8" s="1"/>
  <c r="AV55" i="8"/>
  <c r="AW55" i="8" s="1"/>
  <c r="AF30" i="8"/>
  <c r="AV62" i="8"/>
  <c r="AW62" i="8" s="1"/>
  <c r="AV68" i="8"/>
  <c r="AW68" i="8" s="1"/>
  <c r="AV61" i="8"/>
  <c r="AW61" i="8" s="1"/>
  <c r="AV63" i="8"/>
  <c r="AW63" i="8" s="1"/>
  <c r="AV59" i="8"/>
  <c r="AW59" i="8" s="1"/>
  <c r="AV64" i="8"/>
  <c r="AW64" i="8" s="1"/>
  <c r="AV57" i="8"/>
  <c r="AW57" i="8" s="1"/>
  <c r="AV65" i="8"/>
  <c r="AW65" i="8" s="1"/>
  <c r="AV58" i="8"/>
  <c r="AW58" i="8" s="1"/>
  <c r="AV66" i="8"/>
  <c r="AW66" i="8" s="1"/>
  <c r="AV67" i="8"/>
  <c r="AW67" i="8" s="1"/>
  <c r="AV60" i="8"/>
  <c r="AW60" i="8" s="1"/>
  <c r="AR58" i="8"/>
  <c r="AS58" i="8" s="1"/>
  <c r="AR66" i="8"/>
  <c r="AS66" i="8" s="1"/>
  <c r="AR59" i="8"/>
  <c r="AS59" i="8" s="1"/>
  <c r="AR67" i="8"/>
  <c r="AS67" i="8" s="1"/>
  <c r="AR60" i="8"/>
  <c r="AS60" i="8" s="1"/>
  <c r="AR68" i="8"/>
  <c r="AS68" i="8" s="1"/>
  <c r="AR63" i="8"/>
  <c r="AS63" i="8" s="1"/>
  <c r="AR65" i="8"/>
  <c r="AS65" i="8" s="1"/>
  <c r="AR61" i="8"/>
  <c r="AS61" i="8" s="1"/>
  <c r="AR62" i="8"/>
  <c r="AS62" i="8" s="1"/>
  <c r="AR64" i="8"/>
  <c r="AS64" i="8" s="1"/>
  <c r="AR57" i="8"/>
  <c r="AS57" i="8" s="1"/>
  <c r="AF32" i="8"/>
  <c r="AP32" i="8" a="1"/>
  <c r="AP32" i="8" s="1"/>
  <c r="AI10" i="10"/>
  <c r="X7" i="10" a="1"/>
  <c r="X7" i="10" s="1"/>
  <c r="AI8" i="10"/>
  <c r="X6" i="10" a="1"/>
  <c r="X6" i="10" s="1"/>
  <c r="X11" i="10" a="1"/>
  <c r="X11" i="10" s="1"/>
  <c r="AJ36" i="10"/>
  <c r="X14" i="10" a="1"/>
  <c r="X14" i="10" s="1"/>
  <c r="AJ11" i="10"/>
  <c r="X8" i="10" a="1"/>
  <c r="X8" i="10" s="1"/>
  <c r="X9" i="10" a="1"/>
  <c r="X9" i="10" s="1"/>
  <c r="A2" i="10"/>
  <c r="C2" i="10"/>
  <c r="AJ34" i="10"/>
  <c r="AP35" i="8" a="1"/>
  <c r="AP35" i="8" s="1"/>
  <c r="AP38" i="8" a="1"/>
  <c r="AP38" i="8" s="1"/>
  <c r="AQ38" i="8" s="1"/>
  <c r="AP33" i="8" a="1"/>
  <c r="AP33" i="8" s="1"/>
  <c r="AS21" i="10"/>
  <c r="AS23" i="10"/>
  <c r="AJ10" i="10"/>
  <c r="AG132" i="10"/>
  <c r="AW28" i="10"/>
  <c r="AI132" i="10"/>
  <c r="AS38" i="10"/>
  <c r="M2" i="10" a="1"/>
  <c r="AJ29" i="10"/>
  <c r="AJ39" i="10"/>
  <c r="AG7" i="10"/>
  <c r="AV143" i="10"/>
  <c r="AW143" i="10" s="1"/>
  <c r="AI35" i="10"/>
  <c r="AJ20" i="10"/>
  <c r="AG22" i="10"/>
  <c r="AI27" i="10"/>
  <c r="AW18" i="10"/>
  <c r="AS105" i="10"/>
  <c r="AS11" i="10"/>
  <c r="AI22" i="10"/>
  <c r="AG27" i="10"/>
  <c r="AV7" i="10"/>
  <c r="AW7" i="10" s="1"/>
  <c r="AV16" i="10"/>
  <c r="AW16" i="10" s="1"/>
  <c r="AS22" i="10"/>
  <c r="AI28" i="10"/>
  <c r="AG24" i="10"/>
  <c r="AJ24" i="10"/>
  <c r="AG107" i="10"/>
  <c r="AS12" i="10"/>
  <c r="AI7" i="10"/>
  <c r="AJ7" i="10"/>
  <c r="AI34" i="10"/>
  <c r="AI17" i="10"/>
  <c r="AQ38" i="10"/>
  <c r="AG116" i="10"/>
  <c r="AV19" i="10"/>
  <c r="AW19" i="10" s="1"/>
  <c r="AG29" i="10"/>
  <c r="AJ118" i="10"/>
  <c r="AG39" i="10"/>
  <c r="AG20" i="10"/>
  <c r="AW17" i="10"/>
  <c r="AW29" i="10"/>
  <c r="AS24" i="10"/>
  <c r="AI115" i="10"/>
  <c r="AS107" i="10"/>
  <c r="AJ115" i="10"/>
  <c r="AG117" i="10"/>
  <c r="N2" i="10" a="1"/>
  <c r="N2" i="10" s="1"/>
  <c r="AJ8" i="10"/>
  <c r="AR19" i="10"/>
  <c r="AS19" i="10" s="1"/>
  <c r="AG18" i="10"/>
  <c r="AJ117" i="10"/>
  <c r="AS20" i="10"/>
  <c r="AS39" i="10"/>
  <c r="AG8" i="10"/>
  <c r="AR10" i="10"/>
  <c r="AS10" i="10" s="1"/>
  <c r="AG17" i="10"/>
  <c r="AG9" i="10"/>
  <c r="AJ9" i="10"/>
  <c r="AV104" i="10"/>
  <c r="AW104" i="10" s="1"/>
  <c r="AV119" i="10"/>
  <c r="AW119" i="10" s="1"/>
  <c r="AV33" i="10"/>
  <c r="AW33" i="10" s="1"/>
  <c r="AR117" i="10"/>
  <c r="AS117" i="10" s="1"/>
  <c r="AV142" i="10"/>
  <c r="AW142" i="10" s="1"/>
  <c r="AV11" i="10"/>
  <c r="AW11" i="10" s="1"/>
  <c r="AV12" i="10"/>
  <c r="AW12" i="10" s="1"/>
  <c r="AG23" i="10"/>
  <c r="AR28" i="10"/>
  <c r="AS28" i="10" s="1"/>
  <c r="AG37" i="10"/>
  <c r="AG38" i="10"/>
  <c r="AV118" i="10"/>
  <c r="AW118" i="10" s="1"/>
  <c r="AG131" i="10"/>
  <c r="AG145" i="10"/>
  <c r="AR8" i="10"/>
  <c r="AS8" i="10" s="1"/>
  <c r="AR9" i="10"/>
  <c r="AS9" i="10" s="1"/>
  <c r="AG21" i="10"/>
  <c r="AI23" i="10"/>
  <c r="AR29" i="10"/>
  <c r="AS29" i="10" s="1"/>
  <c r="AI37" i="10"/>
  <c r="AI38" i="10"/>
  <c r="AR18" i="10"/>
  <c r="AS18" i="10" s="1"/>
  <c r="AR116" i="10"/>
  <c r="AS116" i="10" s="1"/>
  <c r="AI131" i="10"/>
  <c r="AI145" i="10"/>
  <c r="AR7" i="10"/>
  <c r="AS7" i="10" s="1"/>
  <c r="AV10" i="10"/>
  <c r="AW10" i="10" s="1"/>
  <c r="AI21" i="10"/>
  <c r="AG36" i="10"/>
  <c r="AV24" i="10"/>
  <c r="AW24" i="10" s="1"/>
  <c r="AI107" i="10"/>
  <c r="AV117" i="10"/>
  <c r="AW117" i="10" s="1"/>
  <c r="AG130" i="10"/>
  <c r="AG144" i="10"/>
  <c r="AI36" i="10"/>
  <c r="AR17" i="10"/>
  <c r="AS17" i="10" s="1"/>
  <c r="AG105" i="10"/>
  <c r="AR115" i="10"/>
  <c r="AS115" i="10" s="1"/>
  <c r="AG120" i="10"/>
  <c r="AI130" i="10"/>
  <c r="AI144" i="10"/>
  <c r="AV8" i="10"/>
  <c r="AW8" i="10" s="1"/>
  <c r="AV9" i="10"/>
  <c r="AW9" i="10" s="1"/>
  <c r="AG19" i="10"/>
  <c r="AR27" i="10"/>
  <c r="AS27" i="10" s="1"/>
  <c r="AG34" i="10"/>
  <c r="AG35" i="10"/>
  <c r="AI105" i="10"/>
  <c r="AV116" i="10"/>
  <c r="AW116" i="10" s="1"/>
  <c r="AI120" i="10"/>
  <c r="AG129" i="10"/>
  <c r="AR132" i="10"/>
  <c r="AS132" i="10" s="1"/>
  <c r="AG143" i="10"/>
  <c r="AG104" i="10"/>
  <c r="AG119" i="10"/>
  <c r="AI129" i="10"/>
  <c r="AI143" i="10"/>
  <c r="AG16" i="10"/>
  <c r="AI19" i="10"/>
  <c r="AI104" i="10"/>
  <c r="AV115" i="10"/>
  <c r="AW115" i="10" s="1"/>
  <c r="AI119" i="10"/>
  <c r="AR131" i="10"/>
  <c r="AS131" i="10" s="1"/>
  <c r="AG142" i="10"/>
  <c r="AR145" i="10"/>
  <c r="AS145" i="10" s="1"/>
  <c r="AG11" i="10"/>
  <c r="AG12" i="10"/>
  <c r="AI16" i="10"/>
  <c r="AV27" i="10"/>
  <c r="AW27" i="10" s="1"/>
  <c r="AG118" i="10"/>
  <c r="AV132" i="10"/>
  <c r="AW132" i="10" s="1"/>
  <c r="AI142" i="10"/>
  <c r="AI11" i="10"/>
  <c r="AI12" i="10"/>
  <c r="AV22" i="10"/>
  <c r="AW22" i="10" s="1"/>
  <c r="AR36" i="10"/>
  <c r="AS36" i="10" s="1"/>
  <c r="AV39" i="10"/>
  <c r="AW39" i="10" s="1"/>
  <c r="AR130" i="10"/>
  <c r="AS130" i="10" s="1"/>
  <c r="AR144" i="10"/>
  <c r="AS144" i="10" s="1"/>
  <c r="AG10" i="10"/>
  <c r="AV23" i="10"/>
  <c r="AW23" i="10" s="1"/>
  <c r="AR120" i="10"/>
  <c r="AS120" i="10" s="1"/>
  <c r="AV131" i="10"/>
  <c r="AW131" i="10" s="1"/>
  <c r="AV145" i="10"/>
  <c r="AW145" i="10" s="1"/>
  <c r="AV21" i="10"/>
  <c r="AW21" i="10" s="1"/>
  <c r="AG28" i="10"/>
  <c r="AR34" i="10"/>
  <c r="AS34" i="10" s="1"/>
  <c r="AR35" i="10"/>
  <c r="AS35" i="10" s="1"/>
  <c r="AV38" i="10"/>
  <c r="AW38" i="10" s="1"/>
  <c r="AV107" i="10"/>
  <c r="AW107" i="10" s="1"/>
  <c r="AR129" i="10"/>
  <c r="AS129" i="10" s="1"/>
  <c r="AR143" i="10"/>
  <c r="AS143" i="10" s="1"/>
  <c r="AQ36" i="8"/>
  <c r="AV36" i="10"/>
  <c r="AW36" i="10" s="1"/>
  <c r="AV37" i="10"/>
  <c r="AW37" i="10" s="1"/>
  <c r="AR104" i="10"/>
  <c r="AS104" i="10" s="1"/>
  <c r="AR119" i="10"/>
  <c r="AS119" i="10" s="1"/>
  <c r="AV130" i="10"/>
  <c r="AW130" i="10" s="1"/>
  <c r="AV144" i="10"/>
  <c r="AW144" i="10" s="1"/>
  <c r="AP30" i="8" a="1"/>
  <c r="AP30" i="8" s="1"/>
  <c r="AR16" i="10"/>
  <c r="AS16" i="10" s="1"/>
  <c r="AV20" i="10"/>
  <c r="AW20" i="10" s="1"/>
  <c r="AR33" i="10"/>
  <c r="AS33" i="10" s="1"/>
  <c r="AI18" i="10"/>
  <c r="AV105" i="10"/>
  <c r="AW105" i="10" s="1"/>
  <c r="AI116" i="10"/>
  <c r="AV120" i="10"/>
  <c r="AW120" i="10" s="1"/>
  <c r="AR142" i="10"/>
  <c r="AS142" i="10" s="1"/>
  <c r="AP39" i="8" a="1"/>
  <c r="AP39" i="8" s="1"/>
  <c r="AP29" i="8" a="1"/>
  <c r="AP29" i="8" s="1"/>
  <c r="AV34" i="10"/>
  <c r="AW34" i="10" s="1"/>
  <c r="AV35" i="10"/>
  <c r="AW35" i="10" s="1"/>
  <c r="AR118" i="10"/>
  <c r="AS118" i="10" s="1"/>
  <c r="AV129" i="10"/>
  <c r="AW129" i="10" s="1"/>
  <c r="AF36" i="8"/>
  <c r="AF33" i="8"/>
  <c r="AF39" i="8"/>
  <c r="AF38" i="8"/>
  <c r="AF29" i="8"/>
  <c r="AF83" i="8"/>
  <c r="AL83" i="8"/>
  <c r="AN83" i="8"/>
  <c r="AQ83" i="8"/>
  <c r="AU83" i="8"/>
  <c r="AF84" i="8"/>
  <c r="AL84" i="8"/>
  <c r="AN84" i="8"/>
  <c r="AQ84" i="8"/>
  <c r="AU84" i="8"/>
  <c r="AF85" i="8"/>
  <c r="AL85" i="8"/>
  <c r="AN85" i="8"/>
  <c r="AQ85" i="8"/>
  <c r="AU85" i="8"/>
  <c r="AF86" i="8"/>
  <c r="AL86" i="8"/>
  <c r="AN86" i="8"/>
  <c r="AQ86" i="8"/>
  <c r="AU86" i="8"/>
  <c r="AF87" i="8"/>
  <c r="AL87" i="8"/>
  <c r="AN87" i="8"/>
  <c r="AQ87" i="8"/>
  <c r="AU87" i="8"/>
  <c r="M2" i="10" l="1"/>
  <c r="AQ30" i="8"/>
  <c r="AQ39" i="8"/>
  <c r="AU4" i="8"/>
  <c r="AU6" i="8"/>
  <c r="AU7" i="8"/>
  <c r="AU8" i="8"/>
  <c r="AU9" i="8"/>
  <c r="AU10" i="8"/>
  <c r="AU11" i="8"/>
  <c r="AU12" i="8"/>
  <c r="AU13" i="8"/>
  <c r="AU14" i="8"/>
  <c r="AU15" i="8"/>
  <c r="AU16" i="8"/>
  <c r="AU17" i="8"/>
  <c r="AU18" i="8"/>
  <c r="AU19" i="8"/>
  <c r="AU20" i="8"/>
  <c r="AU5" i="8"/>
  <c r="AQ21" i="8"/>
  <c r="AQ22" i="8"/>
  <c r="AQ11" i="8"/>
  <c r="AQ12" i="8"/>
  <c r="AF22" i="8"/>
  <c r="AL22" i="8"/>
  <c r="AH12" i="8"/>
  <c r="AP45" i="8"/>
  <c r="AU112" i="8"/>
  <c r="AQ112" i="8"/>
  <c r="AN112" i="8"/>
  <c r="AL112" i="8"/>
  <c r="AF112" i="8"/>
  <c r="AU111" i="8"/>
  <c r="AQ111" i="8"/>
  <c r="AN111" i="8"/>
  <c r="AL111" i="8"/>
  <c r="AF111" i="8"/>
  <c r="AU110" i="8"/>
  <c r="AQ110" i="8"/>
  <c r="AN110" i="8"/>
  <c r="AL110" i="8"/>
  <c r="AF110" i="8"/>
  <c r="AU109" i="8"/>
  <c r="AQ109" i="8"/>
  <c r="AN109" i="8"/>
  <c r="AL109" i="8"/>
  <c r="AF109" i="8"/>
  <c r="AU101" i="8"/>
  <c r="AQ101" i="8"/>
  <c r="AN101" i="8"/>
  <c r="AL101" i="8"/>
  <c r="AF101" i="8"/>
  <c r="AU100" i="8"/>
  <c r="AQ100" i="8"/>
  <c r="AN100" i="8"/>
  <c r="AL100" i="8"/>
  <c r="AF100" i="8"/>
  <c r="AU99" i="8"/>
  <c r="AN99" i="8"/>
  <c r="AL99" i="8"/>
  <c r="AF99" i="8"/>
  <c r="AU98" i="8"/>
  <c r="AN98" i="8"/>
  <c r="AL98" i="8"/>
  <c r="AF98" i="8"/>
  <c r="AU97" i="8"/>
  <c r="AQ97" i="8"/>
  <c r="AN97" i="8"/>
  <c r="AL97" i="8"/>
  <c r="AF97" i="8"/>
  <c r="AU96" i="8"/>
  <c r="AQ96" i="8"/>
  <c r="AN96" i="8"/>
  <c r="AL96" i="8"/>
  <c r="AF96" i="8"/>
  <c r="AU82" i="8"/>
  <c r="AQ82" i="8"/>
  <c r="AN82" i="8"/>
  <c r="AL82" i="8"/>
  <c r="AF82" i="8"/>
  <c r="AU80" i="8"/>
  <c r="AN80" i="8"/>
  <c r="AL80" i="8"/>
  <c r="AF80" i="8"/>
  <c r="AU79" i="8"/>
  <c r="AR79" i="8"/>
  <c r="AN79" i="8"/>
  <c r="AL79" i="8"/>
  <c r="AF79" i="8"/>
  <c r="AU77" i="8"/>
  <c r="AR77" i="8"/>
  <c r="AN77" i="8"/>
  <c r="AL77" i="8"/>
  <c r="AF77" i="8"/>
  <c r="AU76" i="8"/>
  <c r="AQ76" i="8"/>
  <c r="AN76" i="8"/>
  <c r="AL76" i="8"/>
  <c r="AF76" i="8"/>
  <c r="AE76" i="8"/>
  <c r="AL14" i="8"/>
  <c r="AF14" i="8"/>
  <c r="AL20" i="8"/>
  <c r="AF20" i="8"/>
  <c r="AL50" i="8"/>
  <c r="AF50" i="8"/>
  <c r="AQ6" i="8"/>
  <c r="AN6" i="8"/>
  <c r="AL6" i="8"/>
  <c r="AF6" i="8"/>
  <c r="AQ4" i="8"/>
  <c r="AN4" i="8"/>
  <c r="AL4" i="8"/>
  <c r="AF4" i="8"/>
  <c r="AQ5" i="8"/>
  <c r="AN5" i="8"/>
  <c r="AF5" i="8"/>
  <c r="AN11" i="8"/>
  <c r="AL11" i="8"/>
  <c r="AF11" i="8"/>
  <c r="AL28" i="8"/>
  <c r="AF28" i="8"/>
  <c r="AL27" i="8"/>
  <c r="AF27" i="8"/>
  <c r="AL26" i="8"/>
  <c r="AF26" i="8"/>
  <c r="AF16" i="8"/>
  <c r="AF15" i="8"/>
  <c r="AL13" i="8"/>
  <c r="AF13" i="8"/>
  <c r="AN12" i="8"/>
  <c r="AL12" i="8"/>
  <c r="AF12" i="8"/>
  <c r="AL25" i="8"/>
  <c r="AF25" i="8"/>
  <c r="AL24" i="8"/>
  <c r="AF24" i="8"/>
  <c r="AL23" i="8"/>
  <c r="AF23" i="8"/>
  <c r="AL21" i="8"/>
  <c r="AF21" i="8"/>
  <c r="AL19" i="8"/>
  <c r="AF19" i="8"/>
  <c r="W7" i="8"/>
  <c r="AQ18" i="8"/>
  <c r="AL18" i="8"/>
  <c r="AF18" i="8"/>
  <c r="W6" i="8"/>
  <c r="AQ17" i="8"/>
  <c r="AL17" i="8"/>
  <c r="AF17" i="8"/>
  <c r="AL10" i="8"/>
  <c r="AF10" i="8"/>
  <c r="AR9" i="8"/>
  <c r="AL9" i="8"/>
  <c r="AF9" i="8"/>
  <c r="AR8" i="8"/>
  <c r="AL8" i="8"/>
  <c r="AF8" i="8"/>
  <c r="AQ7" i="8"/>
  <c r="AL7" i="8"/>
  <c r="AF7" i="8"/>
  <c r="AE7" i="8"/>
  <c r="AJ7" i="8" s="1"/>
  <c r="AB125" i="5" a="1"/>
  <c r="AB125" i="5" s="1"/>
  <c r="AB126" i="5" s="1"/>
  <c r="AD121" i="5"/>
  <c r="AE121" i="5"/>
  <c r="AG121" i="5" s="1"/>
  <c r="AF121" i="5"/>
  <c r="AL121" i="5"/>
  <c r="AN121" i="5"/>
  <c r="AQ121" i="5"/>
  <c r="AR121" i="5"/>
  <c r="AS121" i="5" s="1"/>
  <c r="AU121" i="5"/>
  <c r="AV121" i="5"/>
  <c r="AW121" i="5" s="1"/>
  <c r="AD122" i="5"/>
  <c r="AE122" i="5"/>
  <c r="AG122" i="5" s="1"/>
  <c r="AF122" i="5"/>
  <c r="AL122" i="5"/>
  <c r="AN122" i="5"/>
  <c r="AQ122" i="5"/>
  <c r="AR122" i="5"/>
  <c r="AS122" i="5" s="1"/>
  <c r="AU122" i="5"/>
  <c r="AV122" i="5"/>
  <c r="AW122" i="5" s="1"/>
  <c r="AD123" i="5"/>
  <c r="AE123" i="5"/>
  <c r="AI123" i="5" s="1"/>
  <c r="AF123" i="5"/>
  <c r="AL123" i="5"/>
  <c r="AN123" i="5"/>
  <c r="AQ123" i="5"/>
  <c r="AR123" i="5"/>
  <c r="AS123" i="5" s="1"/>
  <c r="AU123" i="5"/>
  <c r="AV123" i="5"/>
  <c r="AW123" i="5" s="1"/>
  <c r="AV120" i="5"/>
  <c r="AW120" i="5" s="1"/>
  <c r="AU120" i="5"/>
  <c r="AR120" i="5"/>
  <c r="AS120" i="5" s="1"/>
  <c r="AQ120" i="5"/>
  <c r="AN120" i="5"/>
  <c r="AL120" i="5"/>
  <c r="AF120" i="5"/>
  <c r="AE120" i="5"/>
  <c r="AI120" i="5" s="1"/>
  <c r="AD120" i="5"/>
  <c r="AL5" i="8"/>
  <c r="T22" i="8"/>
  <c r="V22" i="8" s="1"/>
  <c r="AR6" i="5"/>
  <c r="AS6" i="5" s="1"/>
  <c r="AR7" i="5"/>
  <c r="AR8" i="5"/>
  <c r="AR9" i="5"/>
  <c r="AS9" i="5" s="1"/>
  <c r="AR10" i="5"/>
  <c r="AR11" i="5"/>
  <c r="AR12" i="5"/>
  <c r="AR14" i="5"/>
  <c r="AR15" i="5"/>
  <c r="AR16" i="5"/>
  <c r="AS16" i="5" s="1"/>
  <c r="AR17" i="5"/>
  <c r="AR18" i="5"/>
  <c r="AR19" i="5"/>
  <c r="AR21" i="5"/>
  <c r="AR22" i="5"/>
  <c r="AR23" i="5"/>
  <c r="AS23" i="5" s="1"/>
  <c r="AR24" i="5"/>
  <c r="AS24" i="5" s="1"/>
  <c r="AR25" i="5"/>
  <c r="AR26" i="5"/>
  <c r="AR27" i="5"/>
  <c r="AR28" i="5"/>
  <c r="AR29" i="5"/>
  <c r="AS29" i="5" s="1"/>
  <c r="AR30" i="5"/>
  <c r="AR31" i="5"/>
  <c r="AR32" i="5"/>
  <c r="AR33" i="5"/>
  <c r="AR34" i="5"/>
  <c r="AS34" i="5" s="1"/>
  <c r="AR35" i="5"/>
  <c r="AS35" i="5" s="1"/>
  <c r="AR36" i="5"/>
  <c r="AS36" i="5" s="1"/>
  <c r="AR37" i="5"/>
  <c r="AR38" i="5"/>
  <c r="AS38" i="5" s="1"/>
  <c r="AR39" i="5"/>
  <c r="AR40" i="5"/>
  <c r="AR4" i="5"/>
  <c r="AS4" i="5" s="1"/>
  <c r="AR69" i="5"/>
  <c r="AR70" i="5"/>
  <c r="AS70" i="5" s="1"/>
  <c r="AR71" i="5"/>
  <c r="AS71" i="5" s="1"/>
  <c r="AR72" i="5"/>
  <c r="AR73" i="5"/>
  <c r="AR74" i="5"/>
  <c r="AR75" i="5"/>
  <c r="AS75" i="5" s="1"/>
  <c r="AR76" i="5"/>
  <c r="AR77" i="5"/>
  <c r="AS77" i="5" s="1"/>
  <c r="AR78" i="5"/>
  <c r="AS78" i="5" s="1"/>
  <c r="AR79" i="5"/>
  <c r="AS79" i="5" s="1"/>
  <c r="AR80" i="5"/>
  <c r="AS80" i="5" s="1"/>
  <c r="AR81" i="5"/>
  <c r="AR82" i="5"/>
  <c r="AR83" i="5"/>
  <c r="AR84" i="5"/>
  <c r="AR85" i="5"/>
  <c r="AR86" i="5"/>
  <c r="AR88" i="5"/>
  <c r="AR89" i="5"/>
  <c r="AR90" i="5"/>
  <c r="AR91" i="5"/>
  <c r="AR92" i="5"/>
  <c r="AR93" i="5"/>
  <c r="AS93" i="5" s="1"/>
  <c r="AR94" i="5"/>
  <c r="AR95" i="5"/>
  <c r="AR96" i="5"/>
  <c r="AS96" i="5" s="1"/>
  <c r="AR97" i="5"/>
  <c r="AS97" i="5" s="1"/>
  <c r="AR98" i="5"/>
  <c r="AS98" i="5" s="1"/>
  <c r="AR99" i="5"/>
  <c r="AS99" i="5" s="1"/>
  <c r="AR100" i="5"/>
  <c r="AS100" i="5" s="1"/>
  <c r="AR101" i="5"/>
  <c r="AS101" i="5" s="1"/>
  <c r="AR102" i="5"/>
  <c r="AS102" i="5" s="1"/>
  <c r="AR68" i="5"/>
  <c r="AS68" i="5" s="1"/>
  <c r="AR111" i="5"/>
  <c r="AS111" i="5" s="1"/>
  <c r="AR112" i="5"/>
  <c r="AS112" i="5" s="1"/>
  <c r="AR107" i="5"/>
  <c r="AS107" i="5" s="1"/>
  <c r="AR108" i="5"/>
  <c r="AS108" i="5" s="1"/>
  <c r="AR109" i="5"/>
  <c r="AR110" i="5"/>
  <c r="AB101" i="5" a="1"/>
  <c r="AB101" i="5" s="1"/>
  <c r="AB102" i="5" s="1"/>
  <c r="AU108" i="5"/>
  <c r="AV108" i="5"/>
  <c r="AW108" i="5" s="1"/>
  <c r="AU109" i="5"/>
  <c r="AV109" i="5"/>
  <c r="AW109" i="5" s="1"/>
  <c r="AU110" i="5"/>
  <c r="AV110" i="5"/>
  <c r="AW110" i="5" s="1"/>
  <c r="AU111" i="5"/>
  <c r="AV111" i="5"/>
  <c r="AW111" i="5" s="1"/>
  <c r="AU112" i="5"/>
  <c r="AV112" i="5"/>
  <c r="AW112" i="5" s="1"/>
  <c r="AV107" i="5"/>
  <c r="AW107" i="5" s="1"/>
  <c r="AU107" i="5"/>
  <c r="AQ108" i="5"/>
  <c r="AQ109" i="5"/>
  <c r="AQ110" i="5"/>
  <c r="AQ111" i="5"/>
  <c r="AQ112" i="5"/>
  <c r="AQ107" i="5"/>
  <c r="AD108" i="5"/>
  <c r="AE108" i="5"/>
  <c r="AF108" i="5"/>
  <c r="AL108" i="5"/>
  <c r="AN108" i="5"/>
  <c r="AD109" i="5"/>
  <c r="AE109" i="5"/>
  <c r="AG109" i="5" s="1"/>
  <c r="AF109" i="5"/>
  <c r="AL109" i="5"/>
  <c r="AN109" i="5"/>
  <c r="AD110" i="5"/>
  <c r="AE110" i="5"/>
  <c r="AJ110" i="5" s="1"/>
  <c r="AF110" i="5"/>
  <c r="AL110" i="5"/>
  <c r="AN110" i="5"/>
  <c r="AE111" i="5"/>
  <c r="AG111" i="5" s="1"/>
  <c r="AF111" i="5"/>
  <c r="AL111" i="5"/>
  <c r="AN111" i="5"/>
  <c r="AE112" i="5"/>
  <c r="AG112" i="5" s="1"/>
  <c r="AF112" i="5"/>
  <c r="AL112" i="5"/>
  <c r="AN112" i="5"/>
  <c r="AN107" i="5"/>
  <c r="AL107" i="5"/>
  <c r="AF107" i="5"/>
  <c r="AE107" i="5"/>
  <c r="AD107" i="5"/>
  <c r="AU69" i="5"/>
  <c r="AV69" i="5"/>
  <c r="AW69" i="5" s="1"/>
  <c r="AU70" i="5"/>
  <c r="AV70" i="5"/>
  <c r="AW70" i="5" s="1"/>
  <c r="AU71" i="5"/>
  <c r="AV71" i="5"/>
  <c r="AW71" i="5" s="1"/>
  <c r="AU72" i="5"/>
  <c r="AV72" i="5"/>
  <c r="AW72" i="5" s="1"/>
  <c r="AU73" i="5"/>
  <c r="AV73" i="5"/>
  <c r="AW73" i="5" s="1"/>
  <c r="AU74" i="5"/>
  <c r="AV74" i="5"/>
  <c r="AW74" i="5" s="1"/>
  <c r="AU75" i="5"/>
  <c r="AV75" i="5"/>
  <c r="AU76" i="5"/>
  <c r="AV76" i="5"/>
  <c r="AW76" i="5" s="1"/>
  <c r="AU77" i="5"/>
  <c r="AV77" i="5"/>
  <c r="AW77" i="5" s="1"/>
  <c r="AU78" i="5"/>
  <c r="AV78" i="5"/>
  <c r="AW78" i="5" s="1"/>
  <c r="AU79" i="5"/>
  <c r="AV79" i="5"/>
  <c r="AW79" i="5" s="1"/>
  <c r="AU80" i="5"/>
  <c r="AV80" i="5"/>
  <c r="AW80" i="5" s="1"/>
  <c r="AU81" i="5"/>
  <c r="AV81" i="5"/>
  <c r="AW81" i="5" s="1"/>
  <c r="AU82" i="5"/>
  <c r="AV82" i="5"/>
  <c r="AW82" i="5" s="1"/>
  <c r="AU83" i="5"/>
  <c r="AV83" i="5"/>
  <c r="AW83" i="5" s="1"/>
  <c r="AU84" i="5"/>
  <c r="AV84" i="5"/>
  <c r="AW84" i="5" s="1"/>
  <c r="AU85" i="5"/>
  <c r="AV85" i="5"/>
  <c r="AW85" i="5" s="1"/>
  <c r="AU86" i="5"/>
  <c r="AV86" i="5"/>
  <c r="AW86" i="5" s="1"/>
  <c r="AU88" i="5"/>
  <c r="AV88" i="5"/>
  <c r="AW88" i="5" s="1"/>
  <c r="AU89" i="5"/>
  <c r="AV89" i="5"/>
  <c r="AW89" i="5" s="1"/>
  <c r="AU90" i="5"/>
  <c r="AV90" i="5"/>
  <c r="AW90" i="5" s="1"/>
  <c r="AU91" i="5"/>
  <c r="AV91" i="5"/>
  <c r="AW91" i="5" s="1"/>
  <c r="AU92" i="5"/>
  <c r="AV92" i="5"/>
  <c r="AW92" i="5" s="1"/>
  <c r="AU93" i="5"/>
  <c r="AV93" i="5"/>
  <c r="AW93" i="5" s="1"/>
  <c r="AU94" i="5"/>
  <c r="AV94" i="5"/>
  <c r="AW94" i="5" s="1"/>
  <c r="AU95" i="5"/>
  <c r="AV95" i="5"/>
  <c r="AW95" i="5" s="1"/>
  <c r="AU96" i="5"/>
  <c r="AV96" i="5"/>
  <c r="AW96" i="5" s="1"/>
  <c r="AU97" i="5"/>
  <c r="AV97" i="5"/>
  <c r="AW97" i="5" s="1"/>
  <c r="AU98" i="5"/>
  <c r="AV98" i="5"/>
  <c r="AW98" i="5" s="1"/>
  <c r="AU99" i="5"/>
  <c r="AV99" i="5"/>
  <c r="AW99" i="5" s="1"/>
  <c r="AU100" i="5"/>
  <c r="AV100" i="5"/>
  <c r="AW100" i="5" s="1"/>
  <c r="AU101" i="5"/>
  <c r="AV101" i="5"/>
  <c r="AW101" i="5" s="1"/>
  <c r="AU102" i="5"/>
  <c r="AV102" i="5"/>
  <c r="AW102" i="5" s="1"/>
  <c r="AV68" i="5"/>
  <c r="AW68" i="5" s="1"/>
  <c r="AU68" i="5"/>
  <c r="AQ69" i="5"/>
  <c r="AQ70" i="5"/>
  <c r="AQ71" i="5"/>
  <c r="AQ72" i="5"/>
  <c r="AQ73" i="5"/>
  <c r="AQ74" i="5"/>
  <c r="AQ75" i="5"/>
  <c r="AQ76" i="5"/>
  <c r="AQ77" i="5"/>
  <c r="AQ78" i="5"/>
  <c r="AQ79" i="5"/>
  <c r="AQ80" i="5"/>
  <c r="AQ81" i="5"/>
  <c r="AQ82" i="5"/>
  <c r="AQ83" i="5"/>
  <c r="AQ84" i="5"/>
  <c r="AQ85" i="5"/>
  <c r="AQ86" i="5"/>
  <c r="AQ88" i="5"/>
  <c r="AQ89" i="5"/>
  <c r="AQ90" i="5"/>
  <c r="AQ91" i="5"/>
  <c r="AQ92" i="5"/>
  <c r="AQ93" i="5"/>
  <c r="AQ94" i="5"/>
  <c r="AQ95" i="5"/>
  <c r="AQ96" i="5"/>
  <c r="AQ97" i="5"/>
  <c r="AQ98" i="5"/>
  <c r="AQ99" i="5"/>
  <c r="AQ100" i="5"/>
  <c r="AQ101" i="5"/>
  <c r="AQ102" i="5"/>
  <c r="AQ68" i="5"/>
  <c r="AD69" i="5"/>
  <c r="AE69" i="5"/>
  <c r="AJ69" i="5" s="1"/>
  <c r="AF69" i="5"/>
  <c r="AL69" i="5"/>
  <c r="AN69" i="5"/>
  <c r="AD71" i="5"/>
  <c r="AE71" i="5"/>
  <c r="AI71" i="5" s="1"/>
  <c r="AF71" i="5"/>
  <c r="AL71" i="5"/>
  <c r="AN71" i="5"/>
  <c r="AD72" i="5"/>
  <c r="AE72" i="5"/>
  <c r="AG72" i="5" s="1"/>
  <c r="AF72" i="5"/>
  <c r="AL72" i="5"/>
  <c r="AN72" i="5"/>
  <c r="AD73" i="5"/>
  <c r="AE73" i="5"/>
  <c r="AG73" i="5" s="1"/>
  <c r="AF73" i="5"/>
  <c r="AL73" i="5"/>
  <c r="AN73" i="5"/>
  <c r="AD74" i="5"/>
  <c r="AE74" i="5"/>
  <c r="AI74" i="5" s="1"/>
  <c r="AF74" i="5"/>
  <c r="AL74" i="5"/>
  <c r="AN74" i="5"/>
  <c r="AD75" i="5"/>
  <c r="AE75" i="5"/>
  <c r="AI75" i="5" s="1"/>
  <c r="AF75" i="5"/>
  <c r="AL75" i="5"/>
  <c r="AN75" i="5"/>
  <c r="AD76" i="5"/>
  <c r="AE76" i="5"/>
  <c r="AF76" i="5"/>
  <c r="AL76" i="5"/>
  <c r="AN76" i="5"/>
  <c r="AD81" i="5"/>
  <c r="AE81" i="5"/>
  <c r="AJ81" i="5" s="1"/>
  <c r="AF81" i="5"/>
  <c r="AL81" i="5"/>
  <c r="AN81" i="5"/>
  <c r="AD93" i="5"/>
  <c r="AE93" i="5"/>
  <c r="AI93" i="5" s="1"/>
  <c r="AF93" i="5"/>
  <c r="AL93" i="5"/>
  <c r="AN93" i="5"/>
  <c r="AD94" i="5"/>
  <c r="AE94" i="5"/>
  <c r="AG94" i="5" s="1"/>
  <c r="AF94" i="5"/>
  <c r="AL94" i="5"/>
  <c r="AN94" i="5"/>
  <c r="AD95" i="5"/>
  <c r="AE95" i="5"/>
  <c r="AG95" i="5" s="1"/>
  <c r="AF95" i="5"/>
  <c r="AL95" i="5"/>
  <c r="AN95" i="5"/>
  <c r="AD97" i="5"/>
  <c r="AE97" i="5"/>
  <c r="AI97" i="5" s="1"/>
  <c r="AF97" i="5"/>
  <c r="AL97" i="5"/>
  <c r="AN97" i="5"/>
  <c r="AD98" i="5"/>
  <c r="AE98" i="5"/>
  <c r="AG98" i="5" s="1"/>
  <c r="AF98" i="5"/>
  <c r="AL98" i="5"/>
  <c r="AN98" i="5"/>
  <c r="AD99" i="5"/>
  <c r="AE99" i="5"/>
  <c r="AI99" i="5" s="1"/>
  <c r="AF99" i="5"/>
  <c r="AL99" i="5"/>
  <c r="AN99" i="5"/>
  <c r="AN68" i="5"/>
  <c r="AL68" i="5"/>
  <c r="AF68" i="5"/>
  <c r="AE68" i="5"/>
  <c r="AJ68" i="5" s="1"/>
  <c r="AD68" i="5"/>
  <c r="AL6" i="5"/>
  <c r="AL7" i="5"/>
  <c r="AL8" i="5"/>
  <c r="AL9" i="5"/>
  <c r="AL10" i="5"/>
  <c r="AL11" i="5"/>
  <c r="AL12" i="5"/>
  <c r="AL14" i="5"/>
  <c r="AL15" i="5"/>
  <c r="AL16" i="5"/>
  <c r="AL17" i="5"/>
  <c r="AL18" i="5"/>
  <c r="AL19" i="5"/>
  <c r="AL21" i="5"/>
  <c r="AL22" i="5"/>
  <c r="AL23" i="5"/>
  <c r="AL24" i="5"/>
  <c r="AL25" i="5"/>
  <c r="AL26" i="5"/>
  <c r="AL29" i="5"/>
  <c r="AL30" i="5"/>
  <c r="AL31" i="5"/>
  <c r="AL32" i="5"/>
  <c r="AL33" i="5"/>
  <c r="AL34" i="5"/>
  <c r="AL35" i="5"/>
  <c r="AL36" i="5"/>
  <c r="AL37" i="5"/>
  <c r="AL38" i="5"/>
  <c r="AL39" i="5"/>
  <c r="AL40" i="5"/>
  <c r="AL41" i="5"/>
  <c r="AL42" i="5"/>
  <c r="AL4" i="5"/>
  <c r="AN6" i="5"/>
  <c r="AN7" i="5"/>
  <c r="AN8" i="5"/>
  <c r="AN9" i="5"/>
  <c r="AN10" i="5"/>
  <c r="AN11" i="5"/>
  <c r="AN12" i="5"/>
  <c r="AN14" i="5"/>
  <c r="AN15" i="5"/>
  <c r="AN16" i="5"/>
  <c r="AN17" i="5"/>
  <c r="AN18" i="5"/>
  <c r="AN19" i="5"/>
  <c r="AN21" i="5"/>
  <c r="AN22" i="5"/>
  <c r="AN23" i="5"/>
  <c r="AN24" i="5"/>
  <c r="AN25" i="5"/>
  <c r="AN26" i="5"/>
  <c r="AN27" i="5"/>
  <c r="AN28" i="5"/>
  <c r="AN29" i="5"/>
  <c r="AN30" i="5"/>
  <c r="AN31" i="5"/>
  <c r="AN32" i="5"/>
  <c r="AN33" i="5"/>
  <c r="AN34" i="5"/>
  <c r="AN35" i="5"/>
  <c r="AN36" i="5"/>
  <c r="AN37" i="5"/>
  <c r="AN38" i="5"/>
  <c r="AN39" i="5"/>
  <c r="AN40" i="5"/>
  <c r="AN41" i="5"/>
  <c r="AN42" i="5"/>
  <c r="AN4" i="5"/>
  <c r="AU6" i="5"/>
  <c r="AU7" i="5"/>
  <c r="AU8" i="5"/>
  <c r="AU9" i="5"/>
  <c r="AU10" i="5"/>
  <c r="AU11" i="5"/>
  <c r="AU12" i="5"/>
  <c r="AU14" i="5"/>
  <c r="AU15" i="5"/>
  <c r="AU16" i="5"/>
  <c r="AU17" i="5"/>
  <c r="AU18" i="5"/>
  <c r="AU19" i="5"/>
  <c r="AU21" i="5"/>
  <c r="AU22" i="5"/>
  <c r="AU23" i="5"/>
  <c r="AU24" i="5"/>
  <c r="AU25" i="5"/>
  <c r="AU26" i="5"/>
  <c r="AU27" i="5"/>
  <c r="AU28" i="5"/>
  <c r="AU29" i="5"/>
  <c r="AU30" i="5"/>
  <c r="AU31" i="5"/>
  <c r="AU32" i="5"/>
  <c r="AU33" i="5"/>
  <c r="AU34" i="5"/>
  <c r="AU35" i="5"/>
  <c r="AU36" i="5"/>
  <c r="AU37" i="5"/>
  <c r="AU38" i="5"/>
  <c r="AU39" i="5"/>
  <c r="AU40" i="5"/>
  <c r="AU4" i="5"/>
  <c r="AQ6" i="5"/>
  <c r="AQ7" i="5"/>
  <c r="AQ8" i="5"/>
  <c r="AQ9" i="5"/>
  <c r="AQ10" i="5"/>
  <c r="AQ11" i="5"/>
  <c r="AQ12" i="5"/>
  <c r="AQ14" i="5"/>
  <c r="AQ15" i="5"/>
  <c r="AQ16" i="5"/>
  <c r="AQ17" i="5"/>
  <c r="AQ18" i="5"/>
  <c r="AQ19" i="5"/>
  <c r="AQ21" i="5"/>
  <c r="AQ22" i="5"/>
  <c r="AQ23" i="5"/>
  <c r="AQ24" i="5"/>
  <c r="AQ25" i="5"/>
  <c r="AQ26" i="5"/>
  <c r="AQ27" i="5"/>
  <c r="AQ28" i="5"/>
  <c r="AQ29" i="5"/>
  <c r="AQ30" i="5"/>
  <c r="AQ31" i="5"/>
  <c r="AQ32" i="5"/>
  <c r="AQ33" i="5"/>
  <c r="AQ34" i="5"/>
  <c r="AQ35" i="5"/>
  <c r="AQ36" i="5"/>
  <c r="AQ37" i="5"/>
  <c r="AQ38" i="5"/>
  <c r="AQ39" i="5"/>
  <c r="AQ40" i="5"/>
  <c r="AQ4" i="5"/>
  <c r="AV6" i="5"/>
  <c r="AW6" i="5" s="1"/>
  <c r="AV7" i="5"/>
  <c r="AW7" i="5" s="1"/>
  <c r="AV8" i="5"/>
  <c r="AW8" i="5" s="1"/>
  <c r="AV9" i="5"/>
  <c r="AW9" i="5" s="1"/>
  <c r="AV10" i="5"/>
  <c r="AW10" i="5" s="1"/>
  <c r="AV11" i="5"/>
  <c r="AW11" i="5" s="1"/>
  <c r="AV12" i="5"/>
  <c r="AW12" i="5" s="1"/>
  <c r="AV14" i="5"/>
  <c r="AW14" i="5" s="1"/>
  <c r="AV15" i="5"/>
  <c r="AW15" i="5" s="1"/>
  <c r="AV16" i="5"/>
  <c r="AV17" i="5"/>
  <c r="AW17" i="5" s="1"/>
  <c r="AV18" i="5"/>
  <c r="AW18" i="5" s="1"/>
  <c r="AV19" i="5"/>
  <c r="AW19" i="5" s="1"/>
  <c r="AV21" i="5"/>
  <c r="AW21" i="5" s="1"/>
  <c r="AV22" i="5"/>
  <c r="AW22" i="5" s="1"/>
  <c r="AV23" i="5"/>
  <c r="AW23" i="5" s="1"/>
  <c r="AV24" i="5"/>
  <c r="AW24" i="5" s="1"/>
  <c r="AV25" i="5"/>
  <c r="AW25" i="5" s="1"/>
  <c r="AV26" i="5"/>
  <c r="AW26" i="5" s="1"/>
  <c r="AV27" i="5"/>
  <c r="AW27" i="5" s="1"/>
  <c r="AV28" i="5"/>
  <c r="AW28" i="5" s="1"/>
  <c r="AV29" i="5"/>
  <c r="AW29" i="5" s="1"/>
  <c r="AV30" i="5"/>
  <c r="AW30" i="5" s="1"/>
  <c r="AV31" i="5"/>
  <c r="AW31" i="5" s="1"/>
  <c r="AV32" i="5"/>
  <c r="AW32" i="5" s="1"/>
  <c r="AV33" i="5"/>
  <c r="AW33" i="5" s="1"/>
  <c r="AV34" i="5"/>
  <c r="AW34" i="5" s="1"/>
  <c r="AV35" i="5"/>
  <c r="AW35" i="5" s="1"/>
  <c r="AV36" i="5"/>
  <c r="AW36" i="5" s="1"/>
  <c r="AV37" i="5"/>
  <c r="AV38" i="5"/>
  <c r="AV39" i="5"/>
  <c r="AW39" i="5" s="1"/>
  <c r="AV40" i="5"/>
  <c r="AW40" i="5" s="1"/>
  <c r="AV4" i="5"/>
  <c r="AW4" i="5" s="1"/>
  <c r="AS33" i="5"/>
  <c r="AE6" i="5"/>
  <c r="AI6" i="5" s="1"/>
  <c r="AE7" i="5"/>
  <c r="AI7" i="5" s="1"/>
  <c r="AE8" i="5"/>
  <c r="AE9" i="5"/>
  <c r="AE10" i="5"/>
  <c r="AE11" i="5"/>
  <c r="AJ11" i="5" s="1"/>
  <c r="AE12" i="5"/>
  <c r="AI12" i="5" s="1"/>
  <c r="AE14" i="5"/>
  <c r="AJ14" i="5" s="1"/>
  <c r="AE15" i="5"/>
  <c r="AJ15" i="5" s="1"/>
  <c r="AE16" i="5"/>
  <c r="AJ16" i="5" s="1"/>
  <c r="AE17" i="5"/>
  <c r="AE18" i="5"/>
  <c r="AI18" i="5" s="1"/>
  <c r="AE19" i="5"/>
  <c r="AE21" i="5"/>
  <c r="AI21" i="5" s="1"/>
  <c r="AE22" i="5"/>
  <c r="AJ22" i="5" s="1"/>
  <c r="AE23" i="5"/>
  <c r="AE24" i="5"/>
  <c r="AJ24" i="5" s="1"/>
  <c r="AE25" i="5"/>
  <c r="AE26" i="5"/>
  <c r="AE27" i="5"/>
  <c r="AE28" i="5"/>
  <c r="AE29" i="5"/>
  <c r="AI29" i="5" s="1"/>
  <c r="AE30" i="5"/>
  <c r="AI30" i="5" s="1"/>
  <c r="AE31" i="5"/>
  <c r="AJ31" i="5" s="1"/>
  <c r="AE32" i="5"/>
  <c r="AI32" i="5" s="1"/>
  <c r="AE33" i="5"/>
  <c r="AE34" i="5"/>
  <c r="AI34" i="5" s="1"/>
  <c r="AE35" i="5"/>
  <c r="AJ35" i="5" s="1"/>
  <c r="AE36" i="5"/>
  <c r="AI36" i="5" s="1"/>
  <c r="AE37" i="5"/>
  <c r="AI37" i="5" s="1"/>
  <c r="AE38" i="5"/>
  <c r="AI38" i="5" s="1"/>
  <c r="AE39" i="5"/>
  <c r="AJ39" i="5" s="1"/>
  <c r="AE40" i="5"/>
  <c r="AE41" i="5"/>
  <c r="AI41" i="5" s="1"/>
  <c r="AE42" i="5"/>
  <c r="AJ42" i="5" s="1"/>
  <c r="AE4" i="5"/>
  <c r="AJ4" i="5" s="1"/>
  <c r="AD6" i="5"/>
  <c r="AD7" i="5"/>
  <c r="AD8" i="5"/>
  <c r="AD9" i="5"/>
  <c r="AD10" i="5"/>
  <c r="AD11" i="5"/>
  <c r="AD12" i="5"/>
  <c r="AD14" i="5"/>
  <c r="AD15" i="5"/>
  <c r="AD16" i="5"/>
  <c r="AD17" i="5"/>
  <c r="AD18" i="5"/>
  <c r="AD19" i="5"/>
  <c r="AD21" i="5"/>
  <c r="AD22" i="5"/>
  <c r="AD23" i="5"/>
  <c r="AD24" i="5"/>
  <c r="AD25" i="5"/>
  <c r="AD26" i="5"/>
  <c r="AD27" i="5"/>
  <c r="AD28" i="5"/>
  <c r="AD29" i="5"/>
  <c r="AD30" i="5"/>
  <c r="AD31" i="5"/>
  <c r="AD32" i="5"/>
  <c r="AD33" i="5"/>
  <c r="AD34" i="5"/>
  <c r="AD35" i="5"/>
  <c r="AD36" i="5"/>
  <c r="AD37" i="5"/>
  <c r="AD38" i="5"/>
  <c r="AD39" i="5"/>
  <c r="AD40" i="5"/>
  <c r="AD41" i="5"/>
  <c r="AD42" i="5"/>
  <c r="AD4" i="5"/>
  <c r="AG108" i="5"/>
  <c r="AJ108" i="5"/>
  <c r="AI108" i="5"/>
  <c r="AJ75" i="5"/>
  <c r="W7" i="5"/>
  <c r="W6" i="5"/>
  <c r="A2" i="5" a="1"/>
  <c r="A2" i="5" s="1"/>
  <c r="B2" i="5" a="1"/>
  <c r="C2" i="5" a="1"/>
  <c r="M2" i="5" a="1"/>
  <c r="N2" i="5" a="1"/>
  <c r="N2" i="5" s="1"/>
  <c r="AB78" i="5" a="1"/>
  <c r="AB78" i="5" s="1"/>
  <c r="AB79" i="5" s="1"/>
  <c r="AF6" i="5"/>
  <c r="AF7" i="5"/>
  <c r="AF8" i="5"/>
  <c r="AF9" i="5"/>
  <c r="AF10" i="5"/>
  <c r="AF11" i="5"/>
  <c r="AF12" i="5"/>
  <c r="AF14" i="5"/>
  <c r="AF15" i="5"/>
  <c r="AF16" i="5"/>
  <c r="AF17" i="5"/>
  <c r="AF18" i="5"/>
  <c r="AF19" i="5"/>
  <c r="AF21" i="5"/>
  <c r="AF22" i="5"/>
  <c r="AF23" i="5"/>
  <c r="AF24" i="5"/>
  <c r="AF25" i="5"/>
  <c r="AF26" i="5"/>
  <c r="AF27" i="5"/>
  <c r="AF28" i="5"/>
  <c r="AF29" i="5"/>
  <c r="AF30" i="5"/>
  <c r="AF31" i="5"/>
  <c r="AF32" i="5"/>
  <c r="AF33" i="5"/>
  <c r="AF34" i="5"/>
  <c r="AF35" i="5"/>
  <c r="AF36" i="5"/>
  <c r="AF37" i="5"/>
  <c r="AF38" i="5"/>
  <c r="AF39" i="5"/>
  <c r="AF40" i="5"/>
  <c r="AF41" i="5"/>
  <c r="AF42" i="5"/>
  <c r="AF4" i="5"/>
  <c r="AH24" i="5"/>
  <c r="AH40" i="5"/>
  <c r="AH28" i="5"/>
  <c r="AH27" i="5"/>
  <c r="AH25" i="5"/>
  <c r="AH39" i="5"/>
  <c r="AG97" i="5" l="1"/>
  <c r="AI111" i="5"/>
  <c r="AS8" i="5"/>
  <c r="AJ111" i="5"/>
  <c r="AS95" i="5"/>
  <c r="AS94" i="5"/>
  <c r="X6" i="8" a="1"/>
  <c r="X6" i="8" s="1"/>
  <c r="AS74" i="5"/>
  <c r="AS17" i="5"/>
  <c r="AS88" i="5"/>
  <c r="AI109" i="5"/>
  <c r="AG33" i="5"/>
  <c r="AG76" i="5"/>
  <c r="AJ98" i="5"/>
  <c r="AJ109" i="5"/>
  <c r="AS37" i="5"/>
  <c r="AI27" i="5"/>
  <c r="AI98" i="5"/>
  <c r="AG107" i="5"/>
  <c r="Y8" i="10" a="1"/>
  <c r="Y8" i="10" s="1"/>
  <c r="Z8" i="10" s="1"/>
  <c r="X7" i="5" a="1"/>
  <c r="X7" i="5" s="1"/>
  <c r="Y7" i="5" a="1"/>
  <c r="Y7" i="5" s="1"/>
  <c r="AI26" i="5"/>
  <c r="AI40" i="5"/>
  <c r="AI25" i="5"/>
  <c r="Y6" i="5" a="1"/>
  <c r="Y6" i="5" s="1"/>
  <c r="X6" i="5" a="1"/>
  <c r="X6" i="5" s="1"/>
  <c r="AG10" i="5"/>
  <c r="AG23" i="5"/>
  <c r="AG123" i="5"/>
  <c r="AG37" i="5"/>
  <c r="AG81" i="5"/>
  <c r="D2" i="10"/>
  <c r="F2" i="10" s="1"/>
  <c r="G2" i="10"/>
  <c r="I2" i="10" s="1"/>
  <c r="AI8" i="5"/>
  <c r="AS83" i="5"/>
  <c r="AS15" i="5"/>
  <c r="AS30" i="5"/>
  <c r="AJ97" i="5"/>
  <c r="AJ72" i="5"/>
  <c r="AI15" i="5"/>
  <c r="AG15" i="5"/>
  <c r="AS81" i="5"/>
  <c r="AS28" i="5"/>
  <c r="AG68" i="5"/>
  <c r="AJ94" i="5"/>
  <c r="AJ32" i="5"/>
  <c r="AI112" i="5"/>
  <c r="AJ33" i="5"/>
  <c r="AJ112" i="5"/>
  <c r="AI94" i="5"/>
  <c r="AJ26" i="5"/>
  <c r="AJ23" i="5"/>
  <c r="AS72" i="5"/>
  <c r="AI42" i="5"/>
  <c r="AI28" i="5"/>
  <c r="AS109" i="5"/>
  <c r="AS31" i="5"/>
  <c r="AG28" i="5"/>
  <c r="AJ41" i="5"/>
  <c r="AI23" i="5"/>
  <c r="AI33" i="5"/>
  <c r="AJ123" i="5"/>
  <c r="AJ74" i="5"/>
  <c r="AJ18" i="5"/>
  <c r="AJ40" i="5"/>
  <c r="AJ95" i="5"/>
  <c r="AJ93" i="5"/>
  <c r="AI35" i="5"/>
  <c r="AG74" i="5"/>
  <c r="B2" i="5"/>
  <c r="AG75" i="5"/>
  <c r="AG36" i="5"/>
  <c r="AG4" i="5"/>
  <c r="AG8" i="5"/>
  <c r="AW16" i="5"/>
  <c r="AI122" i="5"/>
  <c r="AG31" i="5"/>
  <c r="AI72" i="5"/>
  <c r="AG35" i="5"/>
  <c r="AS92" i="5"/>
  <c r="AJ7" i="5"/>
  <c r="AG30" i="5"/>
  <c r="AS7" i="5"/>
  <c r="AI11" i="5"/>
  <c r="AG42" i="5"/>
  <c r="AI95" i="5"/>
  <c r="AJ8" i="5"/>
  <c r="AG7" i="5"/>
  <c r="AJ28" i="5"/>
  <c r="AL28" i="5" s="1"/>
  <c r="AJ30" i="5"/>
  <c r="AG29" i="5"/>
  <c r="AG16" i="5"/>
  <c r="AW37" i="5"/>
  <c r="AI10" i="5"/>
  <c r="AJ10" i="5"/>
  <c r="AG34" i="5"/>
  <c r="AG24" i="5"/>
  <c r="AI22" i="5"/>
  <c r="AI81" i="5"/>
  <c r="AS91" i="5"/>
  <c r="AS18" i="5"/>
  <c r="AJ29" i="5"/>
  <c r="AI4" i="5"/>
  <c r="AG120" i="5"/>
  <c r="AS84" i="5"/>
  <c r="AJ120" i="5"/>
  <c r="AS110" i="5"/>
  <c r="AI31" i="5"/>
  <c r="AG27" i="5"/>
  <c r="AJ27" i="5"/>
  <c r="AL27" i="5" s="1"/>
  <c r="AJ34" i="5"/>
  <c r="AG41" i="5"/>
  <c r="AG22" i="5"/>
  <c r="AJ37" i="5"/>
  <c r="AI110" i="5"/>
  <c r="AJ122" i="5"/>
  <c r="AG39" i="5"/>
  <c r="AS89" i="5"/>
  <c r="AJ36" i="5"/>
  <c r="AI73" i="5"/>
  <c r="AG99" i="5"/>
  <c r="AG110" i="5"/>
  <c r="AJ12" i="5"/>
  <c r="AS21" i="5"/>
  <c r="AJ99" i="5"/>
  <c r="AS32" i="5"/>
  <c r="AS76" i="5"/>
  <c r="AG32" i="5"/>
  <c r="AI76" i="5"/>
  <c r="AG40" i="5"/>
  <c r="AI16" i="5"/>
  <c r="AJ121" i="5"/>
  <c r="AI121" i="5"/>
  <c r="AG21" i="5"/>
  <c r="AG12" i="5"/>
  <c r="AJ73" i="5"/>
  <c r="AS12" i="5"/>
  <c r="AJ21" i="5"/>
  <c r="C2" i="5"/>
  <c r="AJ76" i="5"/>
  <c r="AG26" i="5"/>
  <c r="AG25" i="5"/>
  <c r="AI24" i="5"/>
  <c r="AG19" i="5"/>
  <c r="AG18" i="5"/>
  <c r="AG17" i="5"/>
  <c r="AG9" i="5"/>
  <c r="AW38" i="5"/>
  <c r="AW75" i="5"/>
  <c r="AS85" i="5"/>
  <c r="AS73" i="5"/>
  <c r="AS40" i="5"/>
  <c r="AS27" i="5"/>
  <c r="AS26" i="5"/>
  <c r="AS22" i="5"/>
  <c r="AS10" i="5"/>
  <c r="AJ19" i="5"/>
  <c r="M2" i="5"/>
  <c r="AI19" i="5"/>
  <c r="AG71" i="5"/>
  <c r="AJ107" i="5"/>
  <c r="AG76" i="8"/>
  <c r="AS86" i="5"/>
  <c r="AS90" i="5"/>
  <c r="AJ25" i="5"/>
  <c r="AJ9" i="5"/>
  <c r="AG38" i="5"/>
  <c r="AS19" i="5"/>
  <c r="AJ17" i="5"/>
  <c r="AJ6" i="5"/>
  <c r="AI39" i="5"/>
  <c r="AG14" i="5"/>
  <c r="AS82" i="5"/>
  <c r="AI17" i="5"/>
  <c r="AG93" i="5"/>
  <c r="AG6" i="5"/>
  <c r="AS14" i="5"/>
  <c r="AG69" i="5"/>
  <c r="AI9" i="5"/>
  <c r="AJ38" i="5"/>
  <c r="AS11" i="5"/>
  <c r="AS25" i="5"/>
  <c r="AI68" i="5"/>
  <c r="AS69" i="5"/>
  <c r="AS39" i="5"/>
  <c r="AI14" i="5"/>
  <c r="AJ71" i="5"/>
  <c r="AG11" i="5"/>
  <c r="AI69" i="5"/>
  <c r="AI107" i="5"/>
  <c r="AI76" i="8"/>
  <c r="AG7" i="8"/>
  <c r="AJ76" i="8"/>
  <c r="AI7" i="8"/>
  <c r="Z6" i="5" l="1"/>
  <c r="Z7" i="5"/>
  <c r="G2" i="5"/>
  <c r="D2" i="5"/>
  <c r="E2" i="5" s="1"/>
  <c r="H2" i="10"/>
  <c r="E2" i="10"/>
  <c r="AE27" i="8"/>
  <c r="AJ27" i="8" s="1"/>
  <c r="AE20" i="8"/>
  <c r="AJ20" i="8" s="1"/>
  <c r="AE80" i="8"/>
  <c r="AJ80" i="8" s="1"/>
  <c r="AE10" i="8"/>
  <c r="AJ10" i="8" s="1"/>
  <c r="AE17" i="8"/>
  <c r="AJ17" i="8" s="1"/>
  <c r="AE16" i="8"/>
  <c r="AI16" i="8" s="1"/>
  <c r="AR98" i="8"/>
  <c r="AE24" i="8"/>
  <c r="AJ24" i="8" s="1"/>
  <c r="AR99" i="8"/>
  <c r="AE21" i="8"/>
  <c r="AJ21" i="8" s="1"/>
  <c r="AE110" i="8"/>
  <c r="AI110" i="8" s="1"/>
  <c r="AE98" i="8"/>
  <c r="AJ98" i="8" s="1"/>
  <c r="AE6" i="8"/>
  <c r="AJ6" i="8" s="1"/>
  <c r="AE23" i="8"/>
  <c r="AI23" i="8" s="1"/>
  <c r="AE99" i="8"/>
  <c r="AJ99" i="8" s="1"/>
  <c r="AE112" i="8"/>
  <c r="AJ112" i="8" s="1"/>
  <c r="AE18" i="8"/>
  <c r="AJ18" i="8" s="1"/>
  <c r="AE25" i="8"/>
  <c r="AJ25" i="8" s="1"/>
  <c r="AE4" i="8"/>
  <c r="AI4" i="8" s="1"/>
  <c r="AE96" i="8"/>
  <c r="AI96" i="8" s="1"/>
  <c r="AE5" i="8"/>
  <c r="AJ5" i="8" s="1"/>
  <c r="AE14" i="8"/>
  <c r="AI14" i="8" s="1"/>
  <c r="AR23" i="8"/>
  <c r="AR24" i="8"/>
  <c r="AR19" i="8"/>
  <c r="AR10" i="8"/>
  <c r="AR14" i="8"/>
  <c r="AV21" i="8"/>
  <c r="AV22" i="8"/>
  <c r="AR15" i="8"/>
  <c r="AR16" i="8"/>
  <c r="AE26" i="8"/>
  <c r="AG26" i="8" s="1"/>
  <c r="AR80" i="8"/>
  <c r="AE12" i="8"/>
  <c r="AG12" i="8" s="1"/>
  <c r="AE77" i="8"/>
  <c r="AJ77" i="8" s="1"/>
  <c r="AE11" i="8"/>
  <c r="AG11" i="8" s="1"/>
  <c r="AE15" i="8"/>
  <c r="AG15" i="8" s="1"/>
  <c r="AR13" i="8"/>
  <c r="AE9" i="8"/>
  <c r="AJ9" i="8" s="1"/>
  <c r="AE97" i="8"/>
  <c r="AG97" i="8" s="1"/>
  <c r="AE13" i="8"/>
  <c r="AG13" i="8" s="1"/>
  <c r="AR20" i="8"/>
  <c r="AE109" i="8"/>
  <c r="AJ109" i="8" s="1"/>
  <c r="AE101" i="8"/>
  <c r="AJ101" i="8" s="1"/>
  <c r="AE19" i="8"/>
  <c r="AG19" i="8" s="1"/>
  <c r="AE8" i="8"/>
  <c r="AE111" i="8"/>
  <c r="AJ111" i="8" s="1"/>
  <c r="AE79" i="8"/>
  <c r="AS79" i="8" s="1"/>
  <c r="AE82" i="8"/>
  <c r="AJ82" i="8" s="1"/>
  <c r="AE22" i="8"/>
  <c r="AG22" i="8" s="1"/>
  <c r="AR50" i="8"/>
  <c r="AE50" i="8"/>
  <c r="AJ50" i="8" s="1"/>
  <c r="AR28" i="8"/>
  <c r="AE28" i="8"/>
  <c r="AI28" i="8" s="1"/>
  <c r="AP44" i="8" a="1"/>
  <c r="AP44" i="8" s="1"/>
  <c r="AR44" i="8" s="1"/>
  <c r="AR27" i="8"/>
  <c r="AS27" i="8" s="1"/>
  <c r="AV27" i="8"/>
  <c r="AW27" i="8" s="1"/>
  <c r="AE100" i="8"/>
  <c r="AJ100" i="8" s="1"/>
  <c r="M2" i="8" a="1"/>
  <c r="AE83" i="8"/>
  <c r="AG83" i="8" s="1"/>
  <c r="AE86" i="8"/>
  <c r="AJ86" i="8" s="1"/>
  <c r="AE85" i="8"/>
  <c r="AJ85" i="8" s="1"/>
  <c r="AE87" i="8"/>
  <c r="AG87" i="8" s="1"/>
  <c r="AE84" i="8"/>
  <c r="AJ84" i="8" s="1"/>
  <c r="AE29" i="8"/>
  <c r="AG29" i="8" s="1"/>
  <c r="AE32" i="8"/>
  <c r="AG32" i="8" s="1"/>
  <c r="AE30" i="8"/>
  <c r="AI30" i="8" s="1"/>
  <c r="AE38" i="8"/>
  <c r="AG38" i="8" s="1"/>
  <c r="AE39" i="8"/>
  <c r="AG39" i="8" s="1"/>
  <c r="AE36" i="8"/>
  <c r="AI36" i="8" s="1"/>
  <c r="AE35" i="8"/>
  <c r="AG35" i="8" s="1"/>
  <c r="AR35" i="8"/>
  <c r="AE33" i="8"/>
  <c r="AG33" i="8" s="1"/>
  <c r="AE43" i="8"/>
  <c r="AI43" i="8" s="1"/>
  <c r="AE41" i="8"/>
  <c r="AI41" i="8" s="1"/>
  <c r="AE49" i="8"/>
  <c r="AJ49" i="8" s="1"/>
  <c r="AE45" i="8"/>
  <c r="AJ45" i="8" s="1"/>
  <c r="AE48" i="8"/>
  <c r="AJ48" i="8" s="1"/>
  <c r="AE46" i="8"/>
  <c r="AJ46" i="8" s="1"/>
  <c r="AE44" i="8"/>
  <c r="AJ44" i="8" s="1"/>
  <c r="AE42" i="8"/>
  <c r="AJ42" i="8" s="1"/>
  <c r="AE40" i="8"/>
  <c r="AJ40" i="8" s="1"/>
  <c r="AE47" i="8"/>
  <c r="AG47" i="8" s="1"/>
  <c r="AE34" i="8"/>
  <c r="AI34" i="8" s="1"/>
  <c r="AE37" i="8"/>
  <c r="AG37" i="8" s="1"/>
  <c r="AE31" i="8"/>
  <c r="AG31" i="8" s="1"/>
  <c r="AV48" i="8"/>
  <c r="AR46" i="8"/>
  <c r="AV47" i="8"/>
  <c r="AR49" i="8"/>
  <c r="AP37" i="10" a="1"/>
  <c r="AP37" i="10" s="1"/>
  <c r="AQ37" i="10" s="1"/>
  <c r="AQ45" i="8"/>
  <c r="AR45" i="8"/>
  <c r="AD7" i="8"/>
  <c r="AN7" i="8"/>
  <c r="Y6" i="8" s="1" a="1"/>
  <c r="Y6" i="8" s="1"/>
  <c r="Z6" i="8" s="1"/>
  <c r="AR7" i="8"/>
  <c r="AS7" i="8" s="1"/>
  <c r="AD8" i="8"/>
  <c r="AN8" i="8"/>
  <c r="AQ8" i="8"/>
  <c r="AD9" i="8"/>
  <c r="AN9" i="8"/>
  <c r="AQ9" i="8"/>
  <c r="AD10" i="8"/>
  <c r="AN10" i="8"/>
  <c r="Y7" i="10" s="1" a="1"/>
  <c r="Y7" i="10" s="1"/>
  <c r="Z7" i="10" s="1"/>
  <c r="AQ10" i="8"/>
  <c r="AD17" i="8"/>
  <c r="AN17" i="8"/>
  <c r="AR17" i="8"/>
  <c r="AS17" i="8" s="1"/>
  <c r="AD18" i="8"/>
  <c r="AN18" i="8"/>
  <c r="AR18" i="8"/>
  <c r="AS18" i="8" s="1"/>
  <c r="AD19" i="8"/>
  <c r="AN19" i="8"/>
  <c r="AQ19" i="8"/>
  <c r="AD21" i="8"/>
  <c r="AN21" i="8"/>
  <c r="AD23" i="8"/>
  <c r="AN23" i="8"/>
  <c r="AD24" i="8"/>
  <c r="AN24" i="8"/>
  <c r="AD25" i="8"/>
  <c r="AN25" i="8"/>
  <c r="AD12" i="8"/>
  <c r="AD13" i="8"/>
  <c r="AN13" i="8"/>
  <c r="Y13" i="10" s="1" a="1"/>
  <c r="Y13" i="10" s="1"/>
  <c r="Z13" i="10" s="1"/>
  <c r="AQ13" i="8"/>
  <c r="AD15" i="8"/>
  <c r="AN15" i="8"/>
  <c r="AQ15" i="8"/>
  <c r="AD16" i="8"/>
  <c r="AN16" i="8"/>
  <c r="AQ16" i="8"/>
  <c r="AD26" i="8"/>
  <c r="AN26" i="8"/>
  <c r="AD27" i="8"/>
  <c r="AN27" i="8"/>
  <c r="Y9" i="10" s="1" a="1"/>
  <c r="Y9" i="10" s="1"/>
  <c r="Z9" i="10" s="1"/>
  <c r="AD28" i="8"/>
  <c r="AN28" i="8"/>
  <c r="AD11" i="8"/>
  <c r="AD5" i="8"/>
  <c r="AR5" i="8"/>
  <c r="AS5" i="8" s="1"/>
  <c r="AD4" i="8"/>
  <c r="AR4" i="8"/>
  <c r="AS4" i="8" s="1"/>
  <c r="AD6" i="8"/>
  <c r="AR6" i="8"/>
  <c r="AS6" i="8" s="1"/>
  <c r="AD50" i="8"/>
  <c r="AD20" i="8"/>
  <c r="AN20" i="8"/>
  <c r="AQ20" i="8"/>
  <c r="AD14" i="8"/>
  <c r="AN14" i="8"/>
  <c r="AQ14" i="8"/>
  <c r="AD76" i="8"/>
  <c r="AR76" i="8"/>
  <c r="AS76" i="8" s="1"/>
  <c r="AV76" i="8"/>
  <c r="AW76" i="8" s="1"/>
  <c r="AD77" i="8"/>
  <c r="AQ77" i="8"/>
  <c r="AV77" i="8"/>
  <c r="AW77" i="8" s="1"/>
  <c r="AQ79" i="8"/>
  <c r="AV79" i="8"/>
  <c r="AW79" i="8" s="1"/>
  <c r="AQ80" i="8"/>
  <c r="AV80" i="8"/>
  <c r="AW80" i="8" s="1"/>
  <c r="AR82" i="8"/>
  <c r="AS82" i="8" s="1"/>
  <c r="AV82" i="8"/>
  <c r="AW82" i="8" s="1"/>
  <c r="AD96" i="8"/>
  <c r="AR96" i="8"/>
  <c r="AS96" i="8" s="1"/>
  <c r="AV96" i="8"/>
  <c r="AW96" i="8" s="1"/>
  <c r="AD97" i="8"/>
  <c r="AR97" i="8"/>
  <c r="AS97" i="8" s="1"/>
  <c r="AV97" i="8"/>
  <c r="AW97" i="8" s="1"/>
  <c r="AD98" i="8"/>
  <c r="AQ98" i="8"/>
  <c r="AV98" i="8"/>
  <c r="AW98" i="8" s="1"/>
  <c r="AD99" i="8"/>
  <c r="AQ99" i="8"/>
  <c r="AV99" i="8"/>
  <c r="AW99" i="8" s="1"/>
  <c r="AR100" i="8"/>
  <c r="AS100" i="8" s="1"/>
  <c r="AV100" i="8"/>
  <c r="AW100" i="8" s="1"/>
  <c r="AR101" i="8"/>
  <c r="AS101" i="8" s="1"/>
  <c r="AV101" i="8"/>
  <c r="AW101" i="8" s="1"/>
  <c r="AD109" i="8"/>
  <c r="AR109" i="8"/>
  <c r="AS109" i="8" s="1"/>
  <c r="AV109" i="8"/>
  <c r="AW109" i="8" s="1"/>
  <c r="AD110" i="8"/>
  <c r="AR110" i="8"/>
  <c r="AS110" i="8" s="1"/>
  <c r="AV110" i="8"/>
  <c r="AW110" i="8" s="1"/>
  <c r="AD111" i="8"/>
  <c r="AR111" i="8"/>
  <c r="AS111" i="8" s="1"/>
  <c r="AV111" i="8"/>
  <c r="AW111" i="8" s="1"/>
  <c r="AD112" i="8"/>
  <c r="AR112" i="8"/>
  <c r="AS112" i="8" s="1"/>
  <c r="AV112" i="8"/>
  <c r="AW112" i="8" s="1"/>
  <c r="AB114" i="8" a="1"/>
  <c r="AB114" i="8" s="1"/>
  <c r="AB115" i="8" s="1"/>
  <c r="AD87" i="8"/>
  <c r="AD86" i="8"/>
  <c r="AD85" i="8"/>
  <c r="AD84" i="8"/>
  <c r="AD83" i="8"/>
  <c r="AD82" i="8"/>
  <c r="AD80" i="8"/>
  <c r="AD79" i="8"/>
  <c r="AN22" i="8"/>
  <c r="AD22" i="8"/>
  <c r="AR12" i="8"/>
  <c r="AS12" i="8" s="1"/>
  <c r="AR11" i="8"/>
  <c r="AS11" i="8" s="1"/>
  <c r="AQ24" i="8"/>
  <c r="AQ23" i="8"/>
  <c r="AR22" i="8"/>
  <c r="AS22" i="8" s="1"/>
  <c r="AR21" i="8"/>
  <c r="AS21" i="8" s="1"/>
  <c r="AV5" i="8"/>
  <c r="AW5" i="8" s="1"/>
  <c r="AU22" i="8"/>
  <c r="AU21" i="8"/>
  <c r="AV20" i="8"/>
  <c r="AW20" i="8" s="1"/>
  <c r="AV19" i="8"/>
  <c r="AW19" i="8" s="1"/>
  <c r="AV18" i="8"/>
  <c r="AW18" i="8" s="1"/>
  <c r="AV17" i="8"/>
  <c r="AW17" i="8" s="1"/>
  <c r="AV16" i="8"/>
  <c r="AW16" i="8" s="1"/>
  <c r="AV15" i="8"/>
  <c r="AW15" i="8" s="1"/>
  <c r="AV14" i="8"/>
  <c r="AW14" i="8" s="1"/>
  <c r="AV13" i="8"/>
  <c r="AW13" i="8" s="1"/>
  <c r="AV12" i="8"/>
  <c r="AW12" i="8" s="1"/>
  <c r="AV11" i="8"/>
  <c r="AW11" i="8" s="1"/>
  <c r="AV10" i="8"/>
  <c r="AW10" i="8" s="1"/>
  <c r="AV9" i="8"/>
  <c r="AW9" i="8" s="1"/>
  <c r="AV8" i="8"/>
  <c r="AW8" i="8" s="1"/>
  <c r="AV7" i="8"/>
  <c r="AW7" i="8" s="1"/>
  <c r="AV6" i="8"/>
  <c r="AW6" i="8" s="1"/>
  <c r="AV4" i="8"/>
  <c r="AW4" i="8" s="1"/>
  <c r="AR39" i="8"/>
  <c r="AS39" i="8" s="1"/>
  <c r="AR30" i="8"/>
  <c r="AS30" i="8" s="1"/>
  <c r="AR29" i="8"/>
  <c r="AQ29" i="8"/>
  <c r="AR33" i="8"/>
  <c r="AR32" i="8"/>
  <c r="AR38" i="8"/>
  <c r="AS38" i="8" s="1"/>
  <c r="AQ35" i="8"/>
  <c r="AQ32" i="8"/>
  <c r="AQ33" i="8"/>
  <c r="AB89" i="8" a="1"/>
  <c r="AB89" i="8" s="1"/>
  <c r="AB90" i="8" s="1"/>
  <c r="AV87" i="8"/>
  <c r="AW87" i="8" s="1"/>
  <c r="AR87" i="8"/>
  <c r="AS87" i="8" s="1"/>
  <c r="AV86" i="8"/>
  <c r="AW86" i="8" s="1"/>
  <c r="AR86" i="8"/>
  <c r="AS86" i="8" s="1"/>
  <c r="AV85" i="8"/>
  <c r="AW85" i="8" s="1"/>
  <c r="AR85" i="8"/>
  <c r="AS85" i="8" s="1"/>
  <c r="AV84" i="8"/>
  <c r="AW84" i="8" s="1"/>
  <c r="AR84" i="8"/>
  <c r="AS84" i="8" s="1"/>
  <c r="AV83" i="8"/>
  <c r="AW83" i="8" s="1"/>
  <c r="AR83" i="8"/>
  <c r="AS83" i="8" s="1"/>
  <c r="AD30" i="8"/>
  <c r="AD32" i="8"/>
  <c r="AD36" i="8"/>
  <c r="AD35" i="8"/>
  <c r="AV28" i="8"/>
  <c r="AW28" i="8" s="1"/>
  <c r="AV23" i="8"/>
  <c r="AW23" i="8" s="1"/>
  <c r="AV32" i="8"/>
  <c r="AW32" i="8" s="1"/>
  <c r="AV40" i="8"/>
  <c r="AW40" i="8" s="1"/>
  <c r="AR40" i="8"/>
  <c r="AS40" i="8" s="1"/>
  <c r="AR26" i="8"/>
  <c r="AS26" i="8" s="1"/>
  <c r="AV24" i="8"/>
  <c r="AW24" i="8" s="1"/>
  <c r="AV33" i="8"/>
  <c r="AW33" i="8" s="1"/>
  <c r="AV41" i="8"/>
  <c r="AW41" i="8" s="1"/>
  <c r="AV49" i="8"/>
  <c r="AW49" i="8" s="1"/>
  <c r="AR41" i="8"/>
  <c r="AS41" i="8" s="1"/>
  <c r="AV43" i="8"/>
  <c r="AW43" i="8" s="1"/>
  <c r="AV35" i="8"/>
  <c r="AW35" i="8" s="1"/>
  <c r="AR25" i="8"/>
  <c r="AS25" i="8" s="1"/>
  <c r="AR43" i="8"/>
  <c r="AV44" i="8"/>
  <c r="AW44" i="8" s="1"/>
  <c r="AV25" i="8"/>
  <c r="AW25" i="8" s="1"/>
  <c r="AV34" i="8"/>
  <c r="AW34" i="8" s="1"/>
  <c r="AV42" i="8"/>
  <c r="AW42" i="8" s="1"/>
  <c r="AV50" i="8"/>
  <c r="AW50" i="8" s="1"/>
  <c r="AR34" i="8"/>
  <c r="AR42" i="8"/>
  <c r="AS42" i="8" s="1"/>
  <c r="AV26" i="8"/>
  <c r="AW26" i="8" s="1"/>
  <c r="AV36" i="8"/>
  <c r="AW36" i="8" s="1"/>
  <c r="AV29" i="8"/>
  <c r="AW29" i="8" s="1"/>
  <c r="AV46" i="8"/>
  <c r="AW46" i="8" s="1"/>
  <c r="AV30" i="8"/>
  <c r="AW30" i="8" s="1"/>
  <c r="AV38" i="8"/>
  <c r="AW38" i="8" s="1"/>
  <c r="AR47" i="8"/>
  <c r="AS47" i="8" s="1"/>
  <c r="AV37" i="8"/>
  <c r="AW37" i="8" s="1"/>
  <c r="AR48" i="8"/>
  <c r="AS48" i="8" s="1"/>
  <c r="AV39" i="8"/>
  <c r="AW39" i="8" s="1"/>
  <c r="AR37" i="8"/>
  <c r="AV31" i="8"/>
  <c r="AW31" i="8" s="1"/>
  <c r="AN32" i="8"/>
  <c r="Y11" i="10" s="1" a="1"/>
  <c r="Y11" i="10" s="1"/>
  <c r="Z11" i="10" s="1"/>
  <c r="AR31" i="8"/>
  <c r="AN36" i="8"/>
  <c r="AN39" i="8"/>
  <c r="AV45" i="8"/>
  <c r="AW45" i="8" s="1"/>
  <c r="AN29" i="8"/>
  <c r="AN33" i="8"/>
  <c r="Z10" i="10" s="1"/>
  <c r="AN30" i="8"/>
  <c r="AR36" i="8"/>
  <c r="AN38" i="8"/>
  <c r="AU27" i="8"/>
  <c r="AQ37" i="8"/>
  <c r="AQ34" i="8"/>
  <c r="AQ28" i="8"/>
  <c r="AD38" i="8"/>
  <c r="AD29" i="8"/>
  <c r="AD39" i="8"/>
  <c r="AD33" i="8"/>
  <c r="AD40" i="8"/>
  <c r="AN40" i="8"/>
  <c r="AD41" i="8"/>
  <c r="AD42" i="8"/>
  <c r="AD43" i="8"/>
  <c r="AN43" i="8"/>
  <c r="AD44" i="8"/>
  <c r="AN44" i="8"/>
  <c r="AD45" i="8"/>
  <c r="AN45" i="8"/>
  <c r="AD46" i="8"/>
  <c r="AN46" i="8"/>
  <c r="AD47" i="8"/>
  <c r="AD48" i="8"/>
  <c r="AD49" i="8"/>
  <c r="AN31" i="8"/>
  <c r="AD31" i="8"/>
  <c r="AN37" i="8"/>
  <c r="AD37" i="8"/>
  <c r="AN35" i="8"/>
  <c r="Y14" i="10" s="1" a="1"/>
  <c r="Y14" i="10" s="1"/>
  <c r="Z14" i="10" s="1"/>
  <c r="AN34" i="8"/>
  <c r="AD34" i="8"/>
  <c r="AQ31" i="8"/>
  <c r="AQ50" i="8"/>
  <c r="AQ49" i="8"/>
  <c r="AQ46" i="8"/>
  <c r="AQ43" i="8"/>
  <c r="AU48" i="8"/>
  <c r="AU47" i="8"/>
  <c r="S27" i="8" a="1"/>
  <c r="S27" i="8" s="1"/>
  <c r="S28" i="8" a="1"/>
  <c r="S28" i="8" s="1"/>
  <c r="S29" i="8" a="1"/>
  <c r="S29" i="8" s="1"/>
  <c r="S31" i="8" a="1"/>
  <c r="S31" i="8" s="1"/>
  <c r="A2" i="8" a="1"/>
  <c r="A2" i="8" s="1"/>
  <c r="C2" i="8" a="1"/>
  <c r="C2" i="8" s="1"/>
  <c r="B2" i="8" a="1"/>
  <c r="B2" i="8" s="1"/>
  <c r="N2" i="8" a="1"/>
  <c r="N2" i="8" s="1"/>
  <c r="AS32" i="8" l="1"/>
  <c r="H2" i="5"/>
  <c r="I2" i="5"/>
  <c r="AS34" i="8"/>
  <c r="AS31" i="8"/>
  <c r="AS36" i="8"/>
  <c r="AS29" i="8"/>
  <c r="AW48" i="8"/>
  <c r="AS20" i="8"/>
  <c r="AJ8" i="8"/>
  <c r="X7" i="8" a="1"/>
  <c r="X7" i="8" s="1"/>
  <c r="Y7" i="8" a="1"/>
  <c r="Y7" i="8" s="1"/>
  <c r="Y6" i="10" a="1"/>
  <c r="Y6" i="10" s="1"/>
  <c r="Z6" i="10" s="1"/>
  <c r="AS80" i="8"/>
  <c r="AS37" i="8"/>
  <c r="AS35" i="8"/>
  <c r="T21" i="8"/>
  <c r="V21" i="8" s="1"/>
  <c r="AS43" i="8"/>
  <c r="AS16" i="8"/>
  <c r="F2" i="5"/>
  <c r="AS33" i="8"/>
  <c r="AS45" i="8"/>
  <c r="AW21" i="8"/>
  <c r="AS14" i="8"/>
  <c r="AQ44" i="8"/>
  <c r="AS10" i="8"/>
  <c r="AS49" i="8"/>
  <c r="AW47" i="8"/>
  <c r="AS24" i="8"/>
  <c r="AS46" i="8"/>
  <c r="AS23" i="8"/>
  <c r="AR37" i="10"/>
  <c r="AS37" i="10" s="1"/>
  <c r="AI31" i="8"/>
  <c r="AJ31" i="8"/>
  <c r="AI37" i="8"/>
  <c r="AJ37" i="8"/>
  <c r="AG34" i="8"/>
  <c r="AJ34" i="8"/>
  <c r="AJ47" i="8"/>
  <c r="AI47" i="8"/>
  <c r="AI40" i="8"/>
  <c r="AG40" i="8"/>
  <c r="AI42" i="8"/>
  <c r="AG42" i="8"/>
  <c r="AI44" i="8"/>
  <c r="AG44" i="8"/>
  <c r="AI46" i="8"/>
  <c r="AG46" i="8"/>
  <c r="AI48" i="8"/>
  <c r="AG48" i="8"/>
  <c r="AI45" i="8"/>
  <c r="AG45" i="8"/>
  <c r="AG49" i="8"/>
  <c r="AI49" i="8"/>
  <c r="AJ41" i="8"/>
  <c r="AG41" i="8"/>
  <c r="AG43" i="8"/>
  <c r="AJ43" i="8"/>
  <c r="AJ33" i="8"/>
  <c r="AI33" i="8"/>
  <c r="AI35" i="8"/>
  <c r="AJ35" i="8"/>
  <c r="AG36" i="8"/>
  <c r="AJ36" i="8"/>
  <c r="AJ39" i="8"/>
  <c r="AI39" i="8"/>
  <c r="AI38" i="8"/>
  <c r="AJ38" i="8"/>
  <c r="AJ30" i="8"/>
  <c r="AG30" i="8"/>
  <c r="AI32" i="8"/>
  <c r="AJ32" i="8"/>
  <c r="AJ29" i="8"/>
  <c r="AI29" i="8"/>
  <c r="AG84" i="8"/>
  <c r="AI84" i="8"/>
  <c r="AI87" i="8"/>
  <c r="AJ87" i="8"/>
  <c r="AI85" i="8"/>
  <c r="AG85" i="8"/>
  <c r="AG86" i="8"/>
  <c r="AI86" i="8"/>
  <c r="AI83" i="8"/>
  <c r="AJ83" i="8"/>
  <c r="T20" i="8"/>
  <c r="V20" i="8" s="1"/>
  <c r="M2" i="8"/>
  <c r="AG100" i="8"/>
  <c r="AI100" i="8"/>
  <c r="AS44" i="8"/>
  <c r="AG28" i="8"/>
  <c r="AJ28" i="8"/>
  <c r="AS28" i="8"/>
  <c r="AI50" i="8"/>
  <c r="AG50" i="8"/>
  <c r="AS50" i="8"/>
  <c r="AI22" i="8"/>
  <c r="AJ22" i="8"/>
  <c r="AG82" i="8"/>
  <c r="AI82" i="8"/>
  <c r="AJ79" i="8"/>
  <c r="AI79" i="8"/>
  <c r="AG79" i="8"/>
  <c r="AG111" i="8"/>
  <c r="AI111" i="8"/>
  <c r="AG8" i="8"/>
  <c r="AI8" i="8"/>
  <c r="AS8" i="8"/>
  <c r="AJ19" i="8"/>
  <c r="AI19" i="8"/>
  <c r="AG101" i="8"/>
  <c r="AI101" i="8"/>
  <c r="AG109" i="8"/>
  <c r="AI109" i="8"/>
  <c r="AI13" i="8"/>
  <c r="AJ13" i="8"/>
  <c r="AJ97" i="8"/>
  <c r="AI97" i="8"/>
  <c r="AI9" i="8"/>
  <c r="AG9" i="8"/>
  <c r="AS9" i="8"/>
  <c r="AS13" i="8"/>
  <c r="AI15" i="8"/>
  <c r="AJ15" i="8"/>
  <c r="AL15" i="8" s="1"/>
  <c r="AJ11" i="8"/>
  <c r="AI11" i="8"/>
  <c r="AG77" i="8"/>
  <c r="AI77" i="8"/>
  <c r="AS77" i="8"/>
  <c r="AJ12" i="8"/>
  <c r="AI12" i="8"/>
  <c r="AJ26" i="8"/>
  <c r="AI26" i="8"/>
  <c r="AS15" i="8"/>
  <c r="AW22" i="8"/>
  <c r="AS19" i="8"/>
  <c r="AJ14" i="8"/>
  <c r="AG14" i="8"/>
  <c r="AG5" i="8"/>
  <c r="AI5" i="8"/>
  <c r="AG96" i="8"/>
  <c r="AJ96" i="8"/>
  <c r="AJ4" i="8"/>
  <c r="AG4" i="8"/>
  <c r="AI25" i="8"/>
  <c r="AG25" i="8"/>
  <c r="AG18" i="8"/>
  <c r="AI18" i="8"/>
  <c r="AI112" i="8"/>
  <c r="AG112" i="8"/>
  <c r="AG99" i="8"/>
  <c r="AI99" i="8"/>
  <c r="AJ23" i="8"/>
  <c r="AG23" i="8"/>
  <c r="AI6" i="8"/>
  <c r="AG6" i="8"/>
  <c r="AG98" i="8"/>
  <c r="AI98" i="8"/>
  <c r="AG110" i="8"/>
  <c r="AJ110" i="8"/>
  <c r="AI21" i="8"/>
  <c r="AG21" i="8"/>
  <c r="AS99" i="8"/>
  <c r="AI24" i="8"/>
  <c r="AG24" i="8"/>
  <c r="AS98" i="8"/>
  <c r="AJ16" i="8"/>
  <c r="AL16" i="8" s="1"/>
  <c r="AG16" i="8"/>
  <c r="AG17" i="8"/>
  <c r="AI17" i="8"/>
  <c r="AG10" i="8"/>
  <c r="AI10" i="8"/>
  <c r="AI80" i="8"/>
  <c r="AG80" i="8"/>
  <c r="AG20" i="8"/>
  <c r="AI20" i="8"/>
  <c r="AG27" i="8"/>
  <c r="AI27" i="8"/>
  <c r="Z7" i="8" l="1"/>
  <c r="D2" i="8"/>
  <c r="G2" i="8"/>
  <c r="I2" i="8" s="1"/>
  <c r="H2" i="8" l="1"/>
  <c r="E2" i="8"/>
  <c r="F2" i="8"/>
  <c r="G11" i="5" l="1"/>
  <c r="D11" i="5"/>
  <c r="G67" i="5"/>
  <c r="D67" i="5"/>
  <c r="T22" i="5"/>
  <c r="V22" i="5" s="1"/>
  <c r="T21" i="5"/>
  <c r="V21" i="5" s="1"/>
  <c r="G4" i="5"/>
  <c r="D4" i="5"/>
  <c r="G44" i="5"/>
  <c r="D44" i="5"/>
  <c r="G3" i="5"/>
  <c r="D3" i="5"/>
  <c r="D51" i="5"/>
  <c r="G51" i="5"/>
  <c r="G36" i="5"/>
  <c r="D36" i="5"/>
  <c r="G13" i="5"/>
  <c r="D13" i="5"/>
  <c r="G21" i="5"/>
  <c r="D21" i="5"/>
  <c r="D29" i="5"/>
  <c r="G29" i="5"/>
  <c r="D37" i="5"/>
  <c r="G37" i="5"/>
  <c r="D45" i="5"/>
  <c r="G45" i="5"/>
  <c r="D53" i="5"/>
  <c r="G53" i="5"/>
  <c r="D61" i="5"/>
  <c r="G61" i="5"/>
  <c r="D69" i="5"/>
  <c r="G69" i="5"/>
  <c r="G77" i="5"/>
  <c r="D77" i="5"/>
  <c r="G59" i="5"/>
  <c r="D59" i="5"/>
  <c r="T23" i="5"/>
  <c r="V23" i="5" s="1"/>
  <c r="G60" i="5"/>
  <c r="D60" i="5"/>
  <c r="G22" i="5"/>
  <c r="D22" i="5"/>
  <c r="D30" i="5"/>
  <c r="G30" i="5"/>
  <c r="D38" i="5"/>
  <c r="G38" i="5"/>
  <c r="D46" i="5"/>
  <c r="G46" i="5"/>
  <c r="D54" i="5"/>
  <c r="G54" i="5"/>
  <c r="D62" i="5"/>
  <c r="G62" i="5"/>
  <c r="D70" i="5"/>
  <c r="G70" i="5"/>
  <c r="G78" i="5"/>
  <c r="D78" i="5"/>
  <c r="G19" i="5"/>
  <c r="D19" i="5"/>
  <c r="G75" i="5"/>
  <c r="D75" i="5"/>
  <c r="D12" i="5"/>
  <c r="G12" i="5"/>
  <c r="G52" i="5"/>
  <c r="D52" i="5"/>
  <c r="G7" i="5"/>
  <c r="D7" i="5"/>
  <c r="D31" i="5"/>
  <c r="G31" i="5"/>
  <c r="G55" i="5"/>
  <c r="D55" i="5"/>
  <c r="G63" i="5"/>
  <c r="D63" i="5"/>
  <c r="D71" i="5"/>
  <c r="G71" i="5"/>
  <c r="G79" i="5"/>
  <c r="D79" i="5"/>
  <c r="G27" i="5"/>
  <c r="D27" i="5"/>
  <c r="T18" i="5"/>
  <c r="V18" i="5" s="1"/>
  <c r="T15" i="5"/>
  <c r="V15" i="5" s="1"/>
  <c r="T14" i="5"/>
  <c r="V14" i="5" s="1"/>
  <c r="T16" i="5"/>
  <c r="V16" i="5" s="1"/>
  <c r="T17" i="5"/>
  <c r="V17" i="5" s="1"/>
  <c r="T19" i="5"/>
  <c r="V19" i="5" s="1"/>
  <c r="T20" i="5"/>
  <c r="V20" i="5" s="1"/>
  <c r="T13" i="5"/>
  <c r="V13" i="5" s="1"/>
  <c r="D20" i="5"/>
  <c r="G20" i="5"/>
  <c r="G68" i="5"/>
  <c r="D68" i="5"/>
  <c r="G5" i="5"/>
  <c r="D5" i="5"/>
  <c r="G14" i="5"/>
  <c r="D14" i="5"/>
  <c r="G23" i="5"/>
  <c r="D23" i="5"/>
  <c r="D47" i="5"/>
  <c r="G47" i="5"/>
  <c r="G8" i="5"/>
  <c r="D8" i="5"/>
  <c r="G16" i="5"/>
  <c r="D16" i="5"/>
  <c r="D24" i="5"/>
  <c r="G24" i="5"/>
  <c r="D32" i="5"/>
  <c r="G32" i="5"/>
  <c r="D40" i="5"/>
  <c r="G40" i="5"/>
  <c r="D48" i="5"/>
  <c r="G48" i="5"/>
  <c r="G56" i="5"/>
  <c r="D56" i="5"/>
  <c r="D64" i="5"/>
  <c r="G64" i="5"/>
  <c r="G72" i="5"/>
  <c r="D72" i="5"/>
  <c r="G80" i="5"/>
  <c r="D80" i="5"/>
  <c r="G35" i="5"/>
  <c r="D35" i="5"/>
  <c r="G28" i="5"/>
  <c r="D28" i="5"/>
  <c r="D76" i="5"/>
  <c r="G76" i="5"/>
  <c r="D6" i="5"/>
  <c r="G6" i="5"/>
  <c r="G15" i="5"/>
  <c r="D15" i="5"/>
  <c r="D39" i="5"/>
  <c r="G39" i="5"/>
  <c r="D9" i="5"/>
  <c r="G9" i="5"/>
  <c r="G17" i="5"/>
  <c r="D17" i="5"/>
  <c r="G25" i="5"/>
  <c r="D25" i="5"/>
  <c r="G33" i="5"/>
  <c r="D33" i="5"/>
  <c r="D41" i="5"/>
  <c r="G41" i="5"/>
  <c r="D49" i="5"/>
  <c r="G49" i="5"/>
  <c r="G57" i="5"/>
  <c r="D57" i="5"/>
  <c r="D65" i="5"/>
  <c r="G65" i="5"/>
  <c r="G73" i="5"/>
  <c r="D73" i="5"/>
  <c r="G81" i="5"/>
  <c r="D81" i="5"/>
  <c r="D43" i="5"/>
  <c r="G43" i="5"/>
  <c r="D10" i="5"/>
  <c r="G10" i="5"/>
  <c r="G18" i="5"/>
  <c r="D18" i="5"/>
  <c r="G26" i="5"/>
  <c r="D26" i="5"/>
  <c r="G34" i="5"/>
  <c r="D34" i="5"/>
  <c r="G42" i="5"/>
  <c r="D42" i="5"/>
  <c r="G50" i="5"/>
  <c r="D50" i="5"/>
  <c r="D58" i="5"/>
  <c r="G58" i="5"/>
  <c r="G66" i="5"/>
  <c r="D66" i="5"/>
  <c r="G74" i="5"/>
  <c r="D74" i="5"/>
  <c r="D82" i="5"/>
  <c r="G82" i="5"/>
  <c r="D5" i="10"/>
  <c r="G5" i="10"/>
  <c r="G6" i="10"/>
  <c r="D6" i="10"/>
  <c r="D38" i="10"/>
  <c r="G38" i="10"/>
  <c r="D70" i="10"/>
  <c r="G70" i="10"/>
  <c r="G78" i="10"/>
  <c r="D78" i="10"/>
  <c r="D21" i="10"/>
  <c r="G21" i="10"/>
  <c r="D61" i="10"/>
  <c r="G61" i="10"/>
  <c r="D30" i="10"/>
  <c r="G30" i="10"/>
  <c r="D62" i="10"/>
  <c r="G62" i="10"/>
  <c r="G7" i="10"/>
  <c r="D7" i="10"/>
  <c r="D15" i="10"/>
  <c r="G15" i="10"/>
  <c r="D23" i="10"/>
  <c r="G23" i="10"/>
  <c r="D31" i="10"/>
  <c r="G31" i="10"/>
  <c r="D39" i="10"/>
  <c r="G39" i="10"/>
  <c r="D47" i="10"/>
  <c r="G47" i="10"/>
  <c r="D55" i="10"/>
  <c r="G55" i="10"/>
  <c r="G63" i="10"/>
  <c r="D63" i="10"/>
  <c r="G71" i="10"/>
  <c r="D71" i="10"/>
  <c r="G79" i="10"/>
  <c r="D79" i="10"/>
  <c r="G13" i="10"/>
  <c r="D13" i="10"/>
  <c r="D53" i="10"/>
  <c r="G53" i="10"/>
  <c r="G22" i="10"/>
  <c r="D22" i="10"/>
  <c r="D54" i="10"/>
  <c r="G54" i="10"/>
  <c r="G8" i="10"/>
  <c r="D8" i="10"/>
  <c r="G16" i="10"/>
  <c r="D16" i="10"/>
  <c r="D24" i="10"/>
  <c r="G24" i="10"/>
  <c r="D32" i="10"/>
  <c r="G32" i="10"/>
  <c r="D40" i="10"/>
  <c r="G40" i="10"/>
  <c r="D48" i="10"/>
  <c r="G48" i="10"/>
  <c r="G56" i="10"/>
  <c r="D56" i="10"/>
  <c r="G64" i="10"/>
  <c r="D64" i="10"/>
  <c r="D72" i="10"/>
  <c r="G72" i="10"/>
  <c r="D80" i="10"/>
  <c r="G80" i="10"/>
  <c r="D12" i="10"/>
  <c r="G12" i="10"/>
  <c r="D37" i="10"/>
  <c r="G37" i="10"/>
  <c r="D77" i="10"/>
  <c r="G77" i="10"/>
  <c r="D14" i="10"/>
  <c r="G14" i="10"/>
  <c r="D46" i="10"/>
  <c r="G46" i="10"/>
  <c r="G9" i="10"/>
  <c r="D9" i="10"/>
  <c r="G17" i="10"/>
  <c r="D17" i="10"/>
  <c r="G25" i="10"/>
  <c r="D25" i="10"/>
  <c r="G33" i="10"/>
  <c r="D33" i="10"/>
  <c r="D41" i="10"/>
  <c r="G41" i="10"/>
  <c r="D49" i="10"/>
  <c r="G49" i="10"/>
  <c r="D57" i="10"/>
  <c r="G57" i="10"/>
  <c r="G65" i="10"/>
  <c r="D65" i="10"/>
  <c r="G73" i="10"/>
  <c r="D73" i="10"/>
  <c r="G81" i="10"/>
  <c r="D81" i="10"/>
  <c r="G20" i="10"/>
  <c r="D20" i="10"/>
  <c r="D45" i="10"/>
  <c r="G45" i="10"/>
  <c r="D10" i="10"/>
  <c r="G10" i="10"/>
  <c r="D26" i="10"/>
  <c r="G26" i="10"/>
  <c r="G42" i="10"/>
  <c r="D42" i="10"/>
  <c r="G50" i="10"/>
  <c r="D50" i="10"/>
  <c r="G58" i="10"/>
  <c r="D58" i="10"/>
  <c r="G66" i="10"/>
  <c r="D66" i="10"/>
  <c r="D74" i="10"/>
  <c r="G74" i="10"/>
  <c r="G82" i="10"/>
  <c r="D82" i="10"/>
  <c r="D4" i="10"/>
  <c r="G4" i="10"/>
  <c r="G29" i="10"/>
  <c r="D29" i="10"/>
  <c r="G69" i="10"/>
  <c r="D69" i="10"/>
  <c r="D18" i="10"/>
  <c r="G18" i="10"/>
  <c r="G34" i="10"/>
  <c r="D34" i="10"/>
  <c r="D3" i="10"/>
  <c r="G3" i="10"/>
  <c r="Y15" i="10" a="1"/>
  <c r="Y15" i="10" s="1"/>
  <c r="Z15" i="10" s="1"/>
  <c r="D11" i="10"/>
  <c r="G11" i="10"/>
  <c r="G19" i="10"/>
  <c r="D19" i="10"/>
  <c r="D27" i="10"/>
  <c r="G27" i="10"/>
  <c r="G35" i="10"/>
  <c r="D35" i="10"/>
  <c r="G43" i="10"/>
  <c r="D43" i="10"/>
  <c r="G51" i="10"/>
  <c r="D51" i="10"/>
  <c r="G59" i="10"/>
  <c r="D59" i="10"/>
  <c r="G67" i="10"/>
  <c r="D67" i="10"/>
  <c r="D75" i="10"/>
  <c r="G75" i="10"/>
  <c r="T25" i="10"/>
  <c r="V25" i="10" s="1"/>
  <c r="T26" i="10"/>
  <c r="V26" i="10" s="1"/>
  <c r="T24" i="10"/>
  <c r="V24" i="10" s="1"/>
  <c r="T21" i="10"/>
  <c r="V21" i="10" s="1"/>
  <c r="T23" i="10"/>
  <c r="V23" i="10" s="1"/>
  <c r="T22" i="10"/>
  <c r="V22" i="10" s="1"/>
  <c r="T27" i="10"/>
  <c r="V27" i="10" s="1"/>
  <c r="T28" i="10"/>
  <c r="V28" i="10" s="1"/>
  <c r="G28" i="10"/>
  <c r="D28" i="10"/>
  <c r="G36" i="10"/>
  <c r="D36" i="10"/>
  <c r="D44" i="10"/>
  <c r="G44" i="10"/>
  <c r="G52" i="10"/>
  <c r="D52" i="10"/>
  <c r="G60" i="10"/>
  <c r="D60" i="10"/>
  <c r="G68" i="10"/>
  <c r="D68" i="10"/>
  <c r="D76" i="10"/>
  <c r="G76" i="10"/>
  <c r="H74" i="5" l="1"/>
  <c r="I74" i="5"/>
  <c r="H42" i="5"/>
  <c r="I42" i="5"/>
  <c r="E10" i="5"/>
  <c r="F10" i="5"/>
  <c r="E65" i="5"/>
  <c r="F65" i="5"/>
  <c r="I33" i="5"/>
  <c r="H33" i="5"/>
  <c r="F39" i="5"/>
  <c r="E39" i="5"/>
  <c r="H28" i="5"/>
  <c r="I28" i="5"/>
  <c r="F64" i="5"/>
  <c r="E64" i="5"/>
  <c r="E32" i="5"/>
  <c r="F32" i="5"/>
  <c r="F47" i="5"/>
  <c r="E47" i="5"/>
  <c r="I68" i="5"/>
  <c r="H68" i="5"/>
  <c r="E71" i="5"/>
  <c r="F71" i="5"/>
  <c r="I7" i="5"/>
  <c r="H7" i="5"/>
  <c r="I19" i="5"/>
  <c r="H19" i="5"/>
  <c r="F54" i="5"/>
  <c r="E54" i="5"/>
  <c r="I22" i="5"/>
  <c r="H22" i="5"/>
  <c r="H69" i="5"/>
  <c r="I69" i="5"/>
  <c r="I37" i="5"/>
  <c r="H37" i="5"/>
  <c r="E36" i="5"/>
  <c r="F36" i="5"/>
  <c r="E4" i="5"/>
  <c r="F4" i="5"/>
  <c r="F66" i="5"/>
  <c r="E66" i="5"/>
  <c r="F34" i="5"/>
  <c r="E34" i="5"/>
  <c r="I43" i="5"/>
  <c r="H43" i="5"/>
  <c r="E57" i="5"/>
  <c r="F57" i="5"/>
  <c r="F25" i="5"/>
  <c r="E25" i="5"/>
  <c r="F15" i="5"/>
  <c r="E15" i="5"/>
  <c r="E35" i="5"/>
  <c r="F35" i="5"/>
  <c r="E56" i="5"/>
  <c r="F56" i="5"/>
  <c r="I24" i="5"/>
  <c r="H24" i="5"/>
  <c r="F23" i="5"/>
  <c r="E23" i="5"/>
  <c r="I20" i="5"/>
  <c r="H20" i="5"/>
  <c r="F63" i="5"/>
  <c r="E63" i="5"/>
  <c r="E52" i="5"/>
  <c r="F52" i="5"/>
  <c r="F78" i="5"/>
  <c r="E78" i="5"/>
  <c r="I46" i="5"/>
  <c r="H46" i="5"/>
  <c r="E60" i="5"/>
  <c r="F60" i="5"/>
  <c r="E69" i="5"/>
  <c r="F69" i="5"/>
  <c r="F37" i="5"/>
  <c r="E37" i="5"/>
  <c r="H36" i="5"/>
  <c r="I36" i="5"/>
  <c r="I4" i="5"/>
  <c r="H4" i="5"/>
  <c r="H66" i="5"/>
  <c r="I66" i="5"/>
  <c r="I34" i="5"/>
  <c r="H34" i="5"/>
  <c r="F43" i="5"/>
  <c r="E43" i="5"/>
  <c r="H57" i="5"/>
  <c r="I57" i="5"/>
  <c r="H25" i="5"/>
  <c r="I25" i="5"/>
  <c r="H15" i="5"/>
  <c r="I15" i="5"/>
  <c r="H35" i="5"/>
  <c r="I35" i="5"/>
  <c r="I56" i="5"/>
  <c r="H56" i="5"/>
  <c r="E24" i="5"/>
  <c r="F24" i="5"/>
  <c r="I23" i="5"/>
  <c r="H23" i="5"/>
  <c r="E20" i="5"/>
  <c r="F20" i="5"/>
  <c r="H63" i="5"/>
  <c r="I63" i="5"/>
  <c r="H52" i="5"/>
  <c r="I52" i="5"/>
  <c r="I78" i="5"/>
  <c r="H78" i="5"/>
  <c r="E46" i="5"/>
  <c r="F46" i="5"/>
  <c r="I60" i="5"/>
  <c r="H60" i="5"/>
  <c r="I61" i="5"/>
  <c r="H61" i="5"/>
  <c r="H29" i="5"/>
  <c r="I29" i="5"/>
  <c r="H51" i="5"/>
  <c r="I51" i="5"/>
  <c r="F81" i="5"/>
  <c r="E81" i="5"/>
  <c r="I49" i="5"/>
  <c r="H49" i="5"/>
  <c r="F17" i="5"/>
  <c r="E17" i="5"/>
  <c r="I6" i="5"/>
  <c r="H6" i="5"/>
  <c r="E80" i="5"/>
  <c r="F80" i="5"/>
  <c r="H48" i="5"/>
  <c r="I48" i="5"/>
  <c r="F16" i="5"/>
  <c r="E16" i="5"/>
  <c r="E14" i="5"/>
  <c r="F14" i="5"/>
  <c r="E27" i="5"/>
  <c r="F27" i="5"/>
  <c r="E55" i="5"/>
  <c r="F55" i="5"/>
  <c r="I12" i="5"/>
  <c r="H12" i="5"/>
  <c r="H70" i="5"/>
  <c r="I70" i="5"/>
  <c r="I38" i="5"/>
  <c r="H38" i="5"/>
  <c r="F61" i="5"/>
  <c r="E61" i="5"/>
  <c r="F29" i="5"/>
  <c r="E29" i="5"/>
  <c r="F51" i="5"/>
  <c r="E51" i="5"/>
  <c r="H58" i="5"/>
  <c r="I58" i="5"/>
  <c r="F58" i="5"/>
  <c r="E58" i="5"/>
  <c r="H26" i="5"/>
  <c r="I26" i="5"/>
  <c r="I81" i="5"/>
  <c r="H81" i="5"/>
  <c r="E49" i="5"/>
  <c r="F49" i="5"/>
  <c r="H17" i="5"/>
  <c r="I17" i="5"/>
  <c r="F6" i="5"/>
  <c r="E6" i="5"/>
  <c r="I80" i="5"/>
  <c r="H80" i="5"/>
  <c r="E48" i="5"/>
  <c r="F48" i="5"/>
  <c r="I16" i="5"/>
  <c r="H16" i="5"/>
  <c r="H14" i="5"/>
  <c r="I14" i="5"/>
  <c r="H27" i="5"/>
  <c r="I27" i="5"/>
  <c r="H55" i="5"/>
  <c r="I55" i="5"/>
  <c r="F12" i="5"/>
  <c r="E12" i="5"/>
  <c r="F70" i="5"/>
  <c r="E70" i="5"/>
  <c r="F38" i="5"/>
  <c r="E38" i="5"/>
  <c r="F59" i="5"/>
  <c r="E59" i="5"/>
  <c r="I53" i="5"/>
  <c r="H53" i="5"/>
  <c r="E21" i="5"/>
  <c r="F21" i="5"/>
  <c r="E3" i="5"/>
  <c r="F3" i="5"/>
  <c r="E67" i="5"/>
  <c r="F67" i="5"/>
  <c r="F26" i="5"/>
  <c r="E26" i="5"/>
  <c r="I82" i="5"/>
  <c r="H82" i="5"/>
  <c r="F50" i="5"/>
  <c r="E50" i="5"/>
  <c r="F18" i="5"/>
  <c r="E18" i="5"/>
  <c r="E73" i="5"/>
  <c r="F73" i="5"/>
  <c r="I41" i="5"/>
  <c r="H41" i="5"/>
  <c r="I9" i="5"/>
  <c r="H9" i="5"/>
  <c r="I76" i="5"/>
  <c r="H76" i="5"/>
  <c r="E72" i="5"/>
  <c r="F72" i="5"/>
  <c r="I40" i="5"/>
  <c r="H40" i="5"/>
  <c r="E8" i="5"/>
  <c r="F8" i="5"/>
  <c r="F5" i="5"/>
  <c r="E5" i="5"/>
  <c r="E79" i="5"/>
  <c r="F79" i="5"/>
  <c r="I31" i="5"/>
  <c r="H31" i="5"/>
  <c r="F75" i="5"/>
  <c r="E75" i="5"/>
  <c r="H62" i="5"/>
  <c r="I62" i="5"/>
  <c r="H30" i="5"/>
  <c r="I30" i="5"/>
  <c r="I59" i="5"/>
  <c r="H59" i="5"/>
  <c r="E53" i="5"/>
  <c r="F53" i="5"/>
  <c r="H21" i="5"/>
  <c r="I21" i="5"/>
  <c r="I3" i="5"/>
  <c r="H3" i="5"/>
  <c r="I67" i="5"/>
  <c r="H67" i="5"/>
  <c r="F82" i="5"/>
  <c r="E82" i="5"/>
  <c r="I50" i="5"/>
  <c r="H50" i="5"/>
  <c r="H18" i="5"/>
  <c r="I18" i="5"/>
  <c r="I73" i="5"/>
  <c r="H73" i="5"/>
  <c r="F41" i="5"/>
  <c r="E41" i="5"/>
  <c r="E9" i="5"/>
  <c r="F9" i="5"/>
  <c r="F76" i="5"/>
  <c r="E76" i="5"/>
  <c r="H72" i="5"/>
  <c r="I72" i="5"/>
  <c r="F40" i="5"/>
  <c r="E40" i="5"/>
  <c r="H8" i="5"/>
  <c r="I8" i="5"/>
  <c r="H5" i="5"/>
  <c r="I5" i="5"/>
  <c r="I79" i="5"/>
  <c r="H79" i="5"/>
  <c r="F31" i="5"/>
  <c r="E31" i="5"/>
  <c r="H75" i="5"/>
  <c r="I75" i="5"/>
  <c r="E62" i="5"/>
  <c r="F62" i="5"/>
  <c r="F30" i="5"/>
  <c r="E30" i="5"/>
  <c r="F77" i="5"/>
  <c r="E77" i="5"/>
  <c r="I45" i="5"/>
  <c r="H45" i="5"/>
  <c r="E13" i="5"/>
  <c r="F13" i="5"/>
  <c r="F44" i="5"/>
  <c r="E44" i="5"/>
  <c r="F11" i="5"/>
  <c r="E11" i="5"/>
  <c r="F74" i="5"/>
  <c r="E74" i="5"/>
  <c r="E42" i="5"/>
  <c r="F42" i="5"/>
  <c r="I10" i="5"/>
  <c r="H10" i="5"/>
  <c r="H65" i="5"/>
  <c r="I65" i="5"/>
  <c r="F33" i="5"/>
  <c r="E33" i="5"/>
  <c r="H39" i="5"/>
  <c r="I39" i="5"/>
  <c r="F28" i="5"/>
  <c r="E28" i="5"/>
  <c r="H64" i="5"/>
  <c r="I64" i="5"/>
  <c r="I32" i="5"/>
  <c r="H32" i="5"/>
  <c r="I47" i="5"/>
  <c r="H47" i="5"/>
  <c r="E68" i="5"/>
  <c r="F68" i="5"/>
  <c r="I71" i="5"/>
  <c r="H71" i="5"/>
  <c r="E7" i="5"/>
  <c r="F7" i="5"/>
  <c r="E19" i="5"/>
  <c r="F19" i="5"/>
  <c r="H54" i="5"/>
  <c r="I54" i="5"/>
  <c r="E22" i="5"/>
  <c r="F22" i="5"/>
  <c r="H77" i="5"/>
  <c r="I77" i="5"/>
  <c r="F45" i="5"/>
  <c r="E45" i="5"/>
  <c r="H13" i="5"/>
  <c r="I13" i="5"/>
  <c r="H44" i="5"/>
  <c r="I44" i="5"/>
  <c r="I11" i="5"/>
  <c r="H11" i="5"/>
  <c r="I44" i="10"/>
  <c r="H44" i="10"/>
  <c r="E76" i="10"/>
  <c r="F76" i="10"/>
  <c r="I67" i="10"/>
  <c r="H67" i="10"/>
  <c r="E17" i="10"/>
  <c r="F17" i="10"/>
  <c r="I30" i="10"/>
  <c r="H30" i="10"/>
  <c r="E68" i="10"/>
  <c r="F68" i="10"/>
  <c r="F36" i="10"/>
  <c r="E36" i="10"/>
  <c r="E59" i="10"/>
  <c r="F59" i="10"/>
  <c r="I27" i="10"/>
  <c r="H27" i="10"/>
  <c r="E3" i="10"/>
  <c r="F3" i="10"/>
  <c r="I29" i="10"/>
  <c r="H29" i="10"/>
  <c r="I66" i="10"/>
  <c r="H66" i="10"/>
  <c r="E26" i="10"/>
  <c r="F26" i="10"/>
  <c r="I81" i="10"/>
  <c r="H81" i="10"/>
  <c r="E49" i="10"/>
  <c r="F49" i="10"/>
  <c r="I17" i="10"/>
  <c r="H17" i="10"/>
  <c r="F77" i="10"/>
  <c r="E77" i="10"/>
  <c r="E72" i="10"/>
  <c r="F72" i="10"/>
  <c r="E40" i="10"/>
  <c r="F40" i="10"/>
  <c r="I8" i="10"/>
  <c r="H8" i="10"/>
  <c r="I13" i="10"/>
  <c r="H13" i="10"/>
  <c r="E55" i="10"/>
  <c r="F55" i="10"/>
  <c r="E23" i="10"/>
  <c r="F23" i="10"/>
  <c r="E30" i="10"/>
  <c r="F30" i="10"/>
  <c r="E70" i="10"/>
  <c r="F70" i="10"/>
  <c r="E67" i="10"/>
  <c r="F67" i="10"/>
  <c r="F29" i="10"/>
  <c r="E29" i="10"/>
  <c r="I49" i="10"/>
  <c r="H49" i="10"/>
  <c r="I40" i="10"/>
  <c r="H40" i="10"/>
  <c r="I55" i="10"/>
  <c r="H55" i="10"/>
  <c r="I59" i="10"/>
  <c r="H59" i="10"/>
  <c r="F27" i="10"/>
  <c r="E27" i="10"/>
  <c r="F34" i="10"/>
  <c r="E34" i="10"/>
  <c r="I4" i="10"/>
  <c r="H4" i="10"/>
  <c r="E58" i="10"/>
  <c r="F58" i="10"/>
  <c r="I10" i="10"/>
  <c r="H10" i="10"/>
  <c r="E73" i="10"/>
  <c r="F73" i="10"/>
  <c r="I41" i="10"/>
  <c r="H41" i="10"/>
  <c r="F9" i="10"/>
  <c r="E9" i="10"/>
  <c r="I37" i="10"/>
  <c r="H37" i="10"/>
  <c r="E64" i="10"/>
  <c r="F64" i="10"/>
  <c r="I32" i="10"/>
  <c r="H32" i="10"/>
  <c r="I54" i="10"/>
  <c r="H54" i="10"/>
  <c r="E79" i="10"/>
  <c r="F79" i="10"/>
  <c r="I47" i="10"/>
  <c r="H47" i="10"/>
  <c r="I15" i="10"/>
  <c r="H15" i="10"/>
  <c r="I61" i="10"/>
  <c r="H61" i="10"/>
  <c r="I38" i="10"/>
  <c r="H38" i="10"/>
  <c r="E35" i="10"/>
  <c r="F35" i="10"/>
  <c r="F66" i="10"/>
  <c r="E66" i="10"/>
  <c r="E8" i="10"/>
  <c r="F8" i="10"/>
  <c r="E51" i="10"/>
  <c r="F51" i="10"/>
  <c r="E19" i="10"/>
  <c r="F19" i="10"/>
  <c r="I34" i="10"/>
  <c r="H34" i="10"/>
  <c r="E4" i="10"/>
  <c r="F4" i="10"/>
  <c r="I58" i="10"/>
  <c r="H58" i="10"/>
  <c r="E10" i="10"/>
  <c r="F10" i="10"/>
  <c r="I73" i="10"/>
  <c r="H73" i="10"/>
  <c r="E41" i="10"/>
  <c r="F41" i="10"/>
  <c r="I9" i="10"/>
  <c r="H9" i="10"/>
  <c r="E37" i="10"/>
  <c r="F37" i="10"/>
  <c r="I64" i="10"/>
  <c r="H64" i="10"/>
  <c r="E32" i="10"/>
  <c r="F32" i="10"/>
  <c r="E54" i="10"/>
  <c r="F54" i="10"/>
  <c r="I79" i="10"/>
  <c r="H79" i="10"/>
  <c r="F47" i="10"/>
  <c r="E47" i="10"/>
  <c r="F15" i="10"/>
  <c r="E15" i="10"/>
  <c r="E61" i="10"/>
  <c r="F61" i="10"/>
  <c r="E38" i="10"/>
  <c r="F38" i="10"/>
  <c r="E81" i="10"/>
  <c r="F81" i="10"/>
  <c r="I72" i="10"/>
  <c r="H72" i="10"/>
  <c r="I23" i="10"/>
  <c r="H23" i="10"/>
  <c r="I68" i="10"/>
  <c r="H68" i="10"/>
  <c r="I36" i="10"/>
  <c r="H36" i="10"/>
  <c r="I28" i="10"/>
  <c r="H28" i="10"/>
  <c r="I51" i="10"/>
  <c r="H51" i="10"/>
  <c r="I19" i="10"/>
  <c r="H19" i="10"/>
  <c r="I18" i="10"/>
  <c r="H18" i="10"/>
  <c r="E82" i="10"/>
  <c r="F82" i="10"/>
  <c r="E50" i="10"/>
  <c r="F50" i="10"/>
  <c r="I45" i="10"/>
  <c r="H45" i="10"/>
  <c r="E65" i="10"/>
  <c r="F65" i="10"/>
  <c r="E33" i="10"/>
  <c r="F33" i="10"/>
  <c r="I46" i="10"/>
  <c r="H46" i="10"/>
  <c r="I12" i="10"/>
  <c r="H12" i="10"/>
  <c r="E56" i="10"/>
  <c r="F56" i="10"/>
  <c r="I24" i="10"/>
  <c r="H24" i="10"/>
  <c r="E22" i="10"/>
  <c r="F22" i="10"/>
  <c r="F71" i="10"/>
  <c r="E71" i="10"/>
  <c r="I39" i="10"/>
  <c r="H39" i="10"/>
  <c r="E7" i="10"/>
  <c r="F7" i="10"/>
  <c r="I21" i="10"/>
  <c r="H21" i="10"/>
  <c r="E6" i="10"/>
  <c r="F6" i="10"/>
  <c r="I35" i="10"/>
  <c r="H35" i="10"/>
  <c r="I26" i="10"/>
  <c r="H26" i="10"/>
  <c r="I77" i="10"/>
  <c r="H77" i="10"/>
  <c r="I70" i="10"/>
  <c r="H70" i="10"/>
  <c r="E60" i="10"/>
  <c r="F60" i="10"/>
  <c r="F52" i="10"/>
  <c r="E52" i="10"/>
  <c r="I75" i="10"/>
  <c r="H75" i="10"/>
  <c r="F43" i="10"/>
  <c r="E43" i="10"/>
  <c r="I11" i="10"/>
  <c r="H11" i="10"/>
  <c r="E18" i="10"/>
  <c r="F18" i="10"/>
  <c r="I82" i="10"/>
  <c r="H82" i="10"/>
  <c r="I50" i="10"/>
  <c r="H50" i="10"/>
  <c r="E45" i="10"/>
  <c r="F45" i="10"/>
  <c r="I65" i="10"/>
  <c r="H65" i="10"/>
  <c r="I33" i="10"/>
  <c r="H33" i="10"/>
  <c r="F46" i="10"/>
  <c r="E46" i="10"/>
  <c r="E12" i="10"/>
  <c r="F12" i="10"/>
  <c r="I56" i="10"/>
  <c r="H56" i="10"/>
  <c r="E24" i="10"/>
  <c r="F24" i="10"/>
  <c r="I22" i="10"/>
  <c r="H22" i="10"/>
  <c r="I71" i="10"/>
  <c r="H71" i="10"/>
  <c r="E39" i="10"/>
  <c r="F39" i="10"/>
  <c r="I7" i="10"/>
  <c r="H7" i="10"/>
  <c r="F21" i="10"/>
  <c r="E21" i="10"/>
  <c r="I6" i="10"/>
  <c r="H6" i="10"/>
  <c r="I76" i="10"/>
  <c r="H76" i="10"/>
  <c r="F44" i="10"/>
  <c r="E44" i="10"/>
  <c r="I3" i="10"/>
  <c r="H3" i="10"/>
  <c r="F13" i="10"/>
  <c r="E13" i="10"/>
  <c r="E28" i="10"/>
  <c r="F28" i="10"/>
  <c r="I60" i="10"/>
  <c r="H60" i="10"/>
  <c r="I52" i="10"/>
  <c r="H52" i="10"/>
  <c r="E75" i="10"/>
  <c r="F75" i="10"/>
  <c r="I43" i="10"/>
  <c r="H43" i="10"/>
  <c r="E11" i="10"/>
  <c r="F11" i="10"/>
  <c r="E69" i="10"/>
  <c r="F69" i="10"/>
  <c r="I74" i="10"/>
  <c r="H74" i="10"/>
  <c r="E42" i="10"/>
  <c r="F42" i="10"/>
  <c r="E20" i="10"/>
  <c r="F20" i="10"/>
  <c r="I57" i="10"/>
  <c r="H57" i="10"/>
  <c r="F25" i="10"/>
  <c r="E25" i="10"/>
  <c r="I14" i="10"/>
  <c r="H14" i="10"/>
  <c r="I80" i="10"/>
  <c r="H80" i="10"/>
  <c r="I48" i="10"/>
  <c r="H48" i="10"/>
  <c r="F16" i="10"/>
  <c r="E16" i="10"/>
  <c r="I53" i="10"/>
  <c r="H53" i="10"/>
  <c r="E63" i="10"/>
  <c r="F63" i="10"/>
  <c r="I31" i="10"/>
  <c r="H31" i="10"/>
  <c r="I62" i="10"/>
  <c r="H62" i="10"/>
  <c r="E78" i="10"/>
  <c r="F78" i="10"/>
  <c r="I5" i="10"/>
  <c r="H5" i="10"/>
  <c r="I69" i="10"/>
  <c r="H69" i="10"/>
  <c r="E74" i="10"/>
  <c r="F74" i="10"/>
  <c r="I42" i="10"/>
  <c r="H42" i="10"/>
  <c r="I20" i="10"/>
  <c r="H20" i="10"/>
  <c r="E57" i="10"/>
  <c r="F57" i="10"/>
  <c r="I25" i="10"/>
  <c r="H25" i="10"/>
  <c r="E14" i="10"/>
  <c r="F14" i="10"/>
  <c r="E80" i="10"/>
  <c r="F80" i="10"/>
  <c r="F48" i="10"/>
  <c r="E48" i="10"/>
  <c r="I16" i="10"/>
  <c r="H16" i="10"/>
  <c r="E53" i="10"/>
  <c r="F53" i="10"/>
  <c r="I63" i="10"/>
  <c r="H63" i="10"/>
  <c r="E31" i="10"/>
  <c r="F31" i="10"/>
  <c r="F62" i="10"/>
  <c r="E62" i="10"/>
  <c r="I78" i="10"/>
  <c r="H78" i="10"/>
  <c r="E5" i="10"/>
  <c r="F5" i="10"/>
  <c r="S41" i="5" l="1"/>
  <c r="Y8" i="5"/>
  <c r="Z8" i="5" s="1"/>
  <c r="W3" i="5" s="1"/>
  <c r="S49" i="10"/>
  <c r="Y16" i="10"/>
  <c r="Z16" i="10" s="1"/>
  <c r="W3" i="10" s="1"/>
  <c r="G16" i="8" l="1"/>
  <c r="D16" i="8"/>
  <c r="G13" i="8"/>
  <c r="D13" i="8"/>
  <c r="D25" i="8"/>
  <c r="G25" i="8"/>
  <c r="D33" i="8"/>
  <c r="G33" i="8"/>
  <c r="D45" i="8"/>
  <c r="G45" i="8"/>
  <c r="G53" i="8"/>
  <c r="D53" i="8"/>
  <c r="D57" i="8"/>
  <c r="G57" i="8"/>
  <c r="D61" i="8"/>
  <c r="G61" i="8"/>
  <c r="D65" i="8"/>
  <c r="G65" i="8"/>
  <c r="G69" i="8"/>
  <c r="D69" i="8"/>
  <c r="G73" i="8"/>
  <c r="D73" i="8"/>
  <c r="D77" i="8"/>
  <c r="G77" i="8"/>
  <c r="D81" i="8"/>
  <c r="G81" i="8"/>
  <c r="D4" i="8"/>
  <c r="G4" i="8"/>
  <c r="D5" i="8"/>
  <c r="G5" i="8"/>
  <c r="G17" i="8"/>
  <c r="D17" i="8"/>
  <c r="D29" i="8"/>
  <c r="G29" i="8"/>
  <c r="G37" i="8"/>
  <c r="D37" i="8"/>
  <c r="D41" i="8"/>
  <c r="G41" i="8"/>
  <c r="G49" i="8"/>
  <c r="D49" i="8"/>
  <c r="D6" i="8"/>
  <c r="G6" i="8"/>
  <c r="D10" i="8"/>
  <c r="G10" i="8"/>
  <c r="D14" i="8"/>
  <c r="G14" i="8"/>
  <c r="D18" i="8"/>
  <c r="G18" i="8"/>
  <c r="G22" i="8"/>
  <c r="D22" i="8"/>
  <c r="D26" i="8"/>
  <c r="G26" i="8"/>
  <c r="D30" i="8"/>
  <c r="G30" i="8"/>
  <c r="D34" i="8"/>
  <c r="G34" i="8"/>
  <c r="G38" i="8"/>
  <c r="D38" i="8"/>
  <c r="G42" i="8"/>
  <c r="D42" i="8"/>
  <c r="D46" i="8"/>
  <c r="G46" i="8"/>
  <c r="D50" i="8"/>
  <c r="G50" i="8"/>
  <c r="G54" i="8"/>
  <c r="D54" i="8"/>
  <c r="D58" i="8"/>
  <c r="G58" i="8"/>
  <c r="G62" i="8"/>
  <c r="D62" i="8"/>
  <c r="G66" i="8"/>
  <c r="D66" i="8"/>
  <c r="G70" i="8"/>
  <c r="D70" i="8"/>
  <c r="G74" i="8"/>
  <c r="D74" i="8"/>
  <c r="D78" i="8"/>
  <c r="G78" i="8"/>
  <c r="G82" i="8"/>
  <c r="D82" i="8"/>
  <c r="D12" i="8"/>
  <c r="G12" i="8"/>
  <c r="G9" i="8"/>
  <c r="D9" i="8"/>
  <c r="D21" i="8"/>
  <c r="G21" i="8"/>
  <c r="G3" i="8"/>
  <c r="D3" i="8"/>
  <c r="D7" i="8"/>
  <c r="G7" i="8"/>
  <c r="G11" i="8"/>
  <c r="D11" i="8"/>
  <c r="D15" i="8"/>
  <c r="G15" i="8"/>
  <c r="G19" i="8"/>
  <c r="D19" i="8"/>
  <c r="D23" i="8"/>
  <c r="G23" i="8"/>
  <c r="G27" i="8"/>
  <c r="D27" i="8"/>
  <c r="G31" i="8"/>
  <c r="D31" i="8"/>
  <c r="G35" i="8"/>
  <c r="D35" i="8"/>
  <c r="G39" i="8"/>
  <c r="D39" i="8"/>
  <c r="G43" i="8"/>
  <c r="D43" i="8"/>
  <c r="D47" i="8"/>
  <c r="G47" i="8"/>
  <c r="G51" i="8"/>
  <c r="D51" i="8"/>
  <c r="G55" i="8"/>
  <c r="D55" i="8"/>
  <c r="G59" i="8"/>
  <c r="D59" i="8"/>
  <c r="G63" i="8"/>
  <c r="D63" i="8"/>
  <c r="G67" i="8"/>
  <c r="D67" i="8"/>
  <c r="D71" i="8"/>
  <c r="G71" i="8"/>
  <c r="D75" i="8"/>
  <c r="G75" i="8"/>
  <c r="G79" i="8"/>
  <c r="D79" i="8"/>
  <c r="T17" i="8"/>
  <c r="V17" i="8" s="1"/>
  <c r="T13" i="8"/>
  <c r="V13" i="8" s="1"/>
  <c r="T18" i="8"/>
  <c r="V18" i="8" s="1"/>
  <c r="T14" i="8"/>
  <c r="V14" i="8" s="1"/>
  <c r="T15" i="8"/>
  <c r="V15" i="8" s="1"/>
  <c r="T19" i="8"/>
  <c r="V19" i="8" s="1"/>
  <c r="T12" i="8"/>
  <c r="V12" i="8" s="1"/>
  <c r="T16" i="8"/>
  <c r="V16" i="8" s="1"/>
  <c r="D8" i="8"/>
  <c r="G8" i="8"/>
  <c r="D20" i="8"/>
  <c r="G20" i="8"/>
  <c r="G24" i="8"/>
  <c r="D24" i="8"/>
  <c r="G28" i="8"/>
  <c r="D28" i="8"/>
  <c r="G32" i="8"/>
  <c r="D32" i="8"/>
  <c r="D36" i="8"/>
  <c r="G36" i="8"/>
  <c r="G40" i="8"/>
  <c r="D40" i="8"/>
  <c r="G44" i="8"/>
  <c r="D44" i="8"/>
  <c r="G48" i="8"/>
  <c r="D48" i="8"/>
  <c r="G52" i="8"/>
  <c r="D52" i="8"/>
  <c r="G56" i="8"/>
  <c r="D56" i="8"/>
  <c r="D60" i="8"/>
  <c r="G60" i="8"/>
  <c r="D64" i="8"/>
  <c r="G64" i="8"/>
  <c r="G68" i="8"/>
  <c r="D68" i="8"/>
  <c r="G72" i="8"/>
  <c r="D72" i="8"/>
  <c r="D76" i="8"/>
  <c r="G76" i="8"/>
  <c r="G80" i="8"/>
  <c r="D80" i="8"/>
  <c r="E60" i="8" l="1"/>
  <c r="F60" i="8"/>
  <c r="F80" i="8"/>
  <c r="E80" i="8"/>
  <c r="I64" i="8"/>
  <c r="H64" i="8"/>
  <c r="F48" i="8"/>
  <c r="E48" i="8"/>
  <c r="I75" i="8"/>
  <c r="H75" i="8"/>
  <c r="F67" i="8"/>
  <c r="E67" i="8"/>
  <c r="F59" i="8"/>
  <c r="E59" i="8"/>
  <c r="E51" i="8"/>
  <c r="F51" i="8"/>
  <c r="F43" i="8"/>
  <c r="E43" i="8"/>
  <c r="F35" i="8"/>
  <c r="E35" i="8"/>
  <c r="E27" i="8"/>
  <c r="F27" i="8"/>
  <c r="E19" i="8"/>
  <c r="F19" i="8"/>
  <c r="E11" i="8"/>
  <c r="F11" i="8"/>
  <c r="E3" i="8"/>
  <c r="F3" i="8"/>
  <c r="E9" i="8"/>
  <c r="F9" i="8"/>
  <c r="E82" i="8"/>
  <c r="F82" i="8"/>
  <c r="E74" i="8"/>
  <c r="F74" i="8"/>
  <c r="F66" i="8"/>
  <c r="E66" i="8"/>
  <c r="I58" i="8"/>
  <c r="H58" i="8"/>
  <c r="H50" i="8"/>
  <c r="I50" i="8"/>
  <c r="F42" i="8"/>
  <c r="E42" i="8"/>
  <c r="I34" i="8"/>
  <c r="H34" i="8"/>
  <c r="H26" i="8"/>
  <c r="I26" i="8"/>
  <c r="I18" i="8"/>
  <c r="H18" i="8"/>
  <c r="H10" i="8"/>
  <c r="I10" i="8"/>
  <c r="E49" i="8"/>
  <c r="F49" i="8"/>
  <c r="E37" i="8"/>
  <c r="F37" i="8"/>
  <c r="F17" i="8"/>
  <c r="E17" i="8"/>
  <c r="I4" i="8"/>
  <c r="H4" i="8"/>
  <c r="I77" i="8"/>
  <c r="H77" i="8"/>
  <c r="E69" i="8"/>
  <c r="F69" i="8"/>
  <c r="I61" i="8"/>
  <c r="H61" i="8"/>
  <c r="F53" i="8"/>
  <c r="E53" i="8"/>
  <c r="I33" i="8"/>
  <c r="H33" i="8"/>
  <c r="E13" i="8"/>
  <c r="F13" i="8"/>
  <c r="I68" i="8"/>
  <c r="H68" i="8"/>
  <c r="E72" i="8"/>
  <c r="F72" i="8"/>
  <c r="E56" i="8"/>
  <c r="F56" i="8"/>
  <c r="F40" i="8"/>
  <c r="E40" i="8"/>
  <c r="F24" i="8"/>
  <c r="E24" i="8"/>
  <c r="I8" i="8"/>
  <c r="H8" i="8"/>
  <c r="I80" i="8"/>
  <c r="H80" i="8"/>
  <c r="I72" i="8"/>
  <c r="H72" i="8"/>
  <c r="F64" i="8"/>
  <c r="E64" i="8"/>
  <c r="I56" i="8"/>
  <c r="H56" i="8"/>
  <c r="I48" i="8"/>
  <c r="H48" i="8"/>
  <c r="I40" i="8"/>
  <c r="H40" i="8"/>
  <c r="I32" i="8"/>
  <c r="H32" i="8"/>
  <c r="I24" i="8"/>
  <c r="H24" i="8"/>
  <c r="E8" i="8"/>
  <c r="F8" i="8"/>
  <c r="E75" i="8"/>
  <c r="F75" i="8"/>
  <c r="I67" i="8"/>
  <c r="H67" i="8"/>
  <c r="I59" i="8"/>
  <c r="H59" i="8"/>
  <c r="I51" i="8"/>
  <c r="H51" i="8"/>
  <c r="I43" i="8"/>
  <c r="H43" i="8"/>
  <c r="I35" i="8"/>
  <c r="H35" i="8"/>
  <c r="I27" i="8"/>
  <c r="H27" i="8"/>
  <c r="H19" i="8"/>
  <c r="I19" i="8"/>
  <c r="I11" i="8"/>
  <c r="H11" i="8"/>
  <c r="I3" i="8"/>
  <c r="H3" i="8"/>
  <c r="I9" i="8"/>
  <c r="H9" i="8"/>
  <c r="H82" i="8"/>
  <c r="I82" i="8"/>
  <c r="I74" i="8"/>
  <c r="H74" i="8"/>
  <c r="I66" i="8"/>
  <c r="H66" i="8"/>
  <c r="E58" i="8"/>
  <c r="F58" i="8"/>
  <c r="E50" i="8"/>
  <c r="F50" i="8"/>
  <c r="I42" i="8"/>
  <c r="H42" i="8"/>
  <c r="E34" i="8"/>
  <c r="F34" i="8"/>
  <c r="E26" i="8"/>
  <c r="F26" i="8"/>
  <c r="E18" i="8"/>
  <c r="F18" i="8"/>
  <c r="E10" i="8"/>
  <c r="F10" i="8"/>
  <c r="I49" i="8"/>
  <c r="H49" i="8"/>
  <c r="I37" i="8"/>
  <c r="H37" i="8"/>
  <c r="I17" i="8"/>
  <c r="H17" i="8"/>
  <c r="E4" i="8"/>
  <c r="F4" i="8"/>
  <c r="F77" i="8"/>
  <c r="E77" i="8"/>
  <c r="I69" i="8"/>
  <c r="H69" i="8"/>
  <c r="E61" i="8"/>
  <c r="F61" i="8"/>
  <c r="H53" i="8"/>
  <c r="I53" i="8"/>
  <c r="E33" i="8"/>
  <c r="F33" i="8"/>
  <c r="I13" i="8"/>
  <c r="H13" i="8"/>
  <c r="E32" i="8"/>
  <c r="F32" i="8"/>
  <c r="I76" i="8"/>
  <c r="H76" i="8"/>
  <c r="E68" i="8"/>
  <c r="F68" i="8"/>
  <c r="I60" i="8"/>
  <c r="H60" i="8"/>
  <c r="F52" i="8"/>
  <c r="E52" i="8"/>
  <c r="F44" i="8"/>
  <c r="E44" i="8"/>
  <c r="I36" i="8"/>
  <c r="H36" i="8"/>
  <c r="E28" i="8"/>
  <c r="F28" i="8"/>
  <c r="H20" i="8"/>
  <c r="I20" i="8"/>
  <c r="E79" i="8"/>
  <c r="F79" i="8"/>
  <c r="I71" i="8"/>
  <c r="H71" i="8"/>
  <c r="F63" i="8"/>
  <c r="E63" i="8"/>
  <c r="E55" i="8"/>
  <c r="F55" i="8"/>
  <c r="I47" i="8"/>
  <c r="H47" i="8"/>
  <c r="E39" i="8"/>
  <c r="F39" i="8"/>
  <c r="E31" i="8"/>
  <c r="F31" i="8"/>
  <c r="I23" i="8"/>
  <c r="H23" i="8"/>
  <c r="I15" i="8"/>
  <c r="H15" i="8"/>
  <c r="I7" i="8"/>
  <c r="H7" i="8"/>
  <c r="I21" i="8"/>
  <c r="H21" i="8"/>
  <c r="I12" i="8"/>
  <c r="H12" i="8"/>
  <c r="I78" i="8"/>
  <c r="H78" i="8"/>
  <c r="E70" i="8"/>
  <c r="F70" i="8"/>
  <c r="E62" i="8"/>
  <c r="F62" i="8"/>
  <c r="E54" i="8"/>
  <c r="F54" i="8"/>
  <c r="I46" i="8"/>
  <c r="H46" i="8"/>
  <c r="F38" i="8"/>
  <c r="E38" i="8"/>
  <c r="H30" i="8"/>
  <c r="I30" i="8"/>
  <c r="E22" i="8"/>
  <c r="F22" i="8"/>
  <c r="I14" i="8"/>
  <c r="H14" i="8"/>
  <c r="I6" i="8"/>
  <c r="H6" i="8"/>
  <c r="I41" i="8"/>
  <c r="H41" i="8"/>
  <c r="H29" i="8"/>
  <c r="I29" i="8"/>
  <c r="H5" i="8"/>
  <c r="I5" i="8"/>
  <c r="I81" i="8"/>
  <c r="H81" i="8"/>
  <c r="F73" i="8"/>
  <c r="E73" i="8"/>
  <c r="I65" i="8"/>
  <c r="H65" i="8"/>
  <c r="H57" i="8"/>
  <c r="I57" i="8"/>
  <c r="I45" i="8"/>
  <c r="H45" i="8"/>
  <c r="I25" i="8"/>
  <c r="H25" i="8"/>
  <c r="F16" i="8"/>
  <c r="E16" i="8"/>
  <c r="E76" i="8"/>
  <c r="F76" i="8"/>
  <c r="I52" i="8"/>
  <c r="H52" i="8"/>
  <c r="I44" i="8"/>
  <c r="H44" i="8"/>
  <c r="E36" i="8"/>
  <c r="F36" i="8"/>
  <c r="I28" i="8"/>
  <c r="H28" i="8"/>
  <c r="F20" i="8"/>
  <c r="E20" i="8"/>
  <c r="I79" i="8"/>
  <c r="H79" i="8"/>
  <c r="E71" i="8"/>
  <c r="F71" i="8"/>
  <c r="I63" i="8"/>
  <c r="H63" i="8"/>
  <c r="I55" i="8"/>
  <c r="H55" i="8"/>
  <c r="E47" i="8"/>
  <c r="F47" i="8"/>
  <c r="I39" i="8"/>
  <c r="H39" i="8"/>
  <c r="H31" i="8"/>
  <c r="I31" i="8"/>
  <c r="F23" i="8"/>
  <c r="E23" i="8"/>
  <c r="E15" i="8"/>
  <c r="F15" i="8"/>
  <c r="E7" i="8"/>
  <c r="F7" i="8"/>
  <c r="E21" i="8"/>
  <c r="F21" i="8"/>
  <c r="E12" i="8"/>
  <c r="F12" i="8"/>
  <c r="E78" i="8"/>
  <c r="F78" i="8"/>
  <c r="I70" i="8"/>
  <c r="H70" i="8"/>
  <c r="H62" i="8"/>
  <c r="I62" i="8"/>
  <c r="I54" i="8"/>
  <c r="H54" i="8"/>
  <c r="F46" i="8"/>
  <c r="E46" i="8"/>
  <c r="I38" i="8"/>
  <c r="H38" i="8"/>
  <c r="F30" i="8"/>
  <c r="E30" i="8"/>
  <c r="I22" i="8"/>
  <c r="H22" i="8"/>
  <c r="E14" i="8"/>
  <c r="F14" i="8"/>
  <c r="F6" i="8"/>
  <c r="E6" i="8"/>
  <c r="F41" i="8"/>
  <c r="E41" i="8"/>
  <c r="E29" i="8"/>
  <c r="F29" i="8"/>
  <c r="E5" i="8"/>
  <c r="F5" i="8"/>
  <c r="E81" i="8"/>
  <c r="F81" i="8"/>
  <c r="I73" i="8"/>
  <c r="H73" i="8"/>
  <c r="E65" i="8"/>
  <c r="F65" i="8"/>
  <c r="E57" i="8"/>
  <c r="F57" i="8"/>
  <c r="F45" i="8"/>
  <c r="E45" i="8"/>
  <c r="F25" i="8"/>
  <c r="E25" i="8"/>
  <c r="I16" i="8"/>
  <c r="H16" i="8"/>
  <c r="S39" i="8" l="1"/>
  <c r="Y8" i="8"/>
  <c r="Z8" i="8" s="1"/>
  <c r="W3"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tc={B4303EAC-1C79-4CA4-BC32-3EA7F8169E2F}</author>
    <author>tc={D18A5508-F628-4ABE-9A43-0AD7C4A2F39C}</author>
    <author>tc={6BF2099B-CB67-47B8-A186-4B028B8720C2}</author>
    <author>tc={C879845F-326C-482F-B3D7-CAEDBCA68B42}</author>
    <author>tc={AA59B114-49F1-464E-B1B3-A0234185DDF3}</author>
    <author>tc={EF30BDAB-4952-4AA8-B144-582D1C79F9C8}</author>
    <author>tc={972B487A-6BCD-46FA-95BF-57520023287C}</author>
    <author>tc={64AF2648-AA31-48AF-BB30-27EB0FE6493D}</author>
    <author>tc={6753168A-C03E-4A2A-BE4A-CDB19E26D240}</author>
    <author>tc={082E5106-DFC4-4C6E-A9C6-617BFA9B2898}</author>
    <author>tc={7B5295C7-3A7C-42BF-B807-87717B7BE571}</author>
    <author>tc={55E99628-F88D-4B99-82FB-FE5E8DC697EE}</author>
    <author>tc={07D3D79A-D7E1-4029-9CDB-8E996B8BF440}</author>
    <author>tc={83A7C4A5-7D1D-4E61-A04F-C0BD1A29AB8E}</author>
    <author>tc={A0E4FE39-E5E4-4EED-AE37-635531BF3274}</author>
    <author>tc={23484DF5-9B2D-40A7-9409-7F5812D14B3B}</author>
    <author>tc={CB7DECAC-4E6D-480F-AF27-EE53C07B6841}</author>
    <author>tc={848D8461-344C-45F0-9401-5349EE602F9B}</author>
    <author>tc={73DC476C-7487-4CD7-A5E4-66459D5E4D97}</author>
    <author>tc={196B74FE-586A-4EC5-A117-9DBF93E3E4D4}</author>
    <author>tc={AB491551-93CB-4A71-8C10-FFE80550CEB5}</author>
    <author>tc={14290BD7-6D3F-4485-840D-F079D4D53BFA}</author>
    <author>tc={A1D83BAC-E285-434F-9AC0-0FB229FE2EA3}</author>
    <author>tc={0CACC8CA-B6BC-42D8-B48B-BE1C32BE7460}</author>
    <author>tc={1BAD68C3-5B8B-4FF3-9202-0323E8647EC2}</author>
    <author>tc={1AE7D227-4EB5-4C49-9FCB-1C16F78089CD}</author>
    <author>tc={0C77FF81-0A89-4D47-8EB5-998F233A1FCD}</author>
    <author>tc={B2AF13C8-7CEF-4791-890E-908E1066FDCA}</author>
    <author>tc={1A355255-1694-4881-8CC8-4E009DAEE70F}</author>
    <author>tc={E3885550-252D-4750-9F0F-8AB226176F38}</author>
    <author>tc={7A11C68B-27F1-4A12-AC17-9D632D1393CD}</author>
    <author>tc={D858C4EE-5CF5-482F-B398-60ED7C60ADA5}</author>
    <author>tc={B22154B6-0112-4C95-9A8A-47D3A80EDDE6}</author>
    <author>tc={F58DCD77-7A8C-4B1C-BBBE-73E962EC3EC7}</author>
    <author>tc={36DA0CBB-EE7C-47EB-A011-BD7180267A1C}</author>
    <author>tc={2E4BF30B-6776-44DC-A84D-12429F80E120}</author>
    <author>tc={2F725F48-10F2-4290-A197-33BB676C2B2B}</author>
    <author>tc={BE7C39B7-D5C1-4049-BBD3-071CD68BBA21}</author>
    <author>tc={3B23D935-D590-469E-9022-A8FC79519C79}</author>
    <author>tc={D65AE546-CC11-44B3-87A6-9F2350F36AF9}</author>
    <author>tc={820D4EED-F9AC-48EC-8E53-2BEB80B73BEE}</author>
    <author>tc={98179504-E5AE-410A-B8AD-9B89A19649F8}</author>
    <author>tc={0F6FAC20-5475-44FF-97A5-EF18090B5315}</author>
    <author>tc={D9435EB9-DFD6-4FB4-9F07-1BB2143DA029}</author>
    <author>tc={CEB1F7C0-D327-4AA4-BF24-2845268BA194}</author>
    <author>tc={1401EAA4-10F6-4291-B16E-1DABD4E10847}</author>
    <author>tc={6E2187FC-A386-4898-831E-BB1DB15E70A2}</author>
    <author>tc={1C00C6BF-5DA5-405A-B69D-D56D20192D6F}</author>
    <author>tc={CC2378E0-3B59-448A-8337-ECE8DCE9CAC8}</author>
    <author>tc={747ABC35-F637-464A-BA42-5F6FBAB12EEC}</author>
    <author>tc={E7D28700-BC22-43BC-86B6-283A20D571B4}</author>
    <author>tc={5D94C351-A968-480E-8359-4C6EE51BE71D}</author>
    <author>tc={600E83CD-F16C-4972-9EFA-D99E0A0D6B4B}</author>
    <author>tc={6FEF6125-1039-4B29-8AF9-266A98AD6184}</author>
    <author>tc={4767270C-85E3-4CE7-B7B7-2FEA0F09317A}</author>
    <author>tc={6E7F5621-B17B-4093-8C56-09A680A5CA7A}</author>
    <author>tc={9CC85416-8FAE-43A8-AE5B-3F799A985776}</author>
    <author>tc={8DF6844A-F790-45D0-A6E1-82B88C08ACBA}</author>
    <author>tc={ECC00E74-B08A-4EFC-827B-D93BEABB1D2F}</author>
    <author>tc={B263D190-5779-4D08-8CFE-3A52396C6D45}</author>
  </authors>
  <commentList>
    <comment ref="K1" authorId="0" shapeId="0" xr:uid="{B4303EAC-1C79-4CA4-BC32-3EA7F8169E2F}">
      <text>
        <t>[Threaded comment]
Your version of Excel allows you to read this threaded comment; however, any edits to it will get removed if the file is opened in a newer version of Excel. Learn more: https://go.microsoft.com/fwlink/?linkid=870924
Comment:
    Enter your grades here. Note that a blank space is counted as an F</t>
      </text>
    </comment>
    <comment ref="L1" authorId="1" shapeId="0" xr:uid="{D18A5508-F628-4ABE-9A43-0AD7C4A2F39C}">
      <text>
        <t>[Threaded comment]
Your version of Excel allows you to read this threaded comment; however, any edits to it will get removed if the file is opened in a newer version of Excel. Learn more: https://go.microsoft.com/fwlink/?linkid=870924
Comment:
    Enter Courses Here</t>
      </text>
    </comment>
    <comment ref="R2" authorId="2" shapeId="0" xr:uid="{6BF2099B-CB67-47B8-A186-4B028B8720C2}">
      <text>
        <t>[Threaded comment]
Your version of Excel allows you to read this threaded comment; however, any edits to it will get removed if the file is opened in a newer version of Excel. Learn more: https://go.microsoft.com/fwlink/?linkid=870924
Comment:
    Smeal students have the toughest time getting into their major, which needs to be done in order to take RM 410. Be sure to stay on track so you can enter your major and take RM 410 in your fourth major. See "ETM Requirement" below, to make sure you are on track</t>
      </text>
    </comment>
    <comment ref="AY3" authorId="3" shapeId="0" xr:uid="{C879845F-326C-482F-B3D7-CAEDBCA68B42}">
      <text>
        <t xml:space="preserve">[Threaded comment]
Your version of Excel allows you to read this threaded comment; however, any edits to it will get removed if the file is opened in a newer version of Excel. Learn more: https://go.microsoft.com/fwlink/?linkid=870924
Comment:
    complete all codes
</t>
      </text>
    </comment>
    <comment ref="AC4" authorId="4" shapeId="0" xr:uid="{AA59B114-49F1-464E-B1B3-A0234185DDF3}">
      <text>
        <t>[Threaded comment]
Your version of Excel allows you to read this threaded comment; however, any edits to it will get removed if the file is opened in a newer version of Excel. Learn more: https://go.microsoft.com/fwlink/?linkid=870924
Comment:
    Socially Responsible, Sustainable and Ethical Business Practice</t>
      </text>
    </comment>
    <comment ref="AC5" authorId="5" shapeId="0" xr:uid="{EF30BDAB-4952-4AA8-B144-582D1C79F9C8}">
      <text>
        <t>[Threaded comment]
Your version of Excel allows you to read this threaded comment; however, any edits to it will get removed if the file is opened in a newer version of Excel. Learn more: https://go.microsoft.com/fwlink/?linkid=870924
Comment:
    Analyzing Business and Industry</t>
      </text>
    </comment>
    <comment ref="AC7" authorId="6" shapeId="0" xr:uid="{972B487A-6BCD-46FA-95BF-57520023287C}">
      <text>
        <t>[Threaded comment]
Your version of Excel allows you to read this threaded comment; however, any edits to it will get removed if the file is opened in a newer version of Excel. Learn more: https://go.microsoft.com/fwlink/?linkid=870924
Comment:
    Effective Speech (Speech Writing)</t>
      </text>
    </comment>
    <comment ref="AC9" authorId="7" shapeId="0" xr:uid="{64AF2648-AA31-48AF-BB30-27EB0FE6493D}">
      <text>
        <t>[Threaded comment]
Your version of Excel allows you to read this threaded comment; however, any edits to it will get removed if the file is opened in a newer version of Excel. Learn more: https://go.microsoft.com/fwlink/?linkid=870924
Comment:
    Writing for Business</t>
      </text>
    </comment>
    <comment ref="AC10" authorId="8" shapeId="0" xr:uid="{6753168A-C03E-4A2A-BE4A-CDB19E26D240}">
      <text>
        <t>[Threaded comment]
Your version of Excel allows you to read this threaded comment; however, any edits to it will get removed if the file is opened in a newer version of Excel. Learn more: https://go.microsoft.com/fwlink/?linkid=870924
Comment:
    Calculus 1</t>
      </text>
    </comment>
    <comment ref="AC11" authorId="9" shapeId="0" xr:uid="{082E5106-DFC4-4C6E-A9C6-617BFA9B2898}">
      <text>
        <t>[Threaded comment]
Your version of Excel allows you to read this threaded comment; however, any edits to it will get removed if the file is opened in a newer version of Excel. Learn more: https://go.microsoft.com/fwlink/?linkid=870924
Comment:
    Calculus 2</t>
      </text>
    </comment>
    <comment ref="AC12" authorId="10" shapeId="0" xr:uid="{7B5295C7-3A7C-42BF-B807-87717B7BE571}">
      <text>
        <t>[Threaded comment]
Your version of Excel allows you to read this threaded comment; however, any edits to it will get removed if the file is opened in a newer version of Excel. Learn more: https://go.microsoft.com/fwlink/?linkid=870924
Comment:
    Math 230 is Calc 1. Math 231 is the first half of Math 230</t>
      </text>
    </comment>
    <comment ref="AC14" authorId="11" shapeId="0" xr:uid="{55E99628-F88D-4B99-82FB-FE5E8DC697EE}">
      <text>
        <t>[Threaded comment]
Your version of Excel allows you to read this threaded comment; however, any edits to it will get removed if the file is opened in a newer version of Excel. Learn more: https://go.microsoft.com/fwlink/?linkid=870924
Comment:
    Intro to Excel</t>
      </text>
    </comment>
    <comment ref="AC16" authorId="12" shapeId="0" xr:uid="{07D3D79A-D7E1-4029-9CDB-8E996B8BF440}">
      <text>
        <t>[Threaded comment]
Your version of Excel allows you to read this threaded comment; however, any edits to it will get removed if the file is opened in a newer version of Excel. Learn more: https://go.microsoft.com/fwlink/?linkid=870924
Comment:
    First Year Seminar</t>
      </text>
    </comment>
    <comment ref="AC17" authorId="13" shapeId="0" xr:uid="{83A7C4A5-7D1D-4E61-A04F-C0BD1A29AB8E}">
      <text>
        <t>[Threaded comment]
Your version of Excel allows you to read this threaded comment; however, any edits to it will get removed if the file is opened in a newer version of Excel. Learn more: https://go.microsoft.com/fwlink/?linkid=870924
Comment:
    For Exam P
Student Tips: Doing well in this class is a good indicator that actuarial science is the right major for you!</t>
      </text>
    </comment>
    <comment ref="AC19" authorId="14" shapeId="0" xr:uid="{A0E4FE39-E5E4-4EED-AE37-635531BF3274}">
      <text>
        <t>[Threaded comment]
Your version of Excel allows you to read this threaded comment; however, any edits to it will get removed if the file is opened in a newer version of Excel. Learn more: https://go.microsoft.com/fwlink/?linkid=870924
Comment:
    Risk Management and Insurance</t>
      </text>
    </comment>
    <comment ref="AC20" authorId="15" shapeId="0" xr:uid="{23484DF5-9B2D-40A7-9409-7F5812D14B3B}">
      <text>
        <t>[Threaded comment]
Your version of Excel allows you to read this threaded comment; however, any edits to it will get removed if the file is opened in a newer version of Excel. Learn more: https://go.microsoft.com/fwlink/?linkid=870924
Comment:
    For Exam FM</t>
      </text>
    </comment>
    <comment ref="R21" authorId="16" shapeId="0" xr:uid="{CB7DECAC-4E6D-480F-AF27-EE53C07B6841}">
      <text>
        <t>[Threaded comment]
Your version of Excel allows you to read this threaded comment; however, any edits to it will get removed if the file is opened in a newer version of Excel. Learn more: https://go.microsoft.com/fwlink/?linkid=870924
Comment:
    These are quantification courses
Most students will get this covered by their major requirements</t>
      </text>
    </comment>
    <comment ref="R22" authorId="17" shapeId="0" xr:uid="{848D8461-344C-45F0-9401-5349EE602F9B}">
      <text>
        <t>[Threaded comment]
Your version of Excel allows you to read this threaded comment; however, any edits to it will get removed if the file is opened in a newer version of Excel. Learn more: https://go.microsoft.com/fwlink/?linkid=870924
Comment:
    These are courses in writing
Most students will get this covered by their major requirements</t>
      </text>
    </comment>
    <comment ref="AC22" authorId="18" shapeId="0" xr:uid="{73DC476C-7487-4CD7-A5E4-66459D5E4D97}">
      <text>
        <t>[Threaded comment]
Your version of Excel allows you to read this threaded comment; however, any edits to it will get removed if the file is opened in a newer version of Excel. Learn more: https://go.microsoft.com/fwlink/?linkid=870924
Comment:
    First half of the material for LTAM</t>
      </text>
    </comment>
    <comment ref="R23" authorId="19" shapeId="0" xr:uid="{196B74FE-586A-4EC5-A117-9DBF93E3E4D4}">
      <text>
        <t>[Threaded comment]
Your version of Excel allows you to read this threaded comment; however, any edits to it will get removed if the file is opened in a newer version of Excel. Learn more: https://go.microsoft.com/fwlink/?linkid=870924
Comment:
    These are courses in the arts
Courses students have enjoyed in the past:
ART 51 (Piano)
ART 54 (Guitar)</t>
      </text>
    </comment>
    <comment ref="AC23" authorId="20" shapeId="0" xr:uid="{AB491551-93CB-4A71-8C10-FFE80550CEB5}">
      <text>
        <t>[Threaded comment]
Your version of Excel allows you to read this threaded comment; however, any edits to it will get removed if the file is opened in a newer version of Excel. Learn more: https://go.microsoft.com/fwlink/?linkid=870924
Comment:
    Second Half of the material for LTAM</t>
      </text>
    </comment>
    <comment ref="R24" authorId="21" shapeId="0" xr:uid="{14290BD7-6D3F-4485-840D-F079D4D53BFA}">
      <text>
        <t>[Threaded comment]
Your version of Excel allows you to read this threaded comment; however, any edits to it will get removed if the file is opened in a newer version of Excel. Learn more: https://go.microsoft.com/fwlink/?linkid=870924
Comment:
    These are physical activity classes
Courses students have enjoyed in the past:
KINES 29B (Total Golf)</t>
      </text>
    </comment>
    <comment ref="AC24" authorId="22" shapeId="0" xr:uid="{A1D83BAC-E285-434F-9AC0-0FB229FE2EA3}">
      <text>
        <t>[Threaded comment]
Your version of Excel allows you to read this threaded comment; however, any edits to it will get removed if the file is opened in a newer version of Excel. Learn more: https://go.microsoft.com/fwlink/?linkid=870924
Comment:
    For Exam IFM
Students Tips: In the fall, this class ends after Thanksgiving break!</t>
      </text>
    </comment>
    <comment ref="R25" authorId="23" shapeId="0" xr:uid="{0CACC8CA-B6BC-42D8-B48B-BE1C32BE7460}">
      <text>
        <t>[Threaded comment]
Your version of Excel allows you to read this threaded comment; however, any edits to it will get removed if the file is opened in a newer version of Excel. Learn more: https://go.microsoft.com/fwlink/?linkid=870924
Comment:
    These are courses in the humanities
Courses students have enjoyed in the past:
CAS 214W (Speech Writing)</t>
      </text>
    </comment>
    <comment ref="AC25" authorId="24" shapeId="0" xr:uid="{1BAD68C3-5B8B-4FF3-9202-0323E8647EC2}">
      <text>
        <t>[Threaded comment]
Your version of Excel allows you to read this threaded comment; however, any edits to it will get removed if the file is opened in a newer version of Excel. Learn more: https://go.microsoft.com/fwlink/?linkid=870924
Comment:
    RM 420: For exams STAM and MAS-II
RM 401: Class on pensions
Student tips: RM 401 has traditionally been more popular because it's easier, but take RM 420 to pass another exam senior year!</t>
      </text>
    </comment>
    <comment ref="R26" authorId="25" shapeId="0" xr:uid="{1AE7D227-4EB5-4C49-9FCB-1C16F78089CD}">
      <text>
        <t>[Threaded comment]
Your version of Excel allows you to read this threaded comment; however, any edits to it will get removed if the file is opened in a newer version of Excel. Learn more: https://go.microsoft.com/fwlink/?linkid=870924
Comment:
    Theses are courses in the social and behavioral sciences
Most students will get this covered by their major requirements</t>
      </text>
    </comment>
    <comment ref="AC26" authorId="26" shapeId="0" xr:uid="{0C77FF81-0A89-4D47-8EB5-998F233A1FCD}">
      <text>
        <t>[Threaded comment]
Your version of Excel allows you to read this threaded comment; however, any edits to it will get removed if the file is opened in a newer version of Excel. Learn more: https://go.microsoft.com/fwlink/?linkid=870924
Comment:
    Life and Health Insurance</t>
      </text>
    </comment>
    <comment ref="R27" authorId="27" shapeId="0" xr:uid="{B2AF13C8-7CEF-4791-890E-908E1066FDCA}">
      <text>
        <t>[Threaded comment]
Your version of Excel allows you to read this threaded comment; however, any edits to it will get removed if the file is opened in a newer version of Excel. Learn more: https://go.microsoft.com/fwlink/?linkid=870924
Comment:
    These are courses in the natural sciences
Courses students have enjoyed in the past:
ASTRO 10
EGEE 101</t>
      </text>
    </comment>
    <comment ref="AC28" authorId="28" shapeId="0" xr:uid="{1A355255-1694-4881-8CC8-4E009DAEE70F}">
      <text>
        <t>[Threaded comment]
Your version of Excel allows you to read this threaded comment; however, any edits to it will get removed if the file is opened in a newer version of Excel. Learn more: https://go.microsoft.com/fwlink/?linkid=870924
Comment:
    Intro to Probability
Student Tips: Take this with RM 214  to pass P!</t>
      </text>
    </comment>
    <comment ref="AC34" authorId="29" shapeId="0" xr:uid="{E3885550-252D-4750-9F0F-8AB226176F38}">
      <text>
        <t>[Threaded comment]
Your version of Excel allows you to read this threaded comment; however, any edits to it will get removed if the file is opened in a newer version of Excel. Learn more: https://go.microsoft.com/fwlink/?linkid=870924
Comment:
    Student Tips: If you enjoy these courses, or got AP credit for them, consider an econ minor!</t>
      </text>
    </comment>
    <comment ref="R36" authorId="30" shapeId="0" xr:uid="{7A11C68B-27F1-4A12-AC17-9D632D1393CD}">
      <text>
        <t>[Threaded comment]
Your version of Excel allows you to read this threaded comment; however, any edits to it will get removed if the file is opened in a newer version of Excel. Learn more: https://go.microsoft.com/fwlink/?linkid=870924
Comment:
    Probability
Cost: $250
Club Passing Reimbursement: $100
Offered: Bi-Monthly (Starting in January)</t>
      </text>
    </comment>
    <comment ref="R37" authorId="31" shapeId="0" xr:uid="{D858C4EE-5CF5-482F-B398-60ED7C60ADA5}">
      <text>
        <t>[Threaded comment]
Your version of Excel allows you to read this threaded comment; however, any edits to it will get removed if the file is opened in a newer version of Excel. Learn more: https://go.microsoft.com/fwlink/?linkid=870924
Comment:
    Financial Mathematics
Cost: $250
Passing Club Reimbursement: $100
Offered: Bi-Monthly (Starting in February)</t>
      </text>
    </comment>
    <comment ref="R38" authorId="32" shapeId="0" xr:uid="{B22154B6-0112-4C95-9A8A-47D3A80EDDE6}">
      <text>
        <t>[Threaded comment]
Your version of Excel allows you to read this threaded comment; however, any edits to it will get removed if the file is opened in a newer version of Excel. Learn more: https://go.microsoft.com/fwlink/?linkid=870924
Comment:
    Investments &amp; Financial Markets
Cost: $350
Passing Club Reimbursement: $200
Offered: March, July, November</t>
      </text>
    </comment>
    <comment ref="R39" authorId="33" shapeId="0" xr:uid="{F58DCD77-7A8C-4B1C-BBBE-73E962EC3EC7}">
      <text>
        <t>[Threaded comment]
Your version of Excel allows you to read this threaded comment; however, any edits to it will get removed if the file is opened in a newer version of Excel. Learn more: https://go.microsoft.com/fwlink/?linkid=870924
Comment:
    Statistics for Risk Modellng
Cost: $325
Club Passing Reimbursement: $250
Offered: January, May, September</t>
      </text>
    </comment>
    <comment ref="AC39" authorId="34" shapeId="0" xr:uid="{36DA0CBB-EE7C-47EB-A011-BD7180267A1C}">
      <text>
        <t>[Threaded comment]
Your version of Excel allows you to read this threaded comment; however, any edits to it will get removed if the file is opened in a newer version of Excel. Learn more: https://go.microsoft.com/fwlink/?linkid=870924
Comment:
    Satisfied VEE Credit</t>
      </text>
    </comment>
    <comment ref="R40" authorId="35" shapeId="0" xr:uid="{2E4BF30B-6776-44DC-A84D-12429F80E120}">
      <text>
        <t>[Threaded comment]
Your version of Excel allows you to read this threaded comment; however, any edits to it will get removed if the file is opened in a newer version of Excel. Learn more: https://go.microsoft.com/fwlink/?linkid=870924
Comment:
    Long Term Actuarial Mathematics
Cost: $250
Club Passing Reimbursement: $100
Offered: April, October</t>
      </text>
    </comment>
    <comment ref="AC40" authorId="36" shapeId="0" xr:uid="{2F725F48-10F2-4290-A197-33BB676C2B2B}">
      <text>
        <t>[Threaded comment]
Your version of Excel allows you to read this threaded comment; however, any edits to it will get removed if the file is opened in a newer version of Excel. Learn more: https://go.microsoft.com/fwlink/?linkid=870924
Comment:
    Matrices
Student Tips: This isn't required for the major, but is a pre-req for many of the upper level Stat courses to get the Stat minor</t>
      </text>
    </comment>
    <comment ref="R41" authorId="37" shapeId="0" xr:uid="{BE7C39B7-D5C1-4049-BBD3-071CD68BBA21}">
      <text>
        <t>[Threaded comment]
Your version of Excel allows you to read this threaded comment; however, any edits to it will get removed if the file is opened in a newer version of Excel. Learn more: https://go.microsoft.com/fwlink/?linkid=870924
Comment:
    Modern Actuarial Statistics I
Cost: $360
Passing Club Reimbursement: $250
Offered: April, November</t>
      </text>
    </comment>
    <comment ref="AC41" authorId="38" shapeId="0" xr:uid="{3B23D935-D590-469E-9022-A8FC79519C79}">
      <text>
        <t>[Threaded comment]
Your version of Excel allows you to read this threaded comment; however, any edits to it will get removed if the file is opened in a newer version of Excel. Learn more: https://go.microsoft.com/fwlink/?linkid=870924
Comment:
    Student Tips: This is one of the first courses you should take to go towards your stat minor as they teach the material in the SRM exam</t>
      </text>
    </comment>
    <comment ref="R42" authorId="39" shapeId="0" xr:uid="{D65AE546-CC11-44B3-87A6-9F2350F36AF9}">
      <text>
        <t>[Threaded comment]
Your version of Excel allows you to read this threaded comment; however, any edits to it will get removed if the file is opened in a newer version of Excel. Learn more: https://go.microsoft.com/fwlink/?linkid=870924
Comment:
    Short Term Actuarial Mathematics
Cost: $250
Club Passing Reimbursement: $100
Offered: February, June, October
Modern Actuarial Statistics II
Cost: $360
Club Passing Reimbursement: $250
Offered: April, November</t>
      </text>
    </comment>
    <comment ref="AC42" authorId="40" shapeId="0" xr:uid="{820D4EED-F9AC-48EC-8E53-2BEB80B73BEE}">
      <text>
        <t>[Threaded comment]
Your version of Excel allows you to read this threaded comment; however, any edits to it will get removed if the file is opened in a newer version of Excel. Learn more: https://go.microsoft.com/fwlink/?linkid=870924
Comment:
    Student Tips: This is one of the first courses you should take to go towards your stat minor as they teach the material in the SRM exam</t>
      </text>
    </comment>
    <comment ref="R43" authorId="41" shapeId="0" xr:uid="{98179504-E5AE-410A-B8AD-9B89A19649F8}">
      <text>
        <t>[Threaded comment]
Your version of Excel allows you to read this threaded comment; however, any edits to it will get removed if the file is opened in a newer version of Excel. Learn more: https://go.microsoft.com/fwlink/?linkid=870924
Comment:
    Predictive Analytics</t>
      </text>
    </comment>
    <comment ref="AC43" authorId="42" shapeId="0" xr:uid="{0F6FAC20-5475-44FF-97A5-EF18090B5315}">
      <text>
        <t>[Threaded comment]
Your version of Excel allows you to read this threaded comment; however, any edits to it will get removed if the file is opened in a newer version of Excel. Learn more: https://go.microsoft.com/fwlink/?linkid=870924
Comment:
    Intro to R
Student Tips: Smeal students can't normally take this course, but it is sometimes opened up to non-stat majors the week before classes start, so keep an eye out to take it and learn some R!</t>
      </text>
    </comment>
    <comment ref="AC44" authorId="43" shapeId="0" xr:uid="{D9435EB9-DFD6-4FB4-9F07-1BB2143DA029}">
      <text>
        <t>[Threaded comment]
Your version of Excel allows you to read this threaded comment; however, any edits to it will get removed if the file is opened in a newer version of Excel. Learn more: https://go.microsoft.com/fwlink/?linkid=870924
Comment:
    This suggested course teaches more detail for Microsoft Excel and Microsoft Access</t>
      </text>
    </comment>
    <comment ref="AC45" authorId="44" shapeId="0" xr:uid="{CEB1F7C0-D327-4AA4-BF24-2845268BA194}">
      <text>
        <t>[Threaded comment]
Your version of Excel allows you to read this threaded comment; however, any edits to it will get removed if the file is opened in a newer version of Excel. Learn more: https://go.microsoft.com/fwlink/?linkid=870924
Comment:
    This suggested course teaches SAS</t>
      </text>
    </comment>
    <comment ref="R46" authorId="45" shapeId="0" xr:uid="{1401EAA4-10F6-4291-B16E-1DABD4E10847}">
      <text>
        <t xml:space="preserve">[Threaded comment]
Your version of Excel allows you to read this threaded comment; however, any edits to it will get removed if the file is opened in a newer version of Excel. Learn more: https://go.microsoft.com/fwlink/?linkid=870924
Comment:
    Blank Grade Earned = "F"
</t>
      </text>
    </comment>
    <comment ref="AB68" authorId="46" shapeId="0" xr:uid="{6E2187FC-A386-4898-831E-BB1DB15E70A2}">
      <text>
        <t>[Threaded comment]
Your version of Excel allows you to read this threaded comment; however, any edits to it will get removed if the file is opened in a newer version of Excel. Learn more: https://go.microsoft.com/fwlink/?linkid=870924
Comment:
    Student Tips: Because STAT 414 teaches for exam P and STAT 415 is a VEE course, everyone should take those two courses here</t>
      </text>
    </comment>
    <comment ref="J74" authorId="47" shapeId="0" xr:uid="{1C00C6BF-5DA5-405A-B69D-D56D20192D6F}">
      <text>
        <t>[Threaded comment]
Your version of Excel allows you to read this threaded comment; however, any edits to it will get removed if the file is opened in a newer version of Excel. Learn more: https://go.microsoft.com/fwlink/?linkid=870924
Comment:
    Here you can put special semesters such as summer classes. If you take a class in the summer after your freshman year, put the semester as 1.5</t>
      </text>
    </comment>
    <comment ref="AC78" authorId="48" shapeId="0" xr:uid="{CC2378E0-3B59-448A-8337-ECE8DCE9CAC8}">
      <text>
        <t>[Threaded comment]
Your version of Excel allows you to read this threaded comment; however, any edits to it will get removed if the file is opened in a newer version of Excel. Learn more: https://go.microsoft.com/fwlink/?linkid=870924
Comment:
    Student Tips: This is a challenging course, so if you aren't going the CAS route, consider another STAT class such as STAT 440</t>
      </text>
    </comment>
    <comment ref="AC80" authorId="49" shapeId="0" xr:uid="{747ABC35-F637-464A-BA42-5F6FBAB12EEC}">
      <text>
        <t>[Threaded comment]
Your version of Excel allows you to read this threaded comment; however, any edits to it will get removed if the file is opened in a newer version of Excel. Learn more: https://go.microsoft.com/fwlink/?linkid=870924
Comment:
    Student Tips: This is a challenging course with advanced techniques in R, so if you aren't going the SOA route, consider another STAT class such as STAT 416</t>
      </text>
    </comment>
    <comment ref="AC86" authorId="50" shapeId="0" xr:uid="{E7D28700-BC22-43BC-86B6-283A20D571B4}">
      <text>
        <t>[Threaded comment]
Your version of Excel allows you to read this threaded comment; however, any edits to it will get removed if the file is opened in a newer version of Excel. Learn more: https://go.microsoft.com/fwlink/?linkid=870924
Comment:
    Time Series
Students Tips: Time Series are on SRM, but are only about 25% of the exam. Feel free to self-teach these concepts if you want to take another STAT course instead.</t>
      </text>
    </comment>
    <comment ref="AC90" authorId="51" shapeId="0" xr:uid="{5D94C351-A968-480E-8359-4C6EE51BE71D}">
      <text>
        <t>[Threaded comment]
Your version of Excel allows you to read this threaded comment; however, any edits to it will get removed if the file is opened in a newer version of Excel. Learn more: https://go.microsoft.com/fwlink/?linkid=870924
Comment:
    First third of STAT 483</t>
      </text>
    </comment>
    <comment ref="AC91" authorId="52" shapeId="0" xr:uid="{600E83CD-F16C-4972-9EFA-D99E0A0D6B4B}">
      <text>
        <t>[Threaded comment]
Your version of Excel allows you to read this threaded comment; however, any edits to it will get removed if the file is opened in a newer version of Excel. Learn more: https://go.microsoft.com/fwlink/?linkid=870924
Comment:
    Second third of STAT 480</t>
      </text>
    </comment>
    <comment ref="AC92" authorId="53" shapeId="0" xr:uid="{6FEF6125-1039-4B29-8AF9-266A98AD6184}">
      <text>
        <t>[Threaded comment]
Your version of Excel allows you to read this threaded comment; however, any edits to it will get removed if the file is opened in a newer version of Excel. Learn more: https://go.microsoft.com/fwlink/?linkid=870924
Comment:
    Final third of Stat 480</t>
      </text>
    </comment>
    <comment ref="AC94" authorId="54" shapeId="0" xr:uid="{4767270C-85E3-4CE7-B7B7-2FEA0F09317A}">
      <text>
        <t>[Threaded comment]
Your version of Excel allows you to read this threaded comment; however, any edits to it will get removed if the file is opened in a newer version of Excel. Learn more: https://go.microsoft.com/fwlink/?linkid=870924
Comment:
    Intro to R
Student Tips: This course is hard to find (usually only on World Campus), so consider taking STAT 440 instead</t>
      </text>
    </comment>
    <comment ref="AC115" authorId="55" shapeId="0" xr:uid="{6E7F5621-B17B-4093-8C56-09A680A5CA7A}">
      <text>
        <t>[Threaded comment]
Your version of Excel allows you to read this threaded comment; however, any edits to it will get removed if the file is opened in a newer version of Excel. Learn more: https://go.microsoft.com/fwlink/?linkid=870924
Comment:
    Dual-Listed (AKA the same course) with MATH 414</t>
      </text>
    </comment>
    <comment ref="AC116" authorId="56" shapeId="0" xr:uid="{9CC85416-8FAE-43A8-AE5B-3F799A985776}">
      <text>
        <t>[Threaded comment]
Your version of Excel allows you to read this threaded comment; however, any edits to it will get removed if the file is opened in a newer version of Excel. Learn more: https://go.microsoft.com/fwlink/?linkid=870924
Comment:
    Dual-Listed (AKA the same course) with MATH 415</t>
      </text>
    </comment>
    <comment ref="AC117" authorId="57" shapeId="0" xr:uid="{8DF6844A-F790-45D0-A6E1-82B88C08ACBA}">
      <text>
        <t>[Threaded comment]
Your version of Excel allows you to read this threaded comment; however, any edits to it will get removed if the file is opened in a newer version of Excel. Learn more: https://go.microsoft.com/fwlink/?linkid=870924
Comment:
    Dual-Listed (AKA the same course) with MATH 416</t>
      </text>
    </comment>
    <comment ref="AC142" authorId="58" shapeId="0" xr:uid="{ECC00E74-B08A-4EFC-827B-D93BEABB1D2F}">
      <text>
        <t>[Threaded comment]
Your version of Excel allows you to read this threaded comment; however, any edits to it will get removed if the file is opened in a newer version of Excel. Learn more: https://go.microsoft.com/fwlink/?linkid=870924
Comment:
    Health Economics
Student Tips: As far as 400 level econs go, this is great if you are considering working in health insurance!</t>
      </text>
    </comment>
    <comment ref="AC143" authorId="59" shapeId="0" xr:uid="{B263D190-5779-4D08-8CFE-3A52396C6D45}">
      <text>
        <t>[Threaded comment]
Your version of Excel allows you to read this threaded comment; however, any edits to it will get removed if the file is opened in a newer version of Excel. Learn more: https://go.microsoft.com/fwlink/?linkid=870924
Comment:
    Game Theory
Student Tips: As far as 400 level econs go, this is great for learning how individuals make decisions!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tc={7ECC0E47-1F6B-4EA6-8E6B-925F8A9445B6}</author>
    <author>tc={064B038D-F1AD-4BFB-9CBA-8ED6D9466B67}</author>
    <author>tc={54EDB3AE-1410-4780-BDEA-AAF9B6FEF53D}</author>
    <author>tc={B4B45C81-301E-4C32-B6D0-5C64CF580292}</author>
    <author>tc={F1A8089F-9803-4681-9145-C9719FA227AD}</author>
    <author>tc={4253AFAC-6CEF-43C0-A2A6-C2973CFE9A65}</author>
    <author>tc={C1F0E771-E5BF-4603-9171-03E9FB00359E}</author>
    <author>tc={ACEA17C3-B9FE-46BC-9FDE-B314F3CB87AA}</author>
    <author>tc={783A15DB-83E5-4AF4-BE01-9B0B3288A19E}</author>
    <author>tc={9B36F000-FE6C-448E-93A4-446DD00BD4FA}</author>
    <author>tc={E6FED165-B53B-4F70-810F-FBA5AA64773B}</author>
    <author>tc={A49DC797-CFB4-4023-81B0-AFD403B1A89B}</author>
    <author>tc={9D358D27-2053-4B2F-A96F-02A735448BF8}</author>
    <author>tc={4CBF3AA9-C68A-4E34-AE6E-174848E64F3F}</author>
    <author>tc={832F17D6-BB64-43FF-B081-7091E690D65A}</author>
    <author>tc={431CEEEF-7DF2-4BCD-A3E7-03B95D02EB85}</author>
    <author>tc={8AAF257E-2730-4076-9F92-F0637FF4B38E}</author>
    <author>tc={51489B80-516B-4836-A985-ACD27D8C228A}</author>
    <author>tc={ECF5D4F4-328D-420C-A13C-477E98632B97}</author>
    <author>tc={3603850E-C4D9-4FD8-949C-F04B2BC54276}</author>
    <author>tc={5DBF20B9-4BFB-4286-95E2-A26E8A7262E6}</author>
    <author>tc={4E6DA1A7-9836-4FA4-8BE5-827E9F620A8B}</author>
    <author>tc={8774B3C1-962E-4CC9-94F2-DC0B73C783E1}</author>
    <author>tc={8FB0F16D-91AF-4ABA-987C-4C8ED2FD00B6}</author>
    <author>tc={74EDEC29-8384-4AAD-8E5C-2F72ED36B440}</author>
    <author>tc={18E01A73-BE1E-466E-B610-9F67640BEBC0}</author>
    <author>tc={3CB09584-A63F-4426-AE42-046612E5086B}</author>
    <author>tc={7B008BE4-BC98-4DCB-9419-A4337D281377}</author>
    <author>tc={9A11B4B1-631D-44A9-AC23-AFAAD47DAB35}</author>
    <author>tc={228CC9DF-6638-485B-815E-DBD70FAFC048}</author>
    <author>tc={A93FF4F1-1464-4FC8-A11C-E3E3BA60A95A}</author>
    <author>tc={7439EA7C-098F-4497-8ED9-8504BA18805F}</author>
    <author>tc={028EEC0D-E58F-412A-995D-B3FCE6C92033}</author>
    <author>tc={68A23D32-C7B9-426D-AADA-4C2FA8BF6ADF}</author>
    <author>tc={53BC6477-EE1D-4EFF-8BB9-C7EB2F356F14}</author>
    <author>tc={E621AA5E-DDF6-41FB-8657-CCFA98D82606}</author>
    <author>tc={71D063D0-6EA1-4BF7-B1ED-D8DCEC5535E5}</author>
    <author>tc={7B0A8408-CD40-4C69-9B81-CE5AE942D97E}</author>
    <author>tc={C13EB021-7B23-4BCF-9174-9A5618A407E5}</author>
    <author>tc={1BDD245C-37F4-4AF5-80FC-29D8200B1BAD}</author>
    <author>tc={FECF56E1-2186-480C-8912-7E2B27AF9B9E}</author>
    <author>tc={4F000185-6C15-4C02-A773-F187B9911865}</author>
    <author>tc={E4AD84E7-ED1D-486E-BC18-416A47BE7A2D}</author>
    <author>tc={9029EBAA-1256-4D29-87CF-D68A5768FD05}</author>
  </authors>
  <commentList>
    <comment ref="K1" authorId="0" shapeId="0" xr:uid="{7ECC0E47-1F6B-4EA6-8E6B-925F8A9445B6}">
      <text>
        <t>[Threaded comment]
Your version of Excel allows you to read this threaded comment; however, any edits to it will get removed if the file is opened in a newer version of Excel. Learn more: https://go.microsoft.com/fwlink/?linkid=870924
Comment:
    Enter your grades here. Note that a blank space is counted as an F</t>
      </text>
    </comment>
    <comment ref="L1" authorId="1" shapeId="0" xr:uid="{064B038D-F1AD-4BFB-9CBA-8ED6D9466B67}">
      <text>
        <t>[Threaded comment]
Your version of Excel allows you to read this threaded comment; however, any edits to it will get removed if the file is opened in a newer version of Excel. Learn more: https://go.microsoft.com/fwlink/?linkid=870924
Comment:
    Enter your courses here</t>
      </text>
    </comment>
    <comment ref="AC4" authorId="2" shapeId="0" xr:uid="{54EDB3AE-1410-4780-BDEA-AAF9B6FEF53D}">
      <text>
        <t>[Threaded comment]
Your version of Excel allows you to read this threaded comment; however, any edits to it will get removed if the file is opened in a newer version of Excel. Learn more: https://go.microsoft.com/fwlink/?linkid=870924
Comment:
    Speech Writing</t>
      </text>
    </comment>
    <comment ref="AC7" authorId="3" shapeId="0" xr:uid="{B4B45C81-301E-4C32-B6D0-5C64CF580292}">
      <text>
        <t>[Threaded comment]
Your version of Excel allows you to read this threaded comment; however, any edits to it will get removed if the file is opened in a newer version of Excel. Learn more: https://go.microsoft.com/fwlink/?linkid=870924
Comment:
    Calculus 1</t>
      </text>
    </comment>
    <comment ref="AC8" authorId="4" shapeId="0" xr:uid="{F1A8089F-9803-4681-9145-C9719FA227AD}">
      <text>
        <t>[Threaded comment]
Your version of Excel allows you to read this threaded comment; however, any edits to it will get removed if the file is opened in a newer version of Excel. Learn more: https://go.microsoft.com/fwlink/?linkid=870924
Comment:
    Calculus 2</t>
      </text>
    </comment>
    <comment ref="AC9" authorId="5" shapeId="0" xr:uid="{4253AFAC-6CEF-43C0-A2A6-C2973CFE9A65}">
      <text>
        <t>[Threaded comment]
Your version of Excel allows you to read this threaded comment; however, any edits to it will get removed if the file is opened in a newer version of Excel. Learn more: https://go.microsoft.com/fwlink/?linkid=870924
Comment:
    Matrices</t>
      </text>
    </comment>
    <comment ref="AC10" authorId="6" shapeId="0" xr:uid="{C1F0E771-E5BF-4603-9171-03E9FB00359E}">
      <text>
        <t>[Threaded comment]
Your version of Excel allows you to read this threaded comment; however, any edits to it will get removed if the file is opened in a newer version of Excel. Learn more: https://go.microsoft.com/fwlink/?linkid=870924
Comment:
    Calculus 3</t>
      </text>
    </comment>
    <comment ref="AC11" authorId="7" shapeId="0" xr:uid="{ACEA17C3-B9FE-46BC-9FDE-B314F3CB87AA}">
      <text>
        <t>[Threaded comment]
Your version of Excel allows you to read this threaded comment; however, any edits to it will get removed if the file is opened in a newer version of Excel. Learn more: https://go.microsoft.com/fwlink/?linkid=870924
Comment:
    First Year Seminar</t>
      </text>
    </comment>
    <comment ref="R12" authorId="8" shapeId="0" xr:uid="{783A15DB-83E5-4AF4-BE01-9B0B3288A19E}">
      <text>
        <t>[Threaded comment]
Your version of Excel allows you to read this threaded comment; however, any edits to it will get removed if the file is opened in a newer version of Excel. Learn more: https://go.microsoft.com/fwlink/?linkid=870924
Comment:
    These are quantification courses
Most students will get this covered by their major requirements</t>
      </text>
    </comment>
    <comment ref="R13" authorId="9" shapeId="0" xr:uid="{9B36F000-FE6C-448E-93A4-446DD00BD4FA}">
      <text>
        <t>[Threaded comment]
Your version of Excel allows you to read this threaded comment; however, any edits to it will get removed if the file is opened in a newer version of Excel. Learn more: https://go.microsoft.com/fwlink/?linkid=870924
Comment:
    These are courses in writing
Most students will get this covered by their major requirements</t>
      </text>
    </comment>
    <comment ref="AC13" authorId="10" shapeId="0" xr:uid="{E6FED165-B53B-4F70-810F-FBA5AA64773B}">
      <text>
        <t>[Threaded comment]
Your version of Excel allows you to read this threaded comment; however, any edits to it will get removed if the file is opened in a newer version of Excel. Learn more: https://go.microsoft.com/fwlink/?linkid=870924
Comment:
    For exam FM</t>
      </text>
    </comment>
    <comment ref="R14" authorId="11" shapeId="0" xr:uid="{A49DC797-CFB4-4023-81B0-AFD403B1A89B}">
      <text>
        <t>[Threaded comment]
Your version of Excel allows you to read this threaded comment; however, any edits to it will get removed if the file is opened in a newer version of Excel. Learn more: https://go.microsoft.com/fwlink/?linkid=870924
Comment:
    These are courses in the arts
Courses students have enjoyed in the past:
ART 51 (Piano)
ART 54 (Guitar)</t>
      </text>
    </comment>
    <comment ref="R15" authorId="12" shapeId="0" xr:uid="{9D358D27-2053-4B2F-A96F-02A735448BF8}">
      <text>
        <t>[Threaded comment]
Your version of Excel allows you to read this threaded comment; however, any edits to it will get removed if the file is opened in a newer version of Excel. Learn more: https://go.microsoft.com/fwlink/?linkid=870924
Comment:
    These are physical activity classes
Courses students have enjoyed in the past:
KINES 29B (Total Golf)</t>
      </text>
    </comment>
    <comment ref="AC15" authorId="13" shapeId="0" xr:uid="{4CBF3AA9-C68A-4E34-AE6E-174848E64F3F}">
      <text>
        <t>[Threaded comment]
Your version of Excel allows you to read this threaded comment; however, any edits to it will get removed if the file is opened in a newer version of Excel. Learn more: https://go.microsoft.com/fwlink/?linkid=870924
Comment:
    First half of contenet for exam LTAM</t>
      </text>
    </comment>
    <comment ref="R16" authorId="14" shapeId="0" xr:uid="{832F17D6-BB64-43FF-B081-7091E690D65A}">
      <text>
        <t>[Threaded comment]
Your version of Excel allows you to read this threaded comment; however, any edits to it will get removed if the file is opened in a newer version of Excel. Learn more: https://go.microsoft.com/fwlink/?linkid=870924
Comment:
    These are courses in the humanities
Courses students have enjoyed in the past:
CAS 214W (Speech Writing)</t>
      </text>
    </comment>
    <comment ref="AC16" authorId="15" shapeId="0" xr:uid="{431CEEEF-7DF2-4BCD-A3E7-03B95D02EB85}">
      <text>
        <t>[Threaded comment]
Your version of Excel allows you to read this threaded comment; however, any edits to it will get removed if the file is opened in a newer version of Excel. Learn more: https://go.microsoft.com/fwlink/?linkid=870924
Comment:
    Second half of content for Exam LTAM</t>
      </text>
    </comment>
    <comment ref="R17" authorId="16" shapeId="0" xr:uid="{8AAF257E-2730-4076-9F92-F0637FF4B38E}">
      <text>
        <t>[Threaded comment]
Your version of Excel allows you to read this threaded comment; however, any edits to it will get removed if the file is opened in a newer version of Excel. Learn more: https://go.microsoft.com/fwlink/?linkid=870924
Comment:
    Theses are courses in the social and behavioral sciences
Most students will get this covered by their major requirements</t>
      </text>
    </comment>
    <comment ref="AC17" authorId="17" shapeId="0" xr:uid="{51489B80-516B-4836-A985-ACD27D8C228A}">
      <text>
        <t>[Threaded comment]
Your version of Excel allows you to read this threaded comment; however, any edits to it will get removed if the file is opened in a newer version of Excel. Learn more: https://go.microsoft.com/fwlink/?linkid=870924
Comment:
    Intro to R</t>
      </text>
    </comment>
    <comment ref="R18" authorId="18" shapeId="0" xr:uid="{ECF5D4F4-328D-420C-A13C-477E98632B97}">
      <text>
        <t>[Threaded comment]
Your version of Excel allows you to read this threaded comment; however, any edits to it will get removed if the file is opened in a newer version of Excel. Learn more: https://go.microsoft.com/fwlink/?linkid=870924
Comment:
    These are courses in the natural sciences
Courses students have enjoyed in the past:
ASTRO 10
EGEE 101</t>
      </text>
    </comment>
    <comment ref="AC19" authorId="19" shapeId="0" xr:uid="{3603850E-C4D9-4FD8-949C-F04B2BC54276}">
      <text>
        <t>[Threaded comment]
Your version of Excel allows you to read this threaded comment; however, any edits to it will get removed if the file is opened in a newer version of Excel. Learn more: https://go.microsoft.com/fwlink/?linkid=870924
Comment:
    Data Science</t>
      </text>
    </comment>
    <comment ref="AC26" authorId="20" shapeId="0" xr:uid="{5DBF20B9-4BFB-4286-95E2-A26E8A7262E6}">
      <text>
        <t>[Threaded comment]
Your version of Excel allows you to read this threaded comment; however, any edits to it will get removed if the file is opened in a newer version of Excel. Learn more: https://go.microsoft.com/fwlink/?linkid=870924
Comment:
    Can also take three 1-credit courses that make up STAT 483 (480, 481, 482)</t>
      </text>
    </comment>
    <comment ref="R27" authorId="21" shapeId="0" xr:uid="{4E6DA1A7-9836-4FA4-8BE5-827E9F620A8B}">
      <text>
        <t>[Threaded comment]
Your version of Excel allows you to read this threaded comment; however, any edits to it will get removed if the file is opened in a newer version of Excel. Learn more: https://go.microsoft.com/fwlink/?linkid=870924
Comment:
    Probability
Cost: $250
Club Passing Reimbursement: $100
Offered: Bi-Monthly (Starting in January)</t>
      </text>
    </comment>
    <comment ref="AC27" authorId="22" shapeId="0" xr:uid="{8774B3C1-962E-4CC9-94F2-DC0B73C783E1}">
      <text>
        <t>[Threaded comment]
Your version of Excel allows you to read this threaded comment; however, any edits to it will get removed if the file is opened in a newer version of Excel. Learn more: https://go.microsoft.com/fwlink/?linkid=870924
Comment:
    These are all introductory computer science courses</t>
      </text>
    </comment>
    <comment ref="R28" authorId="23" shapeId="0" xr:uid="{8FB0F16D-91AF-4ABA-987C-4C8ED2FD00B6}">
      <text>
        <t>[Threaded comment]
Your version of Excel allows you to read this threaded comment; however, any edits to it will get removed if the file is opened in a newer version of Excel. Learn more: https://go.microsoft.com/fwlink/?linkid=870924
Comment:
    Financial Mathematics
Cost: $250
Passing Club Reimbursement: $100
Offered: Bi-Monthly (Starting in February)</t>
      </text>
    </comment>
    <comment ref="AC28" authorId="24" shapeId="0" xr:uid="{74EDEC29-8384-4AAD-8E5C-2F72ED36B440}">
      <text>
        <t>[Threaded comment]
Your version of Excel allows you to read this threaded comment; however, any edits to it will get removed if the file is opened in a newer version of Excel. Learn more: https://go.microsoft.com/fwlink/?linkid=870924
Comment:
    Time Series
Student Tips: We recommend taking this course if you are on the SOA track as time series is about SRM exam!</t>
      </text>
    </comment>
    <comment ref="R29" authorId="25" shapeId="0" xr:uid="{18E01A73-BE1E-466E-B610-9F67640BEBC0}">
      <text>
        <t>[Threaded comment]
Your version of Excel allows you to read this threaded comment; however, any edits to it will get removed if the file is opened in a newer version of Excel. Learn more: https://go.microsoft.com/fwlink/?linkid=870924
Comment:
    Investments &amp; Financial Markets
Cost: $350
Passing Club Reimbursement: $200
Offered: March, July, November</t>
      </text>
    </comment>
    <comment ref="R30" authorId="26" shapeId="0" xr:uid="{3CB09584-A63F-4426-AE42-046612E5086B}">
      <text>
        <t>[Threaded comment]
Your version of Excel allows you to read this threaded comment; however, any edits to it will get removed if the file is opened in a newer version of Excel. Learn more: https://go.microsoft.com/fwlink/?linkid=870924
Comment:
    Statistics for Risk Modellng
Cost: $325
Club Passing Reimbursement: $250
Offered: January, May, September</t>
      </text>
    </comment>
    <comment ref="R31" authorId="27" shapeId="0" xr:uid="{7B008BE4-BC98-4DCB-9419-A4337D281377}">
      <text>
        <t>[Threaded comment]
Your version of Excel allows you to read this threaded comment; however, any edits to it will get removed if the file is opened in a newer version of Excel. Learn more: https://go.microsoft.com/fwlink/?linkid=870924
Comment:
    Long Term Actuarial Mathematics
Cost: $250
Club Passing Reimbursement: $100
Offered: April, October</t>
      </text>
    </comment>
    <comment ref="AC31" authorId="28" shapeId="0" xr:uid="{9A11B4B1-631D-44A9-AC23-AFAAD47DAB35}">
      <text>
        <t>[Threaded comment]
Your version of Excel allows you to read this threaded comment; however, any edits to it will get removed if the file is opened in a newer version of Excel. Learn more: https://go.microsoft.com/fwlink/?linkid=870924
Comment:
    Stochastic Modeling
Student Tips: We recommend taking this course if you are on the CAS track as stochastic modeling is on the MAS-I exam!</t>
      </text>
    </comment>
    <comment ref="R32" authorId="29" shapeId="0" xr:uid="{228CC9DF-6638-485B-815E-DBD70FAFC048}">
      <text>
        <t>[Threaded comment]
Your version of Excel allows you to read this threaded comment; however, any edits to it will get removed if the file is opened in a newer version of Excel. Learn more: https://go.microsoft.com/fwlink/?linkid=870924
Comment:
    Modern Actuarial Statistics I
Cost: $360
Passing Club Reimbursement: $250
Offered: April, November</t>
      </text>
    </comment>
    <comment ref="R33" authorId="30" shapeId="0" xr:uid="{A93FF4F1-1464-4FC8-A11C-E3E3BA60A95A}">
      <text>
        <t>[Threaded comment]
Your version of Excel allows you to read this threaded comment; however, any edits to it will get removed if the file is opened in a newer version of Excel. Learn more: https://go.microsoft.com/fwlink/?linkid=870924
Comment:
    Short Term Actuarial Mathematics
Cost: $250
Club Passing Reimbursement: $100
Offered: February, June, October
Modern Actuarial Statistics II
Cost: $360
Club Passing Reimbursement: $250
Offered: April, November</t>
      </text>
    </comment>
    <comment ref="R34" authorId="31" shapeId="0" xr:uid="{7439EA7C-098F-4497-8ED9-8504BA18805F}">
      <text>
        <t>[Threaded comment]
Your version of Excel allows you to read this threaded comment; however, any edits to it will get removed if the file is opened in a newer version of Excel. Learn more: https://go.microsoft.com/fwlink/?linkid=870924
Comment:
    Predictive Analytics</t>
      </text>
    </comment>
    <comment ref="AC34" authorId="32" shapeId="0" xr:uid="{028EEC0D-E58F-412A-995D-B3FCE6C92033}">
      <text>
        <t>[Threaded comment]
Your version of Excel allows you to read this threaded comment; however, any edits to it will get removed if the file is opened in a newer version of Excel. Learn more: https://go.microsoft.com/fwlink/?linkid=870924
Comment:
    Data Science
Student Tips: We recommend taking this course if you are on the SOA track as it covers some of the material on the PA exam! CAS track students can also take it to get exposure to using R!</t>
      </text>
    </comment>
    <comment ref="R36" authorId="33" shapeId="0" xr:uid="{68A23D32-C7B9-426D-AADA-4C2FA8BF6ADF}">
      <text>
        <t xml:space="preserve">[Threaded comment]
Your version of Excel allows you to read this threaded comment; however, any edits to it will get removed if the file is opened in a newer version of Excel. Learn more: https://go.microsoft.com/fwlink/?linkid=870924
Comment:
    Blank Grade Earned = "F"
</t>
      </text>
    </comment>
    <comment ref="AC47" authorId="34" shapeId="0" xr:uid="{53BC6477-EE1D-4EFF-8BB9-C7EB2F356F14}">
      <text>
        <t>[Threaded comment]
Your version of Excel allows you to read this threaded comment; however, any edits to it will get removed if the file is opened in a newer version of Excel. Learn more: https://go.microsoft.com/fwlink/?linkid=870924
Comment:
    For Exam P
Student Tips: Doing well in this class is a good indicator that actuarial science is the right major for you! While not required by the stat major, every student should take this class unless they have already passed P</t>
      </text>
    </comment>
    <comment ref="AC49" authorId="35" shapeId="0" xr:uid="{E621AA5E-DDF6-41FB-8657-CCFA98D82606}">
      <text>
        <t>[Threaded comment]
Your version of Excel allows you to read this threaded comment; however, any edits to it will get removed if the file is opened in a newer version of Excel. Learn more: https://go.microsoft.com/fwlink/?linkid=870924
Comment:
    For Exam IFM
Students Tips: While not required by the stat major, every student should take this class unless they have already passed IFM. In the fall, this class ends after Thanksgiving break!</t>
      </text>
    </comment>
    <comment ref="AC50" authorId="36" shapeId="0" xr:uid="{71D063D0-6EA1-4BF7-B1ED-D8DCEC5535E5}">
      <text>
        <t>[Threaded comment]
Your version of Excel allows you to read this threaded comment; however, any edits to it will get removed if the file is opened in a newer version of Excel. Learn more: https://go.microsoft.com/fwlink/?linkid=870924
Comment:
    For exams STAM and MAS-II
Student tips: Take RM 420 to help you pass another exam senior year!</t>
      </text>
    </comment>
    <comment ref="AC51" authorId="37" shapeId="0" xr:uid="{7B0A8408-CD40-4C69-9B81-CE5AE942D97E}">
      <text>
        <t>[Threaded comment]
Your version of Excel allows you to read this threaded comment; however, any edits to it will get removed if the file is opened in a newer version of Excel. Learn more: https://go.microsoft.com/fwlink/?linkid=870924
Comment:
    Intermediate Programming</t>
      </text>
    </comment>
    <comment ref="J74" authorId="38" shapeId="0" xr:uid="{C13EB021-7B23-4BCF-9174-9A5618A407E5}">
      <text>
        <t>[Threaded comment]
Your version of Excel allows you to read this threaded comment; however, any edits to it will get removed if the file is opened in a newer version of Excel. Learn more: https://go.microsoft.com/fwlink/?linkid=870924
Comment:
    Here you can put special semesters such as summer classes. If you take a class in the summer after your freshman year, put the semester as 1.5</t>
      </text>
    </comment>
    <comment ref="AC82" authorId="39" shapeId="0" xr:uid="{1BDD245C-37F4-4AF5-80FC-29D8200B1BAD}">
      <text>
        <t>[Threaded comment]
Your version of Excel allows you to read this threaded comment; however, any edits to it will get removed if the file is opened in a newer version of Excel. Learn more: https://go.microsoft.com/fwlink/?linkid=870924
Comment:
    Dual-Listed (AKA the same course) with MATH 414</t>
      </text>
    </comment>
    <comment ref="AC83" authorId="40" shapeId="0" xr:uid="{FECF56E1-2186-480C-8912-7E2B27AF9B9E}">
      <text>
        <t>[Threaded comment]
Your version of Excel allows you to read this threaded comment; however, any edits to it will get removed if the file is opened in a newer version of Excel. Learn more: https://go.microsoft.com/fwlink/?linkid=870924
Comment:
    Dual-Listed (AKA the same course) with MATH 415</t>
      </text>
    </comment>
    <comment ref="AC84" authorId="41" shapeId="0" xr:uid="{4F000185-6C15-4C02-A773-F187B9911865}">
      <text>
        <t>[Threaded comment]
Your version of Excel allows you to read this threaded comment; however, any edits to it will get removed if the file is opened in a newer version of Excel. Learn more: https://go.microsoft.com/fwlink/?linkid=870924
Comment:
    Dual-Listed (AKA the same course) with MATH 416</t>
      </text>
    </comment>
    <comment ref="AC109" authorId="42" shapeId="0" xr:uid="{E4AD84E7-ED1D-486E-BC18-416A47BE7A2D}">
      <text>
        <t>[Threaded comment]
Your version of Excel allows you to read this threaded comment; however, any edits to it will get removed if the file is opened in a newer version of Excel. Learn more: https://go.microsoft.com/fwlink/?linkid=870924
Comment:
    Health Economics
Student Tips: As far as 400 level econs go, this is great if you are considering working in health insurance!</t>
      </text>
    </comment>
    <comment ref="AC110" authorId="43" shapeId="0" xr:uid="{9029EBAA-1256-4D29-87CF-D68A5768FD05}">
      <text>
        <t>[Threaded comment]
Your version of Excel allows you to read this threaded comment; however, any edits to it will get removed if the file is opened in a newer version of Excel. Learn more: https://go.microsoft.com/fwlink/?linkid=870924
Comment:
    Game Theory
Student Tips: As far as 400 level econs go, this is great for learning how individuals make decisions!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tc={D5241B6B-2BC1-4D2A-B041-381CEEBE1C69}</author>
    <author>tc={314252F1-112E-4F13-8E85-8ED7B8C4F8EF}</author>
    <author>tc={1F31A9F8-DB71-4169-860E-BB840FF09FA5}</author>
    <author>tc={5E6E22FA-8496-4261-90A4-1294269DCA9B}</author>
    <author>tc={564F5490-9E16-4EFE-87FD-481EDC619F0A}</author>
    <author>tc={B8B6209E-9B24-49E3-B614-27AAFF713D23}</author>
    <author>tc={BB2C20E5-930B-4F32-B036-1BAF433DBA3F}</author>
    <author>tc={43E09C5F-A14C-4D16-A5A3-160DB29B6DEC}</author>
    <author>tc={FFD61A9D-2016-4995-B462-2DD74A30B8BC}</author>
    <author>tc={F60FEED5-48FC-4B7D-973B-84520169C1BD}</author>
    <author>tc={26FF2D12-83FA-4865-A7EF-818581BFE6CA}</author>
    <author>tc={3120D352-B82C-44E3-AEA0-804EA4251364}</author>
    <author>tc={CBA5D3A7-88B6-471E-AEC9-5EDBB6615A1F}</author>
    <author>tc={BFE0F03C-5190-477E-B102-5BBE8C2E85D8}</author>
    <author>tc={093A8B71-5A18-4819-88DB-0F37BF9A2259}</author>
    <author>tc={EC16CCDE-F2EB-48F4-BDA2-77C5D8044BAD}</author>
    <author>tc={462003EF-0C82-411C-A336-8C52AC704986}</author>
    <author>tc={6213AFDE-AF95-4363-BF07-85E418542F11}</author>
    <author>tc={C2CC5FCA-C46D-4B9C-980F-670D4EF0BC0B}</author>
    <author>tc={F4C01297-E8EE-4261-A79F-4877B0E184FE}</author>
    <author>tc={89B9179C-30B5-46F6-96FD-841ED55C3537}</author>
    <author>tc={4663C844-BDC1-4FD8-953B-D74B3281BBA5}</author>
    <author>tc={6E3BB569-61C8-4838-9DB7-E9238A5C50EB}</author>
    <author>tc={3EE83139-FE9B-4821-B5BA-0C34C309AD51}</author>
    <author>tc={165237EF-BAD3-4DCD-983F-BB8DD18EB6C2}</author>
    <author>tc={9805D5CA-BE69-435C-9ADA-87F846823C44}</author>
    <author>tc={111CFA9F-9A0C-4077-887D-155AC8561252}</author>
    <author>tc={87545128-7D28-406C-8DAB-B7A41F95F3EE}</author>
    <author>tc={39303907-7779-45E2-A8C1-727E8DED2350}</author>
    <author>tc={48F65FC2-6634-496B-8D64-8447E7A30918}</author>
    <author>tc={39A42310-DF1F-4EA8-9798-A7539C713956}</author>
    <author>tc={61164293-134C-4790-BA0E-B290F496C7BA}</author>
    <author>tc={023967C0-F698-4CD3-A6E4-8623A7EC596E}</author>
    <author>tc={29CC57FD-3ACC-410E-B63A-A04A003E4E19}</author>
    <author>tc={F4EB25FD-C719-4536-A93B-09341A4F54E8}</author>
    <author>tc={818EB869-F57C-48EE-BC56-10914E18530E}</author>
    <author>tc={8BB927B6-388F-4CA3-9C9F-90DE66DAAD05}</author>
    <author>tc={360C7A47-ECF9-456A-8653-80383C46DE2D}</author>
    <author>tc={46FF5FCE-FA6B-4BD5-A184-E039FDB4A74B}</author>
    <author>tc={3A14EBFD-5FEA-4B9B-ACD5-4511FBC53690}</author>
    <author>tc={552932F6-F7F8-47B1-AACD-4110D5EB0A10}</author>
    <author>tc={53B880FE-5F71-4238-BB58-876ECC3BD84F}</author>
    <author>tc={A36A9C76-380F-48B0-9437-A99ED1EC057A}</author>
    <author>tc={E6891DDB-0176-4FA3-9045-536F476B142C}</author>
  </authors>
  <commentList>
    <comment ref="K1" authorId="0" shapeId="0" xr:uid="{D5241B6B-2BC1-4D2A-B041-381CEEBE1C69}">
      <text>
        <t>[Threaded comment]
Your version of Excel allows you to read this threaded comment; however, any edits to it will get removed if the file is opened in a newer version of Excel. Learn more: https://go.microsoft.com/fwlink/?linkid=870924
Comment:
    Enter your grades here. Note that a blank space is counted as an F</t>
      </text>
    </comment>
    <comment ref="L1" authorId="1" shapeId="0" xr:uid="{314252F1-112E-4F13-8E85-8ED7B8C4F8EF}">
      <text>
        <t>[Threaded comment]
Your version of Excel allows you to read this threaded comment; however, any edits to it will get removed if the file is opened in a newer version of Excel. Learn more: https://go.microsoft.com/fwlink/?linkid=870924
Comment:
    Enter Courses Here</t>
      </text>
    </comment>
    <comment ref="AC4" authorId="2" shapeId="0" xr:uid="{1F31A9F8-DB71-4169-860E-BB840FF09FA5}">
      <text>
        <t>[Threaded comment]
Your version of Excel allows you to read this threaded comment; however, any edits to it will get removed if the file is opened in a newer version of Excel. Learn more: https://go.microsoft.com/fwlink/?linkid=870924
Comment:
    Speech Writing</t>
      </text>
    </comment>
    <comment ref="AC5" authorId="3" shapeId="0" xr:uid="{5E6E22FA-8496-4261-90A4-1294269DCA9B}">
      <text>
        <t>[Threaded comment]
Your version of Excel allows you to read this threaded comment; however, any edits to it will get removed if the file is opened in a newer version of Excel. Learn more: https://go.microsoft.com/fwlink/?linkid=870924
Comment:
    These are all introductory computer science courses</t>
      </text>
    </comment>
    <comment ref="AC9" authorId="4" shapeId="0" xr:uid="{564F5490-9E16-4EFE-87FD-481EDC619F0A}">
      <text>
        <t>[Threaded comment]
Your version of Excel allows you to read this threaded comment; however, any edits to it will get removed if the file is opened in a newer version of Excel. Learn more: https://go.microsoft.com/fwlink/?linkid=870924
Comment:
    Calculus 1</t>
      </text>
    </comment>
    <comment ref="AC10" authorId="5" shapeId="0" xr:uid="{B8B6209E-9B24-49E3-B614-27AAFF713D23}">
      <text>
        <t>[Threaded comment]
Your version of Excel allows you to read this threaded comment; however, any edits to it will get removed if the file is opened in a newer version of Excel. Learn more: https://go.microsoft.com/fwlink/?linkid=870924
Comment:
    Calculus 2</t>
      </text>
    </comment>
    <comment ref="AC11" authorId="6" shapeId="0" xr:uid="{BB2C20E5-930B-4F32-B036-1BAF433DBA3F}">
      <text>
        <t>[Threaded comment]
Your version of Excel allows you to read this threaded comment; however, any edits to it will get removed if the file is opened in a newer version of Excel. Learn more: https://go.microsoft.com/fwlink/?linkid=870924
Comment:
    Matrices</t>
      </text>
    </comment>
    <comment ref="R13" authorId="7" shapeId="0" xr:uid="{43E09C5F-A14C-4D16-A5A3-160DB29B6DEC}">
      <text>
        <t>[Threaded comment]
Your version of Excel allows you to read this threaded comment; however, any edits to it will get removed if the file is opened in a newer version of Excel. Learn more: https://go.microsoft.com/fwlink/?linkid=870924
Comment:
    These are quantification courses
Most students will get this covered by their major requirements</t>
      </text>
    </comment>
    <comment ref="R14" authorId="8" shapeId="0" xr:uid="{FFD61A9D-2016-4995-B462-2DD74A30B8BC}">
      <text>
        <t>[Threaded comment]
Your version of Excel allows you to read this threaded comment; however, any edits to it will get removed if the file is opened in a newer version of Excel. Learn more: https://go.microsoft.com/fwlink/?linkid=870924
Comment:
    These are courses in writing
Most students will get this covered by their major requirements</t>
      </text>
    </comment>
    <comment ref="R15" authorId="9" shapeId="0" xr:uid="{F60FEED5-48FC-4B7D-973B-84520169C1BD}">
      <text>
        <t>[Threaded comment]
Your version of Excel allows you to read this threaded comment; however, any edits to it will get removed if the file is opened in a newer version of Excel. Learn more: https://go.microsoft.com/fwlink/?linkid=870924
Comment:
    These are courses in the arts
Courses students have enjoyed in the past:
ART 51 (Piano)
ART 54 (Guitar)</t>
      </text>
    </comment>
    <comment ref="R16" authorId="10" shapeId="0" xr:uid="{26FF2D12-83FA-4865-A7EF-818581BFE6CA}">
      <text>
        <t>[Threaded comment]
Your version of Excel allows you to read this threaded comment; however, any edits to it will get removed if the file is opened in a newer version of Excel. Learn more: https://go.microsoft.com/fwlink/?linkid=870924
Comment:
    These are physical activity classes
Courses students have enjoyed in the past:
KINES 29B (Total Golf)</t>
      </text>
    </comment>
    <comment ref="AC16" authorId="11" shapeId="0" xr:uid="{3120D352-B82C-44E3-AEA0-804EA4251364}">
      <text>
        <t>[Threaded comment]
Your version of Excel allows you to read this threaded comment; however, any edits to it will get removed if the file is opened in a newer version of Excel. Learn more: https://go.microsoft.com/fwlink/?linkid=870924
Comment:
    Intro to Probability
Student Tips: Take this with RM 214  to pass P!</t>
      </text>
    </comment>
    <comment ref="R17" authorId="12" shapeId="0" xr:uid="{CBA5D3A7-88B6-471E-AEC9-5EDBB6615A1F}">
      <text>
        <t>[Threaded comment]
Your version of Excel allows you to read this threaded comment; however, any edits to it will get removed if the file is opened in a newer version of Excel. Learn more: https://go.microsoft.com/fwlink/?linkid=870924
Comment:
    These are courses in the humanities
Courses students have enjoyed in the past:
CAS 214W (Speech Writing)</t>
      </text>
    </comment>
    <comment ref="R18" authorId="13" shapeId="0" xr:uid="{BFE0F03C-5190-477E-B102-5BBE8C2E85D8}">
      <text>
        <t>[Threaded comment]
Your version of Excel allows you to read this threaded comment; however, any edits to it will get removed if the file is opened in a newer version of Excel. Learn more: https://go.microsoft.com/fwlink/?linkid=870924
Comment:
    Theses are courses in the social and behavioral sciences
Most students will get this covered by their major requirements</t>
      </text>
    </comment>
    <comment ref="AC18" authorId="14" shapeId="0" xr:uid="{093A8B71-5A18-4819-88DB-0F37BF9A2259}">
      <text>
        <t>[Threaded comment]
Your version of Excel allows you to read this threaded comment; however, any edits to it will get removed if the file is opened in a newer version of Excel. Learn more: https://go.microsoft.com/fwlink/?linkid=870924
Comment:
    Stochastic Modeling; Teaches for exam MAS-I</t>
      </text>
    </comment>
    <comment ref="R19" authorId="15" shapeId="0" xr:uid="{EC16CCDE-F2EB-48F4-BDA2-77C5D8044BAD}">
      <text>
        <t>[Threaded comment]
Your version of Excel allows you to read this threaded comment; however, any edits to it will get removed if the file is opened in a newer version of Excel. Learn more: https://go.microsoft.com/fwlink/?linkid=870924
Comment:
    These are courses in the natural sciences
Courses students have enjoyed in the past:
ASTRO 10
EGEE 101</t>
      </text>
    </comment>
    <comment ref="AC25" authorId="16" shapeId="0" xr:uid="{462003EF-0C82-411C-A336-8C52AC704986}">
      <text>
        <t>[Threaded comment]
Your version of Excel allows you to read this threaded comment; however, any edits to it will get removed if the file is opened in a newer version of Excel. Learn more: https://go.microsoft.com/fwlink/?linkid=870924
Comment:
    For exam FM</t>
      </text>
    </comment>
    <comment ref="AC27" authorId="17" shapeId="0" xr:uid="{6213AFDE-AF95-4363-BF07-85E418542F11}">
      <text>
        <t>[Threaded comment]
Your version of Excel allows you to read this threaded comment; however, any edits to it will get removed if the file is opened in a newer version of Excel. Learn more: https://go.microsoft.com/fwlink/?linkid=870924
Comment:
    Teaches first half of LTAM</t>
      </text>
    </comment>
    <comment ref="R28" authorId="18" shapeId="0" xr:uid="{C2CC5FCA-C46D-4B9C-980F-670D4EF0BC0B}">
      <text>
        <t>[Threaded comment]
Your version of Excel allows you to read this threaded comment; however, any edits to it will get removed if the file is opened in a newer version of Excel. Learn more: https://go.microsoft.com/fwlink/?linkid=870924
Comment:
    Probability
Cost: $250
Club Passing Reimbursement: $100
Offered: Bi-Monthly (Starting in January)</t>
      </text>
    </comment>
    <comment ref="AC28" authorId="19" shapeId="0" xr:uid="{F4C01297-E8EE-4261-A79F-4877B0E184FE}">
      <text>
        <t>[Threaded comment]
Your version of Excel allows you to read this threaded comment; however, any edits to it will get removed if the file is opened in a newer version of Excel. Learn more: https://go.microsoft.com/fwlink/?linkid=870924
Comment:
    Teaches second half of LTAM</t>
      </text>
    </comment>
    <comment ref="R29" authorId="20" shapeId="0" xr:uid="{89B9179C-30B5-46F6-96FD-841ED55C3537}">
      <text>
        <t>[Threaded comment]
Your version of Excel allows you to read this threaded comment; however, any edits to it will get removed if the file is opened in a newer version of Excel. Learn more: https://go.microsoft.com/fwlink/?linkid=870924
Comment:
    Financial Mathematics
Cost: $250
Passing Club Reimbursement: $100
Offered: Bi-Monthly (Starting in February)</t>
      </text>
    </comment>
    <comment ref="R30" authorId="21" shapeId="0" xr:uid="{4663C844-BDC1-4FD8-953B-D74B3281BBA5}">
      <text>
        <t>[Threaded comment]
Your version of Excel allows you to read this threaded comment; however, any edits to it will get removed if the file is opened in a newer version of Excel. Learn more: https://go.microsoft.com/fwlink/?linkid=870924
Comment:
    Investments &amp; Financial Markets
Cost: $350
Passing Club Reimbursement: $200
Offered: March, July, November</t>
      </text>
    </comment>
    <comment ref="AC30" authorId="22" shapeId="0" xr:uid="{6E3BB569-61C8-4838-9DB7-E9238A5C50EB}">
      <text>
        <t>[Threaded comment]
Your version of Excel allows you to read this threaded comment; however, any edits to it will get removed if the file is opened in a newer version of Excel. Learn more: https://go.microsoft.com/fwlink/?linkid=870924
Comment:
    Linear Regression: For exam SRM</t>
      </text>
    </comment>
    <comment ref="R31" authorId="23" shapeId="0" xr:uid="{3EE83139-FE9B-4821-B5BA-0C34C309AD51}">
      <text>
        <t>[Threaded comment]
Your version of Excel allows you to read this threaded comment; however, any edits to it will get removed if the file is opened in a newer version of Excel. Learn more: https://go.microsoft.com/fwlink/?linkid=870924
Comment:
    Statistics for Risk Modellng
Cost: $325
Club Passing Reimbursement: $250
Offered: January, May, September</t>
      </text>
    </comment>
    <comment ref="R32" authorId="24" shapeId="0" xr:uid="{165237EF-BAD3-4DCD-983F-BB8DD18EB6C2}">
      <text>
        <t>[Threaded comment]
Your version of Excel allows you to read this threaded comment; however, any edits to it will get removed if the file is opened in a newer version of Excel. Learn more: https://go.microsoft.com/fwlink/?linkid=870924
Comment:
    Long Term Actuarial Mathematics
Cost: $250
Club Passing Reimbursement: $100
Offered: April, October</t>
      </text>
    </comment>
    <comment ref="AC32" authorId="25" shapeId="0" xr:uid="{9805D5CA-BE69-435C-9ADA-87F846823C44}">
      <text>
        <t>[Threaded comment]
Your version of Excel allows you to read this threaded comment; however, any edits to it will get removed if the file is opened in a newer version of Excel. Learn more: https://go.microsoft.com/fwlink/?linkid=870924
Comment:
    Time Series; For exam SRM</t>
      </text>
    </comment>
    <comment ref="R33" authorId="26" shapeId="0" xr:uid="{111CFA9F-9A0C-4077-887D-155AC8561252}">
      <text>
        <t>[Threaded comment]
Your version of Excel allows you to read this threaded comment; however, any edits to it will get removed if the file is opened in a newer version of Excel. Learn more: https://go.microsoft.com/fwlink/?linkid=870924
Comment:
    Modern Actuarial Statistics I
Cost: $360
Passing Club Reimbursement: $250
Offered: April, November</t>
      </text>
    </comment>
    <comment ref="R34" authorId="27" shapeId="0" xr:uid="{87545128-7D28-406C-8DAB-B7A41F95F3EE}">
      <text>
        <t>[Threaded comment]
Your version of Excel allows you to read this threaded comment; however, any edits to it will get removed if the file is opened in a newer version of Excel. Learn more: https://go.microsoft.com/fwlink/?linkid=870924
Comment:
    Short Term Actuarial Mathematics
Cost: $250
Club Passing Reimbursement: $100
Offered: February, June, October
Modern Actuarial Statistics II
Cost: $360
Club Passing Reimbursement: $250
Offered: April, November</t>
      </text>
    </comment>
    <comment ref="R35" authorId="28" shapeId="0" xr:uid="{39303907-7779-45E2-A8C1-727E8DED2350}">
      <text>
        <t>[Threaded comment]
Your version of Excel allows you to read this threaded comment; however, any edits to it will get removed if the file is opened in a newer version of Excel. Learn more: https://go.microsoft.com/fwlink/?linkid=870924
Comment:
    Predictive Analytics</t>
      </text>
    </comment>
    <comment ref="AC37" authorId="29" shapeId="0" xr:uid="{48F65FC2-6634-496B-8D64-8447E7A30918}">
      <text>
        <t>[Threaded comment]
Your version of Excel allows you to read this threaded comment; however, any edits to it will get removed if the file is opened in a newer version of Excel. Learn more: https://go.microsoft.com/fwlink/?linkid=870924
Comment:
    For Exam P
Student Tips: Doing well in this class is a good indicator that actuarial science is the right major for you! While not required by the stat major, every student should take this class unless they have already passed P</t>
      </text>
    </comment>
    <comment ref="R38" authorId="30" shapeId="0" xr:uid="{39A42310-DF1F-4EA8-9798-A7539C713956}">
      <text>
        <t xml:space="preserve">[Threaded comment]
Your version of Excel allows you to read this threaded comment; however, any edits to it will get removed if the file is opened in a newer version of Excel. Learn more: https://go.microsoft.com/fwlink/?linkid=870924
Comment:
    Blank Grade Earned = "F"
</t>
      </text>
    </comment>
    <comment ref="AC39" authorId="31" shapeId="0" xr:uid="{61164293-134C-4790-BA0E-B290F496C7BA}">
      <text>
        <t>[Threaded comment]
Your version of Excel allows you to read this threaded comment; however, any edits to it will get removed if the file is opened in a newer version of Excel. Learn more: https://go.microsoft.com/fwlink/?linkid=870924
Comment:
    For Exam IFM
Students Tips: While not required by the stat major, every student should take this class unless they have already passed IFM. In the fall, this class ends after Thanksgiving break!</t>
      </text>
    </comment>
    <comment ref="AC40" authorId="32" shapeId="0" xr:uid="{023967C0-F698-4CD3-A6E4-8623A7EC596E}">
      <text>
        <t>[Threaded comment]
Your version of Excel allows you to read this threaded comment; however, any edits to it will get removed if the file is opened in a newer version of Excel. Learn more: https://go.microsoft.com/fwlink/?linkid=870924
Comment:
    For exams STAM and MAS-II
Student tips: Take RM 420 to help you pass another exam senior year!</t>
      </text>
    </comment>
    <comment ref="AC41" authorId="33" shapeId="0" xr:uid="{29CC57FD-3ACC-410E-B63A-A04A003E4E19}">
      <text>
        <t>[Threaded comment]
Your version of Excel allows you to read this threaded comment; however, any edits to it will get removed if the file is opened in a newer version of Excel. Learn more: https://go.microsoft.com/fwlink/?linkid=870924
Comment:
    Data Science
Student Tips: This is a great course to further your coding and technical skills</t>
      </text>
    </comment>
    <comment ref="AC42" authorId="34" shapeId="0" xr:uid="{F4EB25FD-C719-4536-A93B-09341A4F54E8}">
      <text>
        <t>[Threaded comment]
Your version of Excel allows you to read this threaded comment; however, any edits to it will get removed if the file is opened in a newer version of Excel. Learn more: https://go.microsoft.com/fwlink/?linkid=870924
Comment:
    Data Science
Student Tips: We recommend taking this course if you are on the SOA track as it covers some of the material on the PA exam! CAS track students can also take it to get exposure to using R!</t>
      </text>
    </comment>
    <comment ref="AC43" authorId="35" shapeId="0" xr:uid="{818EB869-F57C-48EE-BC56-10914E18530E}">
      <text>
        <t>[Threaded comment]
Your version of Excel allows you to read this threaded comment; however, any edits to it will get removed if the file is opened in a newer version of Excel. Learn more: https://go.microsoft.com/fwlink/?linkid=870924
Comment:
    Intro to R
Student Tips: Math students can't normally take this course, but it is sometimes opened up to non-stat majors the week before classes start, so keep an eye out to take it and learn some R!</t>
      </text>
    </comment>
    <comment ref="AC44" authorId="36" shapeId="0" xr:uid="{8BB927B6-388F-4CA3-9C9F-90DE66DAAD05}">
      <text>
        <t>[Threaded comment]
Your version of Excel allows you to read this threaded comment; however, any edits to it will get removed if the file is opened in a newer version of Excel. Learn more: https://go.microsoft.com/fwlink/?linkid=870924
Comment:
    Intermediate Programming</t>
      </text>
    </comment>
    <comment ref="AC45" authorId="37" shapeId="0" xr:uid="{360C7A47-ECF9-456A-8653-80383C46DE2D}">
      <text>
        <t>[Threaded comment]
Your version of Excel allows you to read this threaded comment; however, any edits to it will get removed if the file is opened in a newer version of Excel. Learn more: https://go.microsoft.com/fwlink/?linkid=870924
Comment:
    Machine Learning and AI
Student Tips: Math students can't normally take this course, but it is sometimes opened up to non-computer science majors the week before classes start, so keep an eye out to take it and learn about AI!</t>
      </text>
    </comment>
    <comment ref="AC47" authorId="38" shapeId="0" xr:uid="{46FF5FCE-FA6B-4BD5-A184-E039FDB4A74B}">
      <text>
        <t>[Threaded comment]
Your version of Excel allows you to read this threaded comment; however, any edits to it will get removed if the file is opened in a newer version of Excel. Learn more: https://go.microsoft.com/fwlink/?linkid=870924
Comment:
    Teaches SAS</t>
      </text>
    </comment>
    <comment ref="AB66" authorId="39" shapeId="0" xr:uid="{3A14EBFD-5FEA-4B9B-ACD5-4511FBC53690}">
      <text>
        <t>[Threaded comment]
Your version of Excel allows you to read this threaded comment; however, any edits to it will get removed if the file is opened in a newer version of Excel. Learn more: https://go.microsoft.com/fwlink/?linkid=870924
Comment:
    As you can see, major requirements, VEE courses, and a couple suggested courses complete the stat minor!</t>
      </text>
    </comment>
    <comment ref="AB71" authorId="40" shapeId="0" xr:uid="{552932F6-F7F8-47B1-AACD-4110D5EB0A10}">
      <text>
        <t>[Threaded comment]
Your version of Excel allows you to read this threaded comment; however, any edits to it will get removed if the file is opened in a newer version of Excel. Learn more: https://go.microsoft.com/fwlink/?linkid=870924
Comment:
    Student Tips: Because STAT 414 teaches for exam P and STAT 415 is a VEE course, everyone should take those two courses here</t>
      </text>
    </comment>
    <comment ref="J74" authorId="41" shapeId="0" xr:uid="{53B880FE-5F71-4238-BB58-876ECC3BD84F}">
      <text>
        <t>[Threaded comment]
Your version of Excel allows you to read this threaded comment; however, any edits to it will get removed if the file is opened in a newer version of Excel. Learn more: https://go.microsoft.com/fwlink/?linkid=870924
Comment:
    Here you can put special semesters such as summer classes. If you take a class in the summer after your freshman year, put the semester as 1.5</t>
      </text>
    </comment>
    <comment ref="AC120" authorId="42" shapeId="0" xr:uid="{A36A9C76-380F-48B0-9437-A99ED1EC057A}">
      <text>
        <t>[Threaded comment]
Your version of Excel allows you to read this threaded comment; however, any edits to it will get removed if the file is opened in a newer version of Excel. Learn more: https://go.microsoft.com/fwlink/?linkid=870924
Comment:
    Health Economics
Student Tips: As far as 400 level econs go, this is great if you are considering working in health insurance!</t>
      </text>
    </comment>
    <comment ref="AC121" authorId="43" shapeId="0" xr:uid="{E6891DDB-0176-4FA3-9045-536F476B142C}">
      <text>
        <t>[Threaded comment]
Your version of Excel allows you to read this threaded comment; however, any edits to it will get removed if the file is opened in a newer version of Excel. Learn more: https://go.microsoft.com/fwlink/?linkid=870924
Comment:
    Game Theory
Student Tips: As far as 400 level econs go, this is great for learning how individuals make decisions!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<sst xmlns="http://schemas.openxmlformats.org/spreadsheetml/2006/main" count="1726" uniqueCount="421">
  <si>
    <t>Schedule Tool Instructions</t>
  </si>
  <si>
    <t xml:space="preserve">This tool is an aid to long-term schedule planning for actuarial science students. </t>
  </si>
  <si>
    <t>This tool offers the following functionality:</t>
  </si>
  <si>
    <t>1) Customizable course schedule input</t>
  </si>
  <si>
    <t>2) Requirements checks via conditional formatting (major/minor courses, prerequisites, course controls, entrance to major, general education)</t>
  </si>
  <si>
    <t>3) GPA calculator</t>
  </si>
  <si>
    <t>4) Actuarial exam semester suggestions</t>
  </si>
  <si>
    <t>Suggested Steps:</t>
  </si>
  <si>
    <t>FAQ</t>
  </si>
  <si>
    <t>0) Navigate to the tab that lists your major (Actuarial Science, Statistics, Mathematics)</t>
  </si>
  <si>
    <r>
      <t xml:space="preserve"> - </t>
    </r>
    <r>
      <rPr>
        <b/>
        <sz val="12"/>
        <color theme="1"/>
        <rFont val="Calibri"/>
        <family val="2"/>
        <scheme val="minor"/>
      </rPr>
      <t xml:space="preserve">How do I know what the columns mean in each section of the spreadsheet? </t>
    </r>
    <r>
      <rPr>
        <sz val="12"/>
        <color theme="1"/>
        <rFont val="Calibri"/>
        <family val="2"/>
        <scheme val="minor"/>
      </rPr>
      <t xml:space="preserve">Check the "Summary of Elements" section below for a description of each column and how to complete it. </t>
    </r>
  </si>
  <si>
    <r>
      <t xml:space="preserve">1) Start by entering any AP or Transfer credit you have earned. TR/AP credit needs to be entered in the major/minor requirements section and the GE requirements section. 
</t>
    </r>
    <r>
      <rPr>
        <u/>
        <sz val="12"/>
        <color theme="1"/>
        <rFont val="Calibri (Body)"/>
      </rPr>
      <t>Major/Minor Requirements</t>
    </r>
    <r>
      <rPr>
        <sz val="12"/>
        <color theme="1"/>
        <rFont val="Calibri"/>
        <family val="2"/>
        <scheme val="minor"/>
      </rPr>
      <t xml:space="preserve">: you need to enter TR/AP credit as "TRUE" for each relevant course in both the major and minor requirements (if a course shows up in both, enter "TRUE" in both places). 
</t>
    </r>
    <r>
      <rPr>
        <u/>
        <sz val="12"/>
        <color theme="1"/>
        <rFont val="Calibri (Body)"/>
      </rPr>
      <t>GE (General Education) Requirements</t>
    </r>
    <r>
      <rPr>
        <sz val="12"/>
        <color theme="1"/>
        <rFont val="Calibri"/>
        <family val="2"/>
        <scheme val="minor"/>
      </rPr>
      <t xml:space="preserve">: For GE credits, manually enter the credit amounts in the GE TR/AP column (the tool will NOT automatically count as GE credit any course you indicate as TRUE under TR/AP in the requirements section).  </t>
    </r>
  </si>
  <si>
    <r>
      <t xml:space="preserve"> - </t>
    </r>
    <r>
      <rPr>
        <b/>
        <sz val="12"/>
        <color theme="1"/>
        <rFont val="Calibri"/>
        <family val="2"/>
        <scheme val="minor"/>
      </rPr>
      <t>How do I enter in GE (general education) courses?</t>
    </r>
    <r>
      <rPr>
        <sz val="12"/>
        <color theme="1"/>
        <rFont val="Calibri"/>
        <family val="2"/>
        <scheme val="minor"/>
      </rPr>
      <t xml:space="preserve"> There are two ways. One is to enter them without specifying a particular course by using the gen ed code in the following format: "CODE #Credits" (so 3 credit art course = GA 3). Another is to enter a specific course in the extra section of the major requirements box and add the general education code.</t>
    </r>
  </si>
  <si>
    <t xml:space="preserve">2) If you haven't entered your major yet, navigate to the "Enter Major At Start of Semester" field in the "Entrance to Major (ETM) Requirements" Section and fill out the desired semester number. This will help you determine if you have met all ETM requirements. If you've already entered your major, you can ignore this. </t>
  </si>
  <si>
    <r>
      <t xml:space="preserve"> - </t>
    </r>
    <r>
      <rPr>
        <b/>
        <sz val="12"/>
        <color theme="1"/>
        <rFont val="Calibri"/>
        <family val="2"/>
        <scheme val="minor"/>
      </rPr>
      <t>How do I enter courses that aren't on the requirements list?</t>
    </r>
    <r>
      <rPr>
        <sz val="12"/>
        <color theme="1"/>
        <rFont val="Calibri"/>
        <family val="2"/>
        <scheme val="minor"/>
      </rPr>
      <t xml:space="preserve"> There is an extra section in the major requirements box where you can enter additional </t>
    </r>
    <r>
      <rPr>
        <b/>
        <sz val="12"/>
        <color theme="1"/>
        <rFont val="Calibri"/>
        <family val="2"/>
        <scheme val="minor"/>
      </rPr>
      <t>course names</t>
    </r>
    <r>
      <rPr>
        <sz val="12"/>
        <color theme="1"/>
        <rFont val="Calibri"/>
        <family val="2"/>
        <scheme val="minor"/>
      </rPr>
      <t xml:space="preserve"> with their </t>
    </r>
    <r>
      <rPr>
        <b/>
        <sz val="12"/>
        <color theme="1"/>
        <rFont val="Calibri"/>
        <family val="2"/>
        <scheme val="minor"/>
      </rPr>
      <t>credit amounts</t>
    </r>
    <r>
      <rPr>
        <sz val="12"/>
        <color theme="1"/>
        <rFont val="Calibri"/>
        <family val="2"/>
        <scheme val="minor"/>
      </rPr>
      <t xml:space="preserve"> and </t>
    </r>
    <r>
      <rPr>
        <b/>
        <sz val="12"/>
        <color theme="1"/>
        <rFont val="Calibri"/>
        <family val="2"/>
        <scheme val="minor"/>
      </rPr>
      <t>GE codes</t>
    </r>
    <r>
      <rPr>
        <sz val="12"/>
        <color theme="1"/>
        <rFont val="Calibri"/>
        <family val="2"/>
        <scheme val="minor"/>
      </rPr>
      <t xml:space="preserve">. </t>
    </r>
    <r>
      <rPr>
        <u/>
        <sz val="12"/>
        <color theme="1"/>
        <rFont val="Calibri (Body)"/>
      </rPr>
      <t>You are responsible for meeting any prerequisites for these courses.</t>
    </r>
  </si>
  <si>
    <r>
      <t xml:space="preserve">3) Review the major/minor course requirements that are </t>
    </r>
    <r>
      <rPr>
        <u/>
        <sz val="12"/>
        <color theme="1"/>
        <rFont val="Calibri (Body)"/>
      </rPr>
      <t>boxed with instructions</t>
    </r>
    <r>
      <rPr>
        <sz val="12"/>
        <color theme="1"/>
        <rFont val="Calibri"/>
        <family val="2"/>
        <scheme val="minor"/>
      </rPr>
      <t>. These requirements allow you to choose from a list of courses. If you want to choose a course from the list different from what is included in the sample schedule, use the drop-down.</t>
    </r>
  </si>
  <si>
    <r>
      <t xml:space="preserve"> - </t>
    </r>
    <r>
      <rPr>
        <b/>
        <sz val="12"/>
        <color theme="1"/>
        <rFont val="Calibri"/>
        <family val="2"/>
        <scheme val="minor"/>
      </rPr>
      <t>What if I take summer classes or study abroad?</t>
    </r>
    <r>
      <rPr>
        <sz val="12"/>
        <color theme="1"/>
        <rFont val="Calibri"/>
        <family val="2"/>
        <scheme val="minor"/>
      </rPr>
      <t xml:space="preserve"> There is a section at the end of the schedule (below semester 8) where you can enter courses not taken in a fall/spring semester. For the GPA calculator to function, you need to enter a value in the semester column: for a summer/study abroad, enter a value that is between the spring and fall semester numbers before and after that summer (summer after semester 2, you would enter 2.5 in the semester column)</t>
    </r>
  </si>
  <si>
    <r>
      <t xml:space="preserve">4) Begin making changes to the provided schedule. </t>
    </r>
    <r>
      <rPr>
        <b/>
        <sz val="12"/>
        <color theme="1"/>
        <rFont val="Calibri"/>
        <family val="2"/>
        <scheme val="minor"/>
      </rPr>
      <t>To remove a course</t>
    </r>
    <r>
      <rPr>
        <sz val="12"/>
        <color theme="1"/>
        <rFont val="Calibri"/>
        <family val="2"/>
        <scheme val="minor"/>
      </rPr>
      <t xml:space="preserve">, select the cell in the schedule that contains the course and press "delete." </t>
    </r>
    <r>
      <rPr>
        <b/>
        <sz val="12"/>
        <color theme="1"/>
        <rFont val="Calibri"/>
        <family val="2"/>
        <scheme val="minor"/>
      </rPr>
      <t>To add a course</t>
    </r>
    <r>
      <rPr>
        <sz val="12"/>
        <color theme="1"/>
        <rFont val="Calibri"/>
        <family val="2"/>
        <scheme val="minor"/>
      </rPr>
      <t xml:space="preserve">, select the cell in the schedule where you would like to add the course and type in the course name (ex: MATH 140). </t>
    </r>
    <r>
      <rPr>
        <b/>
        <sz val="12"/>
        <color theme="1"/>
        <rFont val="Calibri"/>
        <family val="2"/>
        <scheme val="minor"/>
      </rPr>
      <t>If you would like to add a course that is not already listed in the requirements</t>
    </r>
    <r>
      <rPr>
        <sz val="12"/>
        <color theme="1"/>
        <rFont val="Calibri"/>
        <family val="2"/>
        <scheme val="minor"/>
      </rPr>
      <t xml:space="preserve">, see "How do I enter courses that aren't on the requirements list?" in the FAQ.  </t>
    </r>
  </si>
  <si>
    <r>
      <t xml:space="preserve"> - </t>
    </r>
    <r>
      <rPr>
        <b/>
        <sz val="12"/>
        <color theme="1"/>
        <rFont val="Calibri"/>
        <family val="2"/>
        <scheme val="minor"/>
      </rPr>
      <t>Why is my gpa lower than expected?</t>
    </r>
    <r>
      <rPr>
        <sz val="12"/>
        <color theme="1"/>
        <rFont val="Calibri"/>
        <family val="2"/>
        <scheme val="minor"/>
      </rPr>
      <t xml:space="preserve"> The GPA calculator and ETM GPA treat a blank grade for a course as an F. Make sure you enter letter grades for all courses involved in the calculation before looking at GPA. </t>
    </r>
  </si>
  <si>
    <r>
      <t xml:space="preserve">5) Once you are satisfied with your schedule, make sure all the major, gen ed, and minor (optional) requirements are highlighted green. This means that the schedule you have created satisfies all requirements. </t>
    </r>
    <r>
      <rPr>
        <b/>
        <sz val="12"/>
        <color theme="1"/>
        <rFont val="Calibri"/>
        <family val="2"/>
        <scheme val="minor"/>
      </rPr>
      <t>**This tool is just an aid: we recommend always checking with your advisor before scheduling.</t>
    </r>
  </si>
  <si>
    <t>Important Notes:</t>
  </si>
  <si>
    <r>
      <t xml:space="preserve">1) </t>
    </r>
    <r>
      <rPr>
        <b/>
        <sz val="12"/>
        <color theme="1"/>
        <rFont val="Calibri"/>
        <family val="2"/>
        <scheme val="minor"/>
      </rPr>
      <t>This tool is only intended to aid in schedule planning</t>
    </r>
    <r>
      <rPr>
        <sz val="12"/>
        <color theme="1"/>
        <rFont val="Calibri"/>
        <family val="2"/>
        <scheme val="minor"/>
      </rPr>
      <t>. We highly recommend you consult your advisor, actuarial science club board, or other university resources throughout the schedule planning process and prior to scheduling courses</t>
    </r>
  </si>
  <si>
    <t>2) Schedule verification is not complete until all requirements are highlighted green</t>
  </si>
  <si>
    <t xml:space="preserve">3) Editable cells are white, locked cells are greyed out. </t>
  </si>
  <si>
    <t>Summary of Elements, with column explanations (below)</t>
  </si>
  <si>
    <t>Schedule</t>
  </si>
  <si>
    <t>(*green = user input, gray = not user input, white = varies)</t>
  </si>
  <si>
    <t>Column</t>
  </si>
  <si>
    <t>Description</t>
  </si>
  <si>
    <t>Semester</t>
  </si>
  <si>
    <t>Semester number when you plan to take courses in that block. This is not editable.</t>
  </si>
  <si>
    <t>Grade Earned</t>
  </si>
  <si>
    <t>Enter the letter grade you earned in the course (or experiment with grades for future courses). This will be used to calculate your GPA for entrance to major or using the GPA calculator</t>
  </si>
  <si>
    <t>Course</t>
  </si>
  <si>
    <t xml:space="preserve">Enter the courses you plan to take in each semester. The course names you enter must be listed in the "Course" column for major or minor requirements. </t>
  </si>
  <si>
    <t>Credits</t>
  </si>
  <si>
    <t>Number of credits for entered course. This will automatically update.</t>
  </si>
  <si>
    <t>GE Code</t>
  </si>
  <si>
    <t>Abbreviation for the general education requirment entered course is applied to, if any. This will automatically update.</t>
  </si>
  <si>
    <t>Inter-Domain?</t>
  </si>
  <si>
    <t xml:space="preserve">Enter "TRUE" if entered course is an inter-domain course. </t>
  </si>
  <si>
    <t>US/IL?</t>
  </si>
  <si>
    <t>Enter "US" or "IL" if entered course satisfies the US/IL requirement.</t>
  </si>
  <si>
    <t>General Education</t>
  </si>
  <si>
    <t>Abbreviation for general education requirement described</t>
  </si>
  <si>
    <t>Credits Required</t>
  </si>
  <si>
    <t>Number of credits required for general education type</t>
  </si>
  <si>
    <t>Credits Taken</t>
  </si>
  <si>
    <t>Number of credits for general education type taken within schedule</t>
  </si>
  <si>
    <t>TR/AP Credits?</t>
  </si>
  <si>
    <t>Enter the number of transfer (TR) or AP credits you have earned towards each general education type</t>
  </si>
  <si>
    <t>Satisfied?</t>
  </si>
  <si>
    <t>Displays "TRUE" when the requirement is satisfied.</t>
  </si>
  <si>
    <t>Entrance to Major</t>
  </si>
  <si>
    <t>Enter Major at Start of Semester</t>
  </si>
  <si>
    <t>This is the number of the semester when you want to enter your major by the start of</t>
  </si>
  <si>
    <t>Cumulative GPA at Start of Semester #</t>
  </si>
  <si>
    <t>This is your calculated cumulative GPA up to, but not including the semester you entered in the previous field. This calculation requires that you enter your letter grades for each course up to the entered semester. If you haven't yet taken all courses up to the entered semester, you can try out different grades to confirm that you will be able to enter your major as intended.</t>
  </si>
  <si>
    <t>ETM Requirements</t>
  </si>
  <si>
    <t xml:space="preserve">This section includes the courses required to enter your major, the cumulative GPA required to enter your major, and the number of earned credits required to enter your major (actuarial science only). </t>
  </si>
  <si>
    <t>Actuarial Exam Options</t>
  </si>
  <si>
    <t>Actuarial Exams</t>
  </si>
  <si>
    <t>Actuarial exams with a corresponding PSU course</t>
  </si>
  <si>
    <t>Semester after which you finish corresponding PSU course(s) (based on your input schedule)</t>
  </si>
  <si>
    <t>Course(s) corresponding to the actuarial exam listed</t>
  </si>
  <si>
    <t>GPA Calculator</t>
  </si>
  <si>
    <t>End of semester</t>
  </si>
  <si>
    <t>End of semester that should be used for calculations</t>
  </si>
  <si>
    <t>Cumulative?</t>
  </si>
  <si>
    <t>Enter "TRUE" if you want to see your GPA through the semester you entered above. Enter "FALSE" if you want to see your GPA for only the semester you entered above</t>
  </si>
  <si>
    <t>GPA</t>
  </si>
  <si>
    <t>Calculated GPA based on provided inputs</t>
  </si>
  <si>
    <t>Major Requirements</t>
  </si>
  <si>
    <t>Instructions</t>
  </si>
  <si>
    <t>Instructions for requirement (ex: some requirements allow you to choose from multiple courses)</t>
  </si>
  <si>
    <t>Required course</t>
  </si>
  <si>
    <t>Number of credits for course listed on row</t>
  </si>
  <si>
    <t>Prerequisites</t>
  </si>
  <si>
    <t>Prerequisite course requirement for course listed on row. If there are multiple prerequistes, they will be listed vertically with a blank in the "course" column for subsequent rows</t>
  </si>
  <si>
    <t>Corequisites</t>
  </si>
  <si>
    <t>TR/AP Credit?</t>
  </si>
  <si>
    <t xml:space="preserve">Enter "TRUE" if you earned transfer or AP credit for the course listed on row. Leave blank otherwise. </t>
  </si>
  <si>
    <t>General education abbreviation associated with course, if applicable</t>
  </si>
  <si>
    <t>Type</t>
  </si>
  <si>
    <t>R = Required course, VEE = SOA VEE (Validation by Educational Experience), S = Suggested</t>
  </si>
  <si>
    <t>Minor Requirements</t>
  </si>
  <si>
    <t>Same columns as major requirements: minors are not required to graduate with an actuarial science major, but they can enhance your experience at Penn State. In the case of the listed requirements, many students find that they have already met most of the requirements for several minors.</t>
  </si>
  <si>
    <t>Count Semester Calculator</t>
  </si>
  <si>
    <t>Count Cumulative Calculator</t>
  </si>
  <si>
    <t>Count Cumulative ETM</t>
  </si>
  <si>
    <t>GPA*credits</t>
  </si>
  <si>
    <t>GPA Score for ETM</t>
  </si>
  <si>
    <t>GPA Score for Calculator</t>
  </si>
  <si>
    <t>Credits if Course Entered</t>
  </si>
  <si>
    <t>Credits for ETM</t>
  </si>
  <si>
    <t>Credits for Caclulator</t>
  </si>
  <si>
    <t>A</t>
  </si>
  <si>
    <t>PSU 6</t>
  </si>
  <si>
    <t xml:space="preserve">Enter Major At Start of Semester: </t>
  </si>
  <si>
    <t>Major Requirements (including VEE, Suggested Courses)</t>
  </si>
  <si>
    <t>Key</t>
  </si>
  <si>
    <t>Formatting Rules (in order)</t>
  </si>
  <si>
    <t>Formulas</t>
  </si>
  <si>
    <t>MATH 141</t>
  </si>
  <si>
    <t>In Schedule</t>
  </si>
  <si>
    <t>Semester Taken</t>
  </si>
  <si>
    <t>Before Semester</t>
  </si>
  <si>
    <t>Before Semester Satisfied</t>
  </si>
  <si>
    <t>At/After Semester</t>
  </si>
  <si>
    <t>Entered Major/Course Control Satisfied</t>
  </si>
  <si>
    <t>Odd (1)/Even (2)</t>
  </si>
  <si>
    <t>Fall Only (1)/Spring Only (2)</t>
  </si>
  <si>
    <t>Course Not Offered</t>
  </si>
  <si>
    <t>Requires C or Better</t>
  </si>
  <si>
    <t>C or Better Satisfied</t>
  </si>
  <si>
    <t>Prerequisite Satisfied</t>
  </si>
  <si>
    <t>Corequisite Satisfied</t>
  </si>
  <si>
    <t>Not In Schedule/Requirement Not Met</t>
  </si>
  <si>
    <t>General</t>
  </si>
  <si>
    <t>STAT 200</t>
  </si>
  <si>
    <t>BA 342</t>
  </si>
  <si>
    <t>R</t>
  </si>
  <si>
    <t>Pre-/Corequisite Not Met</t>
  </si>
  <si>
    <t>Shade cells if locked</t>
  </si>
  <si>
    <t>=CELL("protect", A1)=1</t>
  </si>
  <si>
    <t>Index</t>
  </si>
  <si>
    <t xml:space="preserve"> Taken Before ETM?</t>
  </si>
  <si>
    <t>C or Better?</t>
  </si>
  <si>
    <t>BA 411</t>
  </si>
  <si>
    <t>Course Not Offered In Spring/Fall</t>
  </si>
  <si>
    <t>No formatting for column titles (stop if true)</t>
  </si>
  <si>
    <t>=OR(A1="Course", A1="Prequisites", A1="Corequisites", ISBLANK(A1))</t>
  </si>
  <si>
    <t>A-</t>
  </si>
  <si>
    <t>ENGL 15</t>
  </si>
  <si>
    <t>BLAW 341</t>
  </si>
  <si>
    <t>Course Control Not Met</t>
  </si>
  <si>
    <t>Requirements Course Column:</t>
  </si>
  <si>
    <t>ASTRO 1</t>
  </si>
  <si>
    <t>MATH 140</t>
  </si>
  <si>
    <t>CAS 100</t>
  </si>
  <si>
    <t>GWS</t>
  </si>
  <si>
    <t>C or Better Not Met</t>
  </si>
  <si>
    <t>Highlight if TR/AP credit = TRUE (stop if true)</t>
  </si>
  <si>
    <t>=$AX4</t>
  </si>
  <si>
    <r>
      <rPr>
        <b/>
        <sz val="12"/>
        <color theme="1"/>
        <rFont val="Calibri"/>
        <family val="2"/>
        <scheme val="minor"/>
      </rPr>
      <t>Enter one of the following in the cell to the right</t>
    </r>
    <r>
      <rPr>
        <sz val="12"/>
        <color theme="1"/>
        <rFont val="Calibri"/>
        <family val="2"/>
        <scheme val="minor"/>
      </rPr>
      <t>: ENGL 15, ENGL 30</t>
    </r>
  </si>
  <si>
    <t>In Schedule/Requirement Met</t>
  </si>
  <si>
    <t>Highlight if not in schedule</t>
  </si>
  <si>
    <t>=NOT(AD4)</t>
  </si>
  <si>
    <t>ENGL 30</t>
  </si>
  <si>
    <t>ENGL 202D</t>
  </si>
  <si>
    <t>Highlight if pre/corequisite error</t>
  </si>
  <si>
    <t>=OR(AS4=FALSE, AW4=FALSE)</t>
  </si>
  <si>
    <t>ECON 102</t>
  </si>
  <si>
    <t>N/A</t>
  </si>
  <si>
    <t>GQ</t>
  </si>
  <si>
    <t>R: Required</t>
  </si>
  <si>
    <t>Highlight if course not offered in spring/fall</t>
  </si>
  <si>
    <t>=AAL4</t>
  </si>
  <si>
    <t>Math 231</t>
  </si>
  <si>
    <t>ACCTG 211</t>
  </si>
  <si>
    <t>VEE: VEE Requirement</t>
  </si>
  <si>
    <t>Highlight if course control not satisfied</t>
  </si>
  <si>
    <t>=NOT(AI4)</t>
  </si>
  <si>
    <t>MATH 220</t>
  </si>
  <si>
    <t>MKTG 301</t>
  </si>
  <si>
    <t>MATH 230</t>
  </si>
  <si>
    <r>
      <rPr>
        <b/>
        <sz val="12"/>
        <color theme="1"/>
        <rFont val="Calibri"/>
        <family val="2"/>
        <scheme val="minor"/>
      </rPr>
      <t>Enter one of the following in the cell to the right</t>
    </r>
    <r>
      <rPr>
        <sz val="12"/>
        <color theme="1"/>
        <rFont val="Calibri"/>
        <family val="2"/>
        <scheme val="minor"/>
      </rPr>
      <t>: MATH 230, MATH 231</t>
    </r>
  </si>
  <si>
    <t>MATH 231</t>
  </si>
  <si>
    <t>S: Suggested Course</t>
  </si>
  <si>
    <t>Highlight if C or better requirement not satisfied</t>
  </si>
  <si>
    <t>=IFERROR(NOT(AN4), FALSE)</t>
  </si>
  <si>
    <t>MGMT 301</t>
  </si>
  <si>
    <t>GE: General Education</t>
  </si>
  <si>
    <t>Highlight if in schedule</t>
  </si>
  <si>
    <t>=AD4</t>
  </si>
  <si>
    <t>FIN 301</t>
  </si>
  <si>
    <t>MIS 250</t>
  </si>
  <si>
    <t>ETM: Entrance to Major</t>
  </si>
  <si>
    <t>Pre/Corequisites Course Columns</t>
  </si>
  <si>
    <t>SPAN 3</t>
  </si>
  <si>
    <t>40-59 Penn State credits</t>
  </si>
  <si>
    <t xml:space="preserve">Credits: </t>
  </si>
  <si>
    <t>=IFERROR(INDEX(req_tr_AP_credit, MATCH(AX4, req_course, 0)), FALSE)</t>
  </si>
  <si>
    <t xml:space="preserve">GPA: </t>
  </si>
  <si>
    <t>FYS</t>
  </si>
  <si>
    <t>=IFERROR(NOT(AQ4), FALSE)</t>
  </si>
  <si>
    <t>RM 214</t>
  </si>
  <si>
    <t>STAT 414</t>
  </si>
  <si>
    <t>=IFERROR(NOT(AS4), FALSE)</t>
  </si>
  <si>
    <t>=IFERROR(AQ4, FALSE)</t>
  </si>
  <si>
    <t>RM 320W</t>
  </si>
  <si>
    <t>RM 410</t>
  </si>
  <si>
    <t>Highlight if not satisfied</t>
  </si>
  <si>
    <t>=NOT(V21)</t>
  </si>
  <si>
    <t>Highlight if satisfied</t>
  </si>
  <si>
    <t>=V21</t>
  </si>
  <si>
    <t>RM 411</t>
  </si>
  <si>
    <t>GA</t>
  </si>
  <si>
    <t>RM 412</t>
  </si>
  <si>
    <t>Highlight if ETM not fully satisfied</t>
  </si>
  <si>
    <t>=NOT(etm_fully_satisfied)</t>
  </si>
  <si>
    <t>GEOSC 10</t>
  </si>
  <si>
    <t>GHW</t>
  </si>
  <si>
    <t>RM 415</t>
  </si>
  <si>
    <r>
      <rPr>
        <b/>
        <sz val="12"/>
        <color theme="1"/>
        <rFont val="Calibri"/>
        <family val="2"/>
        <scheme val="minor"/>
      </rPr>
      <t>Enter one of the following in the cell to the right</t>
    </r>
    <r>
      <rPr>
        <sz val="12"/>
        <color theme="1"/>
        <rFont val="Calibri"/>
        <family val="2"/>
        <scheme val="minor"/>
      </rPr>
      <t>: RM 415, STAT 483</t>
    </r>
  </si>
  <si>
    <t xml:space="preserve">Highlight if ETM fully satisfied </t>
  </si>
  <si>
    <t>=etm_fully_satisfied</t>
  </si>
  <si>
    <t>GH</t>
  </si>
  <si>
    <t>STAT 483</t>
  </si>
  <si>
    <r>
      <rPr>
        <b/>
        <sz val="12"/>
        <color theme="1"/>
        <rFont val="Calibri"/>
        <family val="2"/>
        <scheme val="minor"/>
      </rPr>
      <t>Enter one of the following in the cell to the right</t>
    </r>
    <r>
      <rPr>
        <sz val="12"/>
        <color theme="1"/>
        <rFont val="Calibri"/>
        <family val="2"/>
        <scheme val="minor"/>
      </rPr>
      <t>: RM 401, RM 420</t>
    </r>
  </si>
  <si>
    <t>RM 420</t>
  </si>
  <si>
    <t>Highlight if GPA box not satisfied</t>
  </si>
  <si>
    <t>=gpa&lt;3.2</t>
  </si>
  <si>
    <t>GS</t>
  </si>
  <si>
    <t>RM 401</t>
  </si>
  <si>
    <t>RM 430</t>
  </si>
  <si>
    <t>Highlight if GPA box satisfied</t>
  </si>
  <si>
    <t>=gpa&gt;=3.2</t>
  </si>
  <si>
    <t>GN</t>
  </si>
  <si>
    <r>
      <rPr>
        <b/>
        <sz val="12"/>
        <color theme="1"/>
        <rFont val="Calibri"/>
        <family val="2"/>
        <scheme val="minor"/>
      </rPr>
      <t>Enter one of the following in the cell to the right</t>
    </r>
    <r>
      <rPr>
        <sz val="12"/>
        <color theme="1"/>
        <rFont val="Calibri"/>
        <family val="2"/>
        <scheme val="minor"/>
      </rPr>
      <t>: STAT 200, SCM 200</t>
    </r>
  </si>
  <si>
    <t>Highlight if requirement item not satisfied</t>
  </si>
  <si>
    <t>=NOT(Z7)</t>
  </si>
  <si>
    <t>SCM 200</t>
  </si>
  <si>
    <t>Highlight if requirements item satisfied</t>
  </si>
  <si>
    <t>=Z7</t>
  </si>
  <si>
    <t>Inter-Domain</t>
  </si>
  <si>
    <t>Minors</t>
  </si>
  <si>
    <t>STAT 415</t>
  </si>
  <si>
    <t>US</t>
  </si>
  <si>
    <r>
      <t xml:space="preserve">Enter language courses (and their credit amounts) in the cells to the right, </t>
    </r>
    <r>
      <rPr>
        <sz val="12"/>
        <color theme="1"/>
        <rFont val="Calibri"/>
        <family val="2"/>
        <scheme val="minor"/>
      </rPr>
      <t>e.g. "SPAN xxx" (if applicable, check LionPath's academic requirements page to check your status):</t>
    </r>
  </si>
  <si>
    <t>MATH credits taken not satisfied 1</t>
  </si>
  <si>
    <t>=$AB$106&lt;$AB$101</t>
  </si>
  <si>
    <t>IL</t>
  </si>
  <si>
    <t>MATH credits taken satisfied 1</t>
  </si>
  <si>
    <t>=$AB$106&gt;=$AB$101</t>
  </si>
  <si>
    <t>STAT 462</t>
  </si>
  <si>
    <t>MATH credits taken not satisfied 2</t>
  </si>
  <si>
    <t>=$AB$116&lt;$AB$109</t>
  </si>
  <si>
    <t>GA 3</t>
  </si>
  <si>
    <t>R, VEE</t>
  </si>
  <si>
    <t>MATH credits taken satisfied 2</t>
  </si>
  <si>
    <t>=$AB$116&gt;=$AB$109</t>
  </si>
  <si>
    <t>STAT number taken not satisfied</t>
  </si>
  <si>
    <t>=$AB$70&lt;$AB$64</t>
  </si>
  <si>
    <t>Course(s)</t>
  </si>
  <si>
    <t>ECON 104</t>
  </si>
  <si>
    <t>STAT number taken satisfied</t>
  </si>
  <si>
    <t>=$AB$70&gt;=$AB$64</t>
  </si>
  <si>
    <t>P</t>
  </si>
  <si>
    <t>STAT credits taken not satisfied</t>
  </si>
  <si>
    <t>=$AB$92&lt;$AB$74</t>
  </si>
  <si>
    <t>FM</t>
  </si>
  <si>
    <t>STAT credits taken satisfied</t>
  </si>
  <si>
    <t>=$AB$92&gt;=$AB$74</t>
  </si>
  <si>
    <t>IFM</t>
  </si>
  <si>
    <t>ECON credits taken not satisfied</t>
  </si>
  <si>
    <t>=$AB$141&lt;$AB$136</t>
  </si>
  <si>
    <t>SRM</t>
  </si>
  <si>
    <t>STAT 463</t>
  </si>
  <si>
    <t>VEE</t>
  </si>
  <si>
    <t>ECON credits taken satisfied</t>
  </si>
  <si>
    <t>=$AB$141&gt;=$AB$136</t>
  </si>
  <si>
    <t>LTAM</t>
  </si>
  <si>
    <t>S</t>
  </si>
  <si>
    <t>GN 3</t>
  </si>
  <si>
    <t>MAS-I</t>
  </si>
  <si>
    <t>STAT 416</t>
  </si>
  <si>
    <t>Data Validation Rules</t>
  </si>
  <si>
    <t>Formula/Desc</t>
  </si>
  <si>
    <t>Message</t>
  </si>
  <si>
    <t>STAM/MAS-II</t>
  </si>
  <si>
    <t>Entered in schedule: must be in requirements column or GE format</t>
  </si>
  <si>
    <t>=OR(NOT(ISNA(MATCH(L2,req_course, 0))),LEFT(L2, 2)="GQ", LEFT(L2, 3)="GWS", LEFT(L2, 2)="GA", LEFT(L2, 3)="GHW", LEFT(L2, 2)="GH", LEFT(L2, 3)="GWS", LEFT(L2, 2)="GS", LEFT(L2, 2)="GN")</t>
  </si>
  <si>
    <t>Make sure the course name is entered correctly. If you are entering a gen-ed, make sure you used the correct format (see instructions FAQ). If you are entering a non-required course, make sure you add it in the additional courses section.</t>
  </si>
  <si>
    <t>PA</t>
  </si>
  <si>
    <t>STAT 440</t>
  </si>
  <si>
    <t>STAT 184</t>
  </si>
  <si>
    <t>Letter grade drop-down</t>
  </si>
  <si>
    <t>=grade_letter</t>
  </si>
  <si>
    <t>MIS 301</t>
  </si>
  <si>
    <t>Inter-Domain drop-down</t>
  </si>
  <si>
    <t>=tf</t>
  </si>
  <si>
    <t>US/IL drop-down</t>
  </si>
  <si>
    <t>=usil</t>
  </si>
  <si>
    <t>Extra semester check</t>
  </si>
  <si>
    <t>decimal between 0 and 10</t>
  </si>
  <si>
    <t>Make sure you have entered the semester number correctly.</t>
  </si>
  <si>
    <t>End of Semester:</t>
  </si>
  <si>
    <t>ETM semester check</t>
  </si>
  <si>
    <t>whole number between 1 and 6</t>
  </si>
  <si>
    <t>Make sure you have correctly entered the semester number. </t>
  </si>
  <si>
    <t xml:space="preserve">Cumulative: </t>
  </si>
  <si>
    <t>GE TR/AP credits</t>
  </si>
  <si>
    <t>decimal greater than or equal to 0</t>
  </si>
  <si>
    <t>Make sure that you have entered the number of credits correctly.</t>
  </si>
  <si>
    <t xml:space="preserve">Enter any additional courses (and their credit amounts) you want to add to your schedule in the cells to the right: </t>
  </si>
  <si>
    <t>GPA cumulative?</t>
  </si>
  <si>
    <t>GPA semester</t>
  </si>
  <si>
    <t>Make sure you correctly entered the semester number.</t>
  </si>
  <si>
    <t>GHW 1.5</t>
  </si>
  <si>
    <t>course self-entry</t>
  </si>
  <si>
    <t>lists in column to left of reqs, input message for self-entry</t>
  </si>
  <si>
    <t>Make sure you enter the credit amount in the cell to the right.</t>
  </si>
  <si>
    <t>Req TR/AP drop-down</t>
  </si>
  <si>
    <t>GE code drop down</t>
  </si>
  <si>
    <t>gen ed code list</t>
  </si>
  <si>
    <t/>
  </si>
  <si>
    <t>Lists:</t>
  </si>
  <si>
    <t>STAT 480</t>
  </si>
  <si>
    <t>B+</t>
  </si>
  <si>
    <t>*supporting courses: STAT major requires 13 credits of "supporting courses." Check LionPath's my academic requirements page to check your status.</t>
  </si>
  <si>
    <t>B</t>
  </si>
  <si>
    <t>B-</t>
  </si>
  <si>
    <t>STAT Minor Requirements</t>
  </si>
  <si>
    <t>C+</t>
  </si>
  <si>
    <t>C</t>
  </si>
  <si>
    <t>D</t>
  </si>
  <si>
    <t>F</t>
  </si>
  <si>
    <t>GH 3</t>
  </si>
  <si>
    <t xml:space="preserve">Add two of the following to your schedule: </t>
  </si>
  <si>
    <t>STAT 301</t>
  </si>
  <si>
    <t>TRUE/FALSE</t>
  </si>
  <si>
    <t>MATH 318</t>
  </si>
  <si>
    <t>MATH 319</t>
  </si>
  <si>
    <t>STAT 401</t>
  </si>
  <si>
    <t>US/IL</t>
  </si>
  <si>
    <t>Number Taken:</t>
  </si>
  <si>
    <t xml:space="preserve">Add 10-12 credits from the following to your schedule: </t>
  </si>
  <si>
    <t>STAT 460</t>
  </si>
  <si>
    <t>STAT 461</t>
  </si>
  <si>
    <t>STAT 464</t>
  </si>
  <si>
    <t>STAT 466</t>
  </si>
  <si>
    <t>STAT 481</t>
  </si>
  <si>
    <t>STAT 482</t>
  </si>
  <si>
    <t>STAT 484</t>
  </si>
  <si>
    <t>STAT 485</t>
  </si>
  <si>
    <t>Credits Taken:</t>
  </si>
  <si>
    <t>MATH Minor Requirements</t>
  </si>
  <si>
    <t xml:space="preserve">Enter 6-8 credits of courses (and their credit amounts) of the following in the cells to the right: MATH 220 (2), MATH 230 (4), MATH 231 (2) MATH 232 (2), MATH 250 (3), MATH 251 (4) MATH 310 (3), MATH 311W (3), MATH 312 (3) </t>
  </si>
  <si>
    <t>Enter 12 credits of 400-level MATH courses (and their credit amounts) in the cells to the right in the following format: "MATH 4xx." (Use "STAT 4xx" for dual-listed courses). Also enter their credit amounts. You are responsible for meeting any prerequisites.</t>
  </si>
  <si>
    <t>ECON Minor Requirements</t>
  </si>
  <si>
    <t>ECON 302</t>
  </si>
  <si>
    <t>ECON 304</t>
  </si>
  <si>
    <r>
      <t>Enter 6 credits or more of 400-level ECON courses (and their credit amounts) in the cells to the right in the following format: "ECON 4xx." Also enter their credit amounts.</t>
    </r>
    <r>
      <rPr>
        <sz val="12"/>
        <color theme="1"/>
        <rFont val="Calibri"/>
        <family val="2"/>
        <scheme val="minor"/>
      </rPr>
      <t xml:space="preserve"> You are responsible for meeting any prerequisites.</t>
    </r>
  </si>
  <si>
    <t>ECON 445</t>
  </si>
  <si>
    <t>ECON 402</t>
  </si>
  <si>
    <t>PSU 16</t>
  </si>
  <si>
    <t>Taken Before ETM?</t>
  </si>
  <si>
    <t>ENGL 202C</t>
  </si>
  <si>
    <t>Cumulative GPA &gt;= 2.0</t>
  </si>
  <si>
    <t>RM 302</t>
  </si>
  <si>
    <t>STAT 380</t>
  </si>
  <si>
    <t>=NOT(V12)</t>
  </si>
  <si>
    <t>=V12</t>
  </si>
  <si>
    <t>CMPSC 121</t>
  </si>
  <si>
    <t>CMPSC 101</t>
  </si>
  <si>
    <t>CMPSC 102</t>
  </si>
  <si>
    <t>STAT 470</t>
  </si>
  <si>
    <t>CMPSC 200</t>
  </si>
  <si>
    <t>CMPSC 201</t>
  </si>
  <si>
    <r>
      <rPr>
        <b/>
        <sz val="12"/>
        <color theme="1"/>
        <rFont val="Calibri"/>
        <family val="2"/>
        <scheme val="minor"/>
      </rPr>
      <t>Enter one of the following in the cell to the right</t>
    </r>
    <r>
      <rPr>
        <sz val="12"/>
        <color theme="1"/>
        <rFont val="Calibri"/>
        <family val="2"/>
        <scheme val="minor"/>
      </rPr>
      <t>: CMPSC 101, CMPSC 102, CMPSC 121, CMPSC 200, CMPSC 201</t>
    </r>
  </si>
  <si>
    <t>=NOT(Z6)</t>
  </si>
  <si>
    <t>IE 434</t>
  </si>
  <si>
    <r>
      <rPr>
        <b/>
        <sz val="12"/>
        <color theme="1"/>
        <rFont val="Calibri"/>
        <family val="2"/>
        <scheme val="minor"/>
      </rPr>
      <t>Enter four of the following in the cells to the right</t>
    </r>
    <r>
      <rPr>
        <sz val="12"/>
        <color theme="1"/>
        <rFont val="Calibri"/>
        <family val="2"/>
        <scheme val="minor"/>
      </rPr>
      <t>: IE 434, IE 436, MATH 441, MATH 451 or MATH 455, STAT 416, STAT 440, STAT 463, STAT 464, STAT 466</t>
    </r>
  </si>
  <si>
    <t>=Z6</t>
  </si>
  <si>
    <t>IE 436</t>
  </si>
  <si>
    <t>MATH 441</t>
  </si>
  <si>
    <t>MATH credits taken not satisfied</t>
  </si>
  <si>
    <t>=$AB$84&lt;$AB$77</t>
  </si>
  <si>
    <t>MATH 451</t>
  </si>
  <si>
    <t>MATH credits taken satisfied</t>
  </si>
  <si>
    <t>=$AB$84&gt;=$AB$77</t>
  </si>
  <si>
    <t>MATH 455</t>
  </si>
  <si>
    <t>=$AB$109&lt;$AB$104</t>
  </si>
  <si>
    <t>=$AB$109&gt;=$AB$104</t>
  </si>
  <si>
    <t>CMPSC 122</t>
  </si>
  <si>
    <t>CMPSC 448</t>
  </si>
  <si>
    <t>6-8 credits from a specified list (includes MATH 230 and MATH 220, which are major requirements)</t>
  </si>
  <si>
    <t>Enter 12 credits of 400-level MATH courses (and their credit amounts) in the following format: "MATH 4xx"  (use "STAT 4xx" for dual listed courses). Also enter their credit amounts. You are responsible for meeting any prerequisites.</t>
  </si>
  <si>
    <t>Enter 6 credits or more of 400-level ECON courses (and their credit amounts) in the following format: "ECON 4xx." Also enter their credit amounts. You are responsible for meeting any prerequisites.</t>
  </si>
  <si>
    <r>
      <rPr>
        <b/>
        <sz val="12"/>
        <color theme="1"/>
        <rFont val="Calibri"/>
        <family val="2"/>
        <scheme val="minor"/>
      </rPr>
      <t>Enter one of the following in the cell to the right</t>
    </r>
    <r>
      <rPr>
        <sz val="12"/>
        <color theme="1"/>
        <rFont val="Calibri"/>
        <family val="2"/>
        <scheme val="minor"/>
      </rPr>
      <t>: CMPSC 101, CMPSC 121, CMPSC 201</t>
    </r>
  </si>
  <si>
    <t>ENGl 15</t>
  </si>
  <si>
    <t>IE 425</t>
  </si>
  <si>
    <t>MATH 414</t>
  </si>
  <si>
    <t>TR/AP Credits</t>
  </si>
  <si>
    <t>MATH 250</t>
  </si>
  <si>
    <r>
      <rPr>
        <b/>
        <sz val="12"/>
        <color theme="1"/>
        <rFont val="Calibri"/>
        <family val="2"/>
        <scheme val="minor"/>
      </rPr>
      <t>Enter one of the following in the cell to the right:</t>
    </r>
    <r>
      <rPr>
        <sz val="12"/>
        <color theme="1"/>
        <rFont val="Calibri"/>
        <family val="2"/>
        <scheme val="minor"/>
      </rPr>
      <t xml:space="preserve"> MATH 250, MATH 251</t>
    </r>
  </si>
  <si>
    <t>MATH 251</t>
  </si>
  <si>
    <t>MATH 311W</t>
  </si>
  <si>
    <t>MATH 312</t>
  </si>
  <si>
    <t>MATH 415</t>
  </si>
  <si>
    <t>MATH 416</t>
  </si>
  <si>
    <r>
      <rPr>
        <b/>
        <sz val="12"/>
        <color theme="1"/>
        <rFont val="Calibri"/>
        <family val="2"/>
        <scheme val="minor"/>
      </rPr>
      <t>Enter one of the following in the cell to the right</t>
    </r>
    <r>
      <rPr>
        <sz val="12"/>
        <color theme="1"/>
        <rFont val="Calibri"/>
        <family val="2"/>
        <scheme val="minor"/>
      </rPr>
      <t>: MATH 451, MATH 486</t>
    </r>
  </si>
  <si>
    <t>MATH 486</t>
  </si>
  <si>
    <t>MATH 484</t>
  </si>
  <si>
    <t>=$AB$78&lt;$AB$72</t>
  </si>
  <si>
    <t>=$AB$78&gt;=$AB$72</t>
  </si>
  <si>
    <t>=$AB$100&lt;$AB$82</t>
  </si>
  <si>
    <t>=$AB$100&gt;=$AB$82</t>
  </si>
  <si>
    <t>=$AB$124&lt;$AB$119</t>
  </si>
  <si>
    <t>=$AB$124&gt;=$AB$119</t>
  </si>
  <si>
    <t xml:space="preserve">Choose two of: </t>
  </si>
  <si>
    <t xml:space="preserve">Choose 10-12 credits of: </t>
  </si>
  <si>
    <t>Revision Log</t>
  </si>
  <si>
    <t>Version</t>
  </si>
  <si>
    <t>Changes</t>
  </si>
  <si>
    <t>Implementor</t>
  </si>
  <si>
    <t>Date</t>
  </si>
  <si>
    <t>Comments</t>
  </si>
  <si>
    <t xml:space="preserve">GS 3 </t>
  </si>
  <si>
    <t>GS 1</t>
  </si>
  <si>
    <t>MUSIC 132</t>
  </si>
  <si>
    <t>MUSIC 231</t>
  </si>
  <si>
    <t>MUSIC 331</t>
  </si>
  <si>
    <t>MUSIC 92</t>
  </si>
  <si>
    <t>MUSIC 190</t>
  </si>
  <si>
    <t>MUSIC 419</t>
  </si>
  <si>
    <t>MUSIC 435</t>
  </si>
  <si>
    <t>MUSIC 88</t>
  </si>
  <si>
    <t>GA 1</t>
  </si>
  <si>
    <t>ECON 432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</si>
</sst>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4" formatCode=";;;"/>
    <numFmt numFmtId="165" formatCode="0;\-0;;@"/>
  </numFmts>
  <fonts count="22">
    <font>
      <sz val="12"/>
      <color theme="1"/>
      <name val="Calibri"/>
      <family val="2"/>
      <scheme val="minor"/>
    </font>
    <font>
      <b/>
      <sz val="12"/>
      <color theme="1"/>
      <name val="Calibri"/>
      <family val="2"/>
      <scheme val="minor"/>
    </font>
    <font>
      <sz val="12"/>
      <color theme="1"/>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theme="5" tint="-0.249977111117893"/>
      <name val="Calibri"/>
      <family val="2"/>
      <scheme val="minor"/>
    </font>
    <font>
      <sz val="12"/>
      <color theme="4" tint="-0.499984740745262"/>
      <name val="Calibri"/>
      <family val="2"/>
      <scheme val="minor"/>
    </font>
    <font>
      <sz val="12"/>
      <color rgb="FF7030A0"/>
      <name val="Calibri"/>
      <family val="2"/>
      <scheme val="minor"/>
    </font>
    <font>
      <i/>
      <sz val="12"/>
      <color theme="1"/>
      <name val="Calibri"/>
      <family val="2"/>
      <scheme val="minor"/>
    </font>
    <font>
      <sz val="8"/>
      <name val="Calibri"/>
      <family val="2"/>
      <scheme val="minor"/>
    </font>
    <font>
      <b/>
      <sz val="16"/>
      <color theme="1"/>
      <name val="Calibri"/>
      <family val="2"/>
      <scheme val="minor"/>
    </font>
    <font>
      <sz val="20"/>
      <color theme="0"/>
      <name val="Calibri"/>
      <family val="2"/>
      <scheme val="minor"/>
    </font>
    <font>
      <sz val="22"/>
      <color theme="0"/>
      <name val="Calibri"/>
      <family val="2"/>
      <scheme val="minor"/>
    </font>
    <font>
      <b/>
      <sz val="16"/>
      <color rgb="FF000000"/>
      <name val="Calibri"/>
      <family val="2"/>
      <scheme val="minor"/>
    </font>
    <font>
      <sz val="10"/>
      <color theme="1"/>
      <name val="Calibri"/>
      <family val="2"/>
      <scheme val="minor"/>
    </font>
    <font>
      <sz val="12"/>
      <color theme="0"/>
      <name val="Calibri"/>
      <family val="2"/>
      <scheme val="minor"/>
    </font>
    <font>
      <b/>
      <sz val="18"/>
      <color theme="0"/>
      <name val="Calibri"/>
      <family val="2"/>
      <scheme val="minor"/>
    </font>
    <font>
      <b/>
      <sz val="14"/>
      <color theme="4"/>
      <name val="Calibri"/>
      <family val="2"/>
      <scheme val="minor"/>
    </font>
    <font>
      <b/>
      <u/>
      <sz val="12"/>
      <color theme="1"/>
      <name val="Calibri"/>
      <family val="2"/>
      <scheme val="minor"/>
    </font>
    <font>
      <u/>
      <sz val="12"/>
      <color theme="1"/>
      <name val="Calibri (Body)"/>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tint="0.79998168889431442"/>
        <bgColor indexed="65"/>
      </patternFill>
    </fill>
    <fill>
      <patternFill patternType="solid">
        <fgColor theme="8" tint="0.79998168889431442"/>
        <bgColor indexed="65"/>
      </patternFill>
    </fill>
    <fill>
      <patternFill patternType="solid">
        <fgColor theme="4" tint="0.79998168889431442"/>
        <bgColor indexed="65"/>
      </patternFill>
    </fill>
    <fill>
      <patternFill patternType="solid">
        <fgColor rgb="FFF1DCFF"/>
        <bgColor indexed="64"/>
      </patternFill>
    </fill>
    <fill>
      <patternFill patternType="solid">
        <fgColor theme="5" tint="0.79998168889431442"/>
        <bgColor indexed="65"/>
      </patternFill>
    </fill>
    <fill>
      <patternFill patternType="solid">
        <fgColor rgb="FFFFFF00"/>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4"/>
        <bgColor indexed="64"/>
      </patternFill>
    </fill>
    <fill>
      <patternFill patternType="solid">
        <fgColor theme="5"/>
        <bgColor indexed="64"/>
      </patternFill>
    </fill>
    <fill>
      <patternFill patternType="solid">
        <fgColor theme="9"/>
        <bgColor indexed="64"/>
      </patternFill>
    </fill>
    <fill>
      <patternFill patternType="solid">
        <fgColor rgb="FFFF0000"/>
        <bgColor indexed="64"/>
      </patternFill>
    </fill>
    <fill>
      <patternFill patternType="solid">
        <fgColor rgb="FFFFFFFF"/>
        <bgColor indexed="64"/>
      </patternFill>
    </fill>
  </fills>
  <borders count="4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
        <color theme="4" tint="0.39997558519241921"/>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theme="9"/>
      </left>
      <right/>
      <top style="medium">
        <color theme="9"/>
      </top>
      <bottom/>
      <diagonal/>
    </border>
    <border>
      <left/>
      <right style="medium">
        <color theme="9"/>
      </right>
      <top style="medium">
        <color theme="9"/>
      </top>
      <bottom/>
      <diagonal/>
    </border>
    <border>
      <left style="medium">
        <color theme="9"/>
      </left>
      <right/>
      <top/>
      <bottom/>
      <diagonal/>
    </border>
    <border>
      <left/>
      <right style="medium">
        <color theme="9"/>
      </right>
      <top/>
      <bottom/>
      <diagonal/>
    </border>
    <border>
      <left style="medium">
        <color theme="9"/>
      </left>
      <right/>
      <top/>
      <bottom style="medium">
        <color theme="9"/>
      </bottom>
      <diagonal/>
    </border>
    <border>
      <left/>
      <right style="medium">
        <color theme="9"/>
      </right>
      <top/>
      <bottom style="medium">
        <color theme="9"/>
      </bottom>
      <diagonal/>
    </border>
    <border>
      <left style="medium">
        <color rgb="FFFF0000"/>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style="medium">
        <color rgb="FFFF0000"/>
      </right>
      <top/>
      <bottom style="medium">
        <color rgb="FFFF0000"/>
      </bottom>
      <diagonal/>
    </border>
    <border>
      <left style="medium">
        <color theme="4"/>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medium">
        <color theme="9"/>
      </left>
      <right/>
      <top/>
      <bottom style="thin">
        <color indexed="64"/>
      </bottom>
      <diagonal/>
    </border>
    <border>
      <left/>
      <right style="medium">
        <color theme="9"/>
      </right>
      <top/>
      <bottom style="thin">
        <color indexed="64"/>
      </bottom>
      <diagonal/>
    </border>
  </borders>
  <cellStyleXfs count="10">
    <xf numFmtId="0" fontId="0" fillId="0" borderId="0"/>
    <xf numFmtId="0" fontId="3" fillId="0" borderId="6" applyNumberFormat="0" applyFill="0" applyAlignment="0" applyProtection="0"/>
    <xf numFmtId="0" fontId="4" fillId="2" borderId="0" applyNumberFormat="0" applyBorder="0" applyAlignment="0" applyProtection="0"/>
    <xf numFmtId="0" fontId="5" fillId="3" borderId="0" applyNumberFormat="0" applyBorder="0" applyAlignment="0" applyProtection="0"/>
    <xf numFmtId="0" fontId="6"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1" applyFill="0"/>
    <xf numFmtId="0" fontId="2" fillId="7" borderId="0" applyNumberFormat="0" applyBorder="0" applyAlignment="0" applyProtection="0"/>
    <xf numFmtId="0" fontId="2" fillId="9" borderId="0" applyNumberFormat="0" applyBorder="0" applyAlignment="0" applyProtection="0"/>
  </cellStyleXfs>
  <cellXfs count="322">
    <xf numFmtId="0" fontId="0" fillId="0" borderId="0" xfId="0"/>
    <xf numFmtId="0" fontId="1" fillId="0" borderId="0" xfId="0" applyFont="1"/>
    <xf numFmtId="0" fontId="3" fillId="0" borderId="6" xfId="1"/>
    <xf numFmtId="0" fontId="1" fillId="0" borderId="0" xfId="0" applyFont="1" applyAlignment="1"/>
    <xf numFmtId="0" fontId="0" fillId="0" borderId="0" xfId="0" applyAlignment="1"/>
    <xf numFmtId="0" fontId="0" fillId="0" borderId="4" xfId="0" applyBorder="1" applyAlignment="1"/>
    <xf numFmtId="0" fontId="0" fillId="0" borderId="0" xfId="0" applyFill="1" applyBorder="1" applyAlignment="1"/>
    <xf numFmtId="0" fontId="0" fillId="0" borderId="0" xfId="0" applyBorder="1" applyAlignment="1"/>
    <xf numFmtId="164" fontId="0" fillId="0" borderId="0" xfId="0" applyNumberFormat="1" applyBorder="1" applyAlignment="1"/>
    <xf numFmtId="0" fontId="0" fillId="0" borderId="0" xfId="0" applyNumberFormat="1" applyBorder="1" applyAlignment="1"/>
    <xf numFmtId="0" fontId="0" fillId="0" borderId="4" xfId="0" applyBorder="1"/>
    <xf numFmtId="0" fontId="0" fillId="0" borderId="0" xfId="0" quotePrefix="1"/>
    <xf numFmtId="0" fontId="0" fillId="0" borderId="12" xfId="0" applyBorder="1"/>
    <xf numFmtId="0" fontId="0" fillId="0" borderId="3" xfId="0" applyBorder="1"/>
    <xf numFmtId="0" fontId="0" fillId="0" borderId="1" xfId="0" applyBorder="1"/>
    <xf numFmtId="0" fontId="0" fillId="0" borderId="2" xfId="0" applyBorder="1"/>
    <xf numFmtId="0" fontId="1" fillId="0" borderId="1" xfId="0" applyFont="1" applyBorder="1"/>
    <xf numFmtId="0" fontId="0" fillId="0" borderId="0" xfId="0" quotePrefix="1" applyNumberFormat="1" applyBorder="1" applyAlignment="1"/>
    <xf numFmtId="0" fontId="0" fillId="0" borderId="0" xfId="0" quotePrefix="1" applyNumberFormat="1" applyBorder="1" applyAlignment="1">
      <alignment horizontal="right"/>
    </xf>
    <xf numFmtId="0" fontId="0" fillId="0" borderId="0" xfId="0" applyNumberFormat="1" applyFont="1" applyBorder="1" applyAlignment="1"/>
    <xf numFmtId="164" fontId="0" fillId="0" borderId="0" xfId="0" applyNumberFormat="1" applyFont="1" applyBorder="1" applyAlignment="1"/>
    <xf numFmtId="0" fontId="0" fillId="0" borderId="0" xfId="0" applyFont="1" applyBorder="1" applyAlignment="1"/>
    <xf numFmtId="0" fontId="1" fillId="0" borderId="0" xfId="0" applyFont="1" applyBorder="1" applyAlignment="1"/>
    <xf numFmtId="164" fontId="0" fillId="0" borderId="2" xfId="0" applyNumberFormat="1" applyBorder="1"/>
    <xf numFmtId="0" fontId="0" fillId="0" borderId="0" xfId="0" applyBorder="1"/>
    <xf numFmtId="0" fontId="0" fillId="0" borderId="0" xfId="0" applyNumberFormat="1" applyBorder="1" applyAlignment="1" applyProtection="1">
      <protection hidden="1"/>
    </xf>
    <xf numFmtId="0" fontId="0" fillId="0" borderId="5" xfId="0" applyBorder="1"/>
    <xf numFmtId="0" fontId="0" fillId="0" borderId="4" xfId="0" applyFont="1" applyBorder="1" applyAlignment="1">
      <alignment horizontal="center"/>
    </xf>
    <xf numFmtId="0" fontId="0" fillId="0" borderId="1" xfId="0" applyFill="1" applyBorder="1"/>
    <xf numFmtId="0" fontId="0" fillId="0" borderId="0" xfId="0" applyFill="1" applyBorder="1"/>
    <xf numFmtId="0" fontId="0" fillId="0" borderId="3" xfId="0" applyFill="1" applyBorder="1"/>
    <xf numFmtId="0" fontId="0" fillId="0" borderId="4" xfId="0" applyFill="1" applyBorder="1"/>
    <xf numFmtId="0" fontId="0" fillId="0" borderId="5" xfId="0" applyFill="1" applyBorder="1"/>
    <xf numFmtId="0" fontId="0" fillId="0" borderId="10" xfId="0" applyBorder="1"/>
    <xf numFmtId="0" fontId="0" fillId="0" borderId="9" xfId="0" applyBorder="1"/>
    <xf numFmtId="0" fontId="1" fillId="0" borderId="8" xfId="0" applyFont="1" applyBorder="1" applyAlignment="1">
      <alignment horizontal="center"/>
    </xf>
    <xf numFmtId="0" fontId="1" fillId="0" borderId="8" xfId="0" applyFont="1" applyBorder="1"/>
    <xf numFmtId="0" fontId="1" fillId="0" borderId="0" xfId="0" applyFont="1" applyBorder="1"/>
    <xf numFmtId="0" fontId="0" fillId="0" borderId="8" xfId="0" applyBorder="1"/>
    <xf numFmtId="0" fontId="0" fillId="0" borderId="10" xfId="0" applyFill="1" applyBorder="1"/>
    <xf numFmtId="0" fontId="0" fillId="0" borderId="9" xfId="0" applyFill="1" applyBorder="1"/>
    <xf numFmtId="0" fontId="0" fillId="0" borderId="0" xfId="0" applyBorder="1" applyProtection="1">
      <protection locked="0"/>
    </xf>
    <xf numFmtId="0" fontId="0" fillId="0" borderId="0" xfId="0" applyFill="1" applyBorder="1" applyProtection="1">
      <protection locked="0"/>
    </xf>
    <xf numFmtId="0" fontId="0" fillId="0" borderId="4" xfId="0" applyBorder="1" applyProtection="1">
      <protection locked="0"/>
    </xf>
    <xf numFmtId="0" fontId="0" fillId="0" borderId="0" xfId="0" applyBorder="1" applyAlignment="1" applyProtection="1">
      <protection locked="0"/>
    </xf>
    <xf numFmtId="0" fontId="2" fillId="6" borderId="1" xfId="6" applyBorder="1" applyAlignment="1">
      <alignment horizontal="center"/>
    </xf>
    <xf numFmtId="0" fontId="2" fillId="5" borderId="1" xfId="5" applyBorder="1" applyAlignment="1">
      <alignment horizontal="center"/>
    </xf>
    <xf numFmtId="0" fontId="2" fillId="5" borderId="3" xfId="5" applyBorder="1" applyAlignment="1">
      <alignment horizontal="center"/>
    </xf>
    <xf numFmtId="0" fontId="0" fillId="0" borderId="2" xfId="0" applyBorder="1" applyProtection="1">
      <protection locked="0"/>
    </xf>
    <xf numFmtId="0" fontId="0" fillId="0" borderId="5" xfId="0" applyBorder="1" applyProtection="1">
      <protection locked="0"/>
    </xf>
    <xf numFmtId="0" fontId="2" fillId="5" borderId="11" xfId="5" applyBorder="1" applyAlignment="1">
      <alignment horizontal="center"/>
    </xf>
    <xf numFmtId="0" fontId="0" fillId="0" borderId="7" xfId="0" applyBorder="1" applyProtection="1">
      <protection locked="0"/>
    </xf>
    <xf numFmtId="0" fontId="0" fillId="0" borderId="12" xfId="0" applyBorder="1" applyProtection="1">
      <protection locked="0"/>
    </xf>
    <xf numFmtId="0" fontId="2" fillId="6" borderId="11" xfId="6" applyBorder="1" applyAlignment="1">
      <alignment horizontal="center"/>
    </xf>
    <xf numFmtId="0" fontId="2" fillId="6" borderId="3" xfId="6" applyBorder="1" applyAlignment="1">
      <alignment horizontal="center"/>
    </xf>
    <xf numFmtId="0" fontId="0" fillId="0" borderId="7" xfId="0" applyBorder="1"/>
    <xf numFmtId="0" fontId="4" fillId="2" borderId="10" xfId="2" applyBorder="1"/>
    <xf numFmtId="0" fontId="5" fillId="3" borderId="10" xfId="3" applyBorder="1"/>
    <xf numFmtId="0" fontId="6" fillId="4" borderId="10" xfId="4" applyBorder="1"/>
    <xf numFmtId="0" fontId="8" fillId="7" borderId="10" xfId="8" applyFont="1" applyBorder="1"/>
    <xf numFmtId="0" fontId="9" fillId="8" borderId="10" xfId="0" applyFont="1" applyFill="1" applyBorder="1"/>
    <xf numFmtId="0" fontId="7" fillId="9" borderId="10" xfId="9" applyFont="1" applyBorder="1"/>
    <xf numFmtId="0" fontId="0" fillId="0" borderId="8" xfId="0" applyFill="1" applyBorder="1"/>
    <xf numFmtId="0" fontId="0" fillId="0" borderId="8" xfId="0" applyFont="1" applyBorder="1" applyAlignment="1">
      <alignment horizontal="center"/>
    </xf>
    <xf numFmtId="0" fontId="1" fillId="0" borderId="9" xfId="0" applyFont="1" applyBorder="1" applyAlignment="1">
      <alignment horizontal="center"/>
    </xf>
    <xf numFmtId="0" fontId="0" fillId="0" borderId="8" xfId="0" applyBorder="1" applyAlignment="1">
      <alignment horizontal="center"/>
    </xf>
    <xf numFmtId="164" fontId="0" fillId="0" borderId="10" xfId="0" applyNumberFormat="1" applyFill="1" applyBorder="1"/>
    <xf numFmtId="164" fontId="0" fillId="0" borderId="0" xfId="0" applyNumberFormat="1" applyFill="1" applyBorder="1"/>
    <xf numFmtId="0" fontId="1" fillId="0" borderId="0" xfId="0" applyFont="1" applyBorder="1" applyAlignment="1">
      <alignment horizontal="center"/>
    </xf>
    <xf numFmtId="0" fontId="0" fillId="0" borderId="0" xfId="0" applyBorder="1" applyProtection="1"/>
    <xf numFmtId="164" fontId="0" fillId="0" borderId="1" xfId="0" applyNumberFormat="1" applyBorder="1"/>
    <xf numFmtId="0" fontId="0" fillId="0" borderId="11" xfId="0" applyFont="1" applyBorder="1" applyAlignment="1">
      <alignment horizontal="center"/>
    </xf>
    <xf numFmtId="0" fontId="1" fillId="0" borderId="13" xfId="0" applyFont="1" applyBorder="1" applyAlignment="1">
      <alignment horizontal="center"/>
    </xf>
    <xf numFmtId="0" fontId="0" fillId="0" borderId="0" xfId="0" applyFont="1" applyBorder="1"/>
    <xf numFmtId="0" fontId="1" fillId="0" borderId="11" xfId="0" applyFont="1" applyBorder="1"/>
    <xf numFmtId="0" fontId="0" fillId="0" borderId="1" xfId="0" applyFont="1" applyBorder="1"/>
    <xf numFmtId="0" fontId="0" fillId="0" borderId="13" xfId="0" applyBorder="1"/>
    <xf numFmtId="0" fontId="5" fillId="3" borderId="1" xfId="3" applyBorder="1"/>
    <xf numFmtId="0" fontId="4" fillId="2" borderId="1" xfId="2" applyBorder="1"/>
    <xf numFmtId="0" fontId="2" fillId="5" borderId="1" xfId="5" applyBorder="1"/>
    <xf numFmtId="0" fontId="6" fillId="4" borderId="1" xfId="4" applyBorder="1"/>
    <xf numFmtId="0" fontId="8" fillId="7" borderId="1" xfId="8" applyFont="1" applyBorder="1"/>
    <xf numFmtId="0" fontId="9" fillId="8" borderId="1" xfId="0" applyFont="1" applyFill="1" applyBorder="1"/>
    <xf numFmtId="0" fontId="0" fillId="0" borderId="0" xfId="0" applyProtection="1"/>
    <xf numFmtId="0" fontId="7" fillId="9" borderId="1" xfId="9" applyFont="1" applyBorder="1"/>
    <xf numFmtId="0" fontId="5" fillId="3" borderId="1" xfId="3" applyBorder="1" applyProtection="1"/>
    <xf numFmtId="0" fontId="4" fillId="2" borderId="3" xfId="2" applyBorder="1" applyProtection="1"/>
    <xf numFmtId="0" fontId="4" fillId="2" borderId="1" xfId="2" applyBorder="1" applyProtection="1"/>
    <xf numFmtId="0" fontId="1" fillId="0" borderId="4" xfId="0" applyFont="1" applyBorder="1" applyAlignment="1"/>
    <xf numFmtId="0" fontId="1" fillId="0" borderId="3" xfId="0" applyFont="1" applyBorder="1"/>
    <xf numFmtId="0" fontId="1" fillId="0" borderId="5" xfId="0" applyFont="1" applyFill="1" applyBorder="1" applyAlignment="1"/>
    <xf numFmtId="0" fontId="0" fillId="0" borderId="4" xfId="0" applyFont="1" applyBorder="1" applyAlignment="1"/>
    <xf numFmtId="0" fontId="1" fillId="0" borderId="7" xfId="0" applyFont="1" applyBorder="1" applyAlignment="1"/>
    <xf numFmtId="0" fontId="1" fillId="0" borderId="11" xfId="0" applyFont="1" applyBorder="1" applyAlignment="1"/>
    <xf numFmtId="0" fontId="1" fillId="0" borderId="12" xfId="0" applyFont="1" applyBorder="1" applyAlignment="1"/>
    <xf numFmtId="0" fontId="1" fillId="0" borderId="0" xfId="0" applyFont="1" applyBorder="1" applyAlignment="1" applyProtection="1">
      <protection locked="0"/>
    </xf>
    <xf numFmtId="0" fontId="1" fillId="0" borderId="12" xfId="0" applyFont="1" applyBorder="1"/>
    <xf numFmtId="0" fontId="0" fillId="0" borderId="2" xfId="0" quotePrefix="1" applyFont="1" applyFill="1" applyBorder="1"/>
    <xf numFmtId="0" fontId="0" fillId="0" borderId="2" xfId="0" quotePrefix="1" applyBorder="1"/>
    <xf numFmtId="0" fontId="0" fillId="0" borderId="2" xfId="0" quotePrefix="1" applyFill="1" applyBorder="1"/>
    <xf numFmtId="0" fontId="0" fillId="0" borderId="2" xfId="0" quotePrefix="1" applyFont="1" applyBorder="1"/>
    <xf numFmtId="0" fontId="0" fillId="0" borderId="2" xfId="0" applyBorder="1" applyProtection="1"/>
    <xf numFmtId="0" fontId="0" fillId="0" borderId="2" xfId="0" quotePrefix="1" applyFill="1" applyBorder="1" applyProtection="1"/>
    <xf numFmtId="0" fontId="0" fillId="0" borderId="2" xfId="0" quotePrefix="1" applyBorder="1" applyProtection="1"/>
    <xf numFmtId="0" fontId="0" fillId="0" borderId="4" xfId="0" applyNumberFormat="1" applyBorder="1" applyAlignment="1"/>
    <xf numFmtId="0" fontId="0" fillId="0" borderId="0" xfId="0" applyNumberFormat="1" applyFill="1" applyBorder="1" applyAlignment="1"/>
    <xf numFmtId="0" fontId="0" fillId="0" borderId="0" xfId="0" applyNumberFormat="1" applyBorder="1"/>
    <xf numFmtId="0" fontId="0" fillId="0" borderId="4" xfId="0" applyNumberFormat="1" applyBorder="1"/>
    <xf numFmtId="0" fontId="0" fillId="0" borderId="1" xfId="0" applyFont="1" applyBorder="1" applyAlignment="1">
      <alignment horizontal="center"/>
    </xf>
    <xf numFmtId="0" fontId="1" fillId="0" borderId="1" xfId="0" applyFont="1" applyBorder="1" applyAlignment="1">
      <alignment horizontal="center"/>
    </xf>
    <xf numFmtId="0" fontId="0" fillId="0" borderId="8" xfId="0" applyBorder="1" applyProtection="1">
      <protection locked="0"/>
    </xf>
    <xf numFmtId="0" fontId="0" fillId="0" borderId="10" xfId="0" applyBorder="1" applyProtection="1">
      <protection locked="0"/>
    </xf>
    <xf numFmtId="0" fontId="0" fillId="0" borderId="9" xfId="0" applyBorder="1" applyProtection="1">
      <protection locked="0"/>
    </xf>
    <xf numFmtId="0" fontId="0" fillId="0" borderId="9" xfId="0" applyBorder="1" applyAlignment="1">
      <alignment horizontal="center"/>
    </xf>
    <xf numFmtId="0" fontId="10" fillId="0" borderId="4" xfId="0" applyFont="1" applyBorder="1" applyAlignment="1"/>
    <xf numFmtId="0" fontId="0" fillId="10" borderId="0" xfId="0" applyFill="1" applyBorder="1" applyAlignment="1"/>
    <xf numFmtId="0" fontId="0" fillId="0" borderId="1" xfId="0" applyBorder="1" applyProtection="1"/>
    <xf numFmtId="0" fontId="0" fillId="0" borderId="0" xfId="0" quotePrefix="1" applyNumberFormat="1" applyFill="1" applyBorder="1" applyAlignment="1"/>
    <xf numFmtId="0" fontId="0" fillId="0" borderId="2" xfId="0" applyNumberFormat="1" applyBorder="1"/>
    <xf numFmtId="0" fontId="0" fillId="0" borderId="5" xfId="0" applyNumberFormat="1" applyBorder="1"/>
    <xf numFmtId="0" fontId="1" fillId="0" borderId="1" xfId="0" applyFont="1" applyBorder="1" applyAlignment="1">
      <alignment wrapText="1"/>
    </xf>
    <xf numFmtId="0" fontId="0" fillId="0" borderId="9" xfId="0" applyNumberFormat="1" applyBorder="1" applyAlignment="1">
      <alignment horizontal="center"/>
    </xf>
    <xf numFmtId="164" fontId="0" fillId="0" borderId="4" xfId="0" applyNumberFormat="1" applyFill="1" applyBorder="1"/>
    <xf numFmtId="0" fontId="0" fillId="0" borderId="0" xfId="0" applyNumberFormat="1" applyBorder="1" applyAlignment="1">
      <alignment vertical="center"/>
    </xf>
    <xf numFmtId="0" fontId="0" fillId="0" borderId="0" xfId="0" applyNumberFormat="1" applyBorder="1" applyAlignment="1" applyProtection="1">
      <alignment vertical="center"/>
      <protection locked="0"/>
    </xf>
    <xf numFmtId="0" fontId="0" fillId="0" borderId="0" xfId="0" applyNumberFormat="1" applyFill="1" applyBorder="1" applyAlignment="1">
      <alignment vertical="center"/>
    </xf>
    <xf numFmtId="0" fontId="0" fillId="0" borderId="0" xfId="0" applyBorder="1" applyAlignment="1">
      <alignment vertical="center"/>
    </xf>
    <xf numFmtId="0" fontId="0" fillId="0" borderId="0" xfId="0" applyNumberFormat="1" applyFont="1" applyFill="1" applyBorder="1" applyAlignment="1">
      <alignment vertical="center"/>
    </xf>
    <xf numFmtId="164" fontId="0" fillId="0" borderId="0" xfId="0" applyNumberFormat="1" applyFill="1" applyBorder="1" applyAlignment="1">
      <alignment vertical="center"/>
    </xf>
    <xf numFmtId="0" fontId="0" fillId="0" borderId="0" xfId="0" applyNumberFormat="1" applyFont="1" applyBorder="1" applyAlignment="1">
      <alignment vertical="center"/>
    </xf>
    <xf numFmtId="0" fontId="0" fillId="0" borderId="4" xfId="0" applyNumberFormat="1" applyBorder="1" applyAlignment="1">
      <alignment vertical="center"/>
    </xf>
    <xf numFmtId="0" fontId="0" fillId="0" borderId="5" xfId="0" quotePrefix="1" applyBorder="1" applyProtection="1"/>
    <xf numFmtId="0" fontId="1" fillId="0" borderId="11" xfId="0" applyFont="1" applyFill="1" applyBorder="1" applyAlignment="1"/>
    <xf numFmtId="0" fontId="0" fillId="0" borderId="12" xfId="0" applyNumberFormat="1" applyBorder="1" applyAlignment="1" applyProtection="1">
      <alignment vertical="center"/>
      <protection locked="0"/>
    </xf>
    <xf numFmtId="0" fontId="0" fillId="0" borderId="2" xfId="0" applyNumberFormat="1" applyBorder="1" applyAlignment="1" applyProtection="1">
      <alignment vertical="center"/>
      <protection locked="0"/>
    </xf>
    <xf numFmtId="164" fontId="0" fillId="0" borderId="2" xfId="0" applyNumberFormat="1" applyBorder="1" applyAlignment="1" applyProtection="1">
      <alignment vertical="center"/>
    </xf>
    <xf numFmtId="164" fontId="0" fillId="0" borderId="5" xfId="0" applyNumberFormat="1" applyBorder="1" applyAlignment="1" applyProtection="1">
      <alignment vertical="center"/>
    </xf>
    <xf numFmtId="165" fontId="0" fillId="0" borderId="0" xfId="0" applyNumberFormat="1" applyBorder="1" applyAlignment="1"/>
    <xf numFmtId="165" fontId="0" fillId="0" borderId="0" xfId="0" applyNumberFormat="1" applyFill="1" applyBorder="1" applyAlignment="1"/>
    <xf numFmtId="165" fontId="0" fillId="0" borderId="0" xfId="0" applyNumberFormat="1" applyFont="1" applyBorder="1" applyAlignment="1"/>
    <xf numFmtId="165" fontId="0" fillId="0" borderId="0" xfId="0" applyNumberFormat="1" applyFont="1" applyFill="1" applyBorder="1" applyAlignment="1"/>
    <xf numFmtId="0" fontId="0" fillId="0" borderId="15" xfId="0" applyNumberFormat="1" applyBorder="1" applyAlignment="1" applyProtection="1">
      <alignment vertical="center"/>
      <protection locked="0"/>
    </xf>
    <xf numFmtId="0" fontId="0" fillId="0" borderId="10" xfId="0" applyFill="1" applyBorder="1" applyProtection="1">
      <protection locked="0"/>
    </xf>
    <xf numFmtId="0" fontId="0" fillId="0" borderId="9" xfId="0" applyFill="1" applyBorder="1" applyProtection="1">
      <protection locked="0"/>
    </xf>
    <xf numFmtId="0" fontId="0" fillId="0" borderId="13" xfId="0" applyBorder="1" applyAlignment="1">
      <alignment vertical="top" wrapText="1"/>
    </xf>
    <xf numFmtId="165" fontId="1" fillId="0" borderId="0" xfId="0" applyNumberFormat="1" applyFont="1" applyBorder="1" applyAlignment="1"/>
    <xf numFmtId="165" fontId="0" fillId="0" borderId="0" xfId="0" applyNumberFormat="1" applyBorder="1"/>
    <xf numFmtId="0" fontId="0" fillId="0" borderId="0" xfId="0" applyBorder="1" applyAlignment="1" applyProtection="1"/>
    <xf numFmtId="0" fontId="0" fillId="0" borderId="4" xfId="0" applyBorder="1" applyProtection="1"/>
    <xf numFmtId="0" fontId="0" fillId="10" borderId="3" xfId="0" applyFill="1" applyBorder="1" applyAlignment="1">
      <alignment wrapText="1"/>
    </xf>
    <xf numFmtId="0" fontId="0" fillId="0" borderId="0" xfId="0" applyNumberFormat="1" applyFill="1" applyBorder="1" applyAlignment="1" applyProtection="1">
      <protection locked="0"/>
    </xf>
    <xf numFmtId="0" fontId="0" fillId="0" borderId="1" xfId="0" applyFont="1" applyFill="1" applyBorder="1"/>
    <xf numFmtId="0" fontId="0" fillId="0" borderId="15" xfId="0" applyBorder="1" applyAlignment="1">
      <alignment horizontal="left"/>
    </xf>
    <xf numFmtId="0" fontId="0" fillId="0" borderId="0" xfId="0" applyFill="1" applyBorder="1" applyProtection="1"/>
    <xf numFmtId="164" fontId="1" fillId="0" borderId="1" xfId="0" applyNumberFormat="1" applyFont="1" applyBorder="1"/>
    <xf numFmtId="0" fontId="1" fillId="0" borderId="1" xfId="0" applyNumberFormat="1" applyFont="1" applyBorder="1"/>
    <xf numFmtId="0" fontId="0" fillId="0" borderId="8" xfId="0" applyNumberFormat="1" applyBorder="1" applyAlignment="1">
      <alignment horizontal="center" vertical="center"/>
    </xf>
    <xf numFmtId="0" fontId="1" fillId="0" borderId="1" xfId="0" applyFont="1" applyBorder="1" applyAlignment="1">
      <alignment vertical="top" wrapText="1"/>
    </xf>
    <xf numFmtId="0" fontId="1" fillId="0" borderId="13" xfId="0" applyFont="1" applyBorder="1" applyAlignment="1">
      <alignment horizontal="right"/>
    </xf>
    <xf numFmtId="8" fontId="0" fillId="0" borderId="2" xfId="0" applyNumberFormat="1" applyBorder="1" applyProtection="1">
      <protection locked="0"/>
    </xf>
    <xf numFmtId="0" fontId="14" fillId="13" borderId="0" xfId="0" applyFont="1" applyFill="1"/>
    <xf numFmtId="0" fontId="0" fillId="13" borderId="0" xfId="0" applyFill="1"/>
    <xf numFmtId="0" fontId="0" fillId="14" borderId="0" xfId="0" applyFill="1"/>
    <xf numFmtId="0" fontId="13" fillId="14" borderId="0" xfId="0" applyFont="1" applyFill="1"/>
    <xf numFmtId="0" fontId="16" fillId="10" borderId="3" xfId="0" applyFont="1" applyFill="1" applyBorder="1" applyAlignment="1">
      <alignment wrapText="1"/>
    </xf>
    <xf numFmtId="0" fontId="0" fillId="0" borderId="40" xfId="0" applyBorder="1"/>
    <xf numFmtId="2" fontId="0" fillId="0" borderId="15" xfId="0" applyNumberFormat="1" applyBorder="1" applyAlignment="1">
      <alignment horizontal="left"/>
    </xf>
    <xf numFmtId="2" fontId="0" fillId="0" borderId="42" xfId="0" applyNumberFormat="1" applyBorder="1"/>
    <xf numFmtId="2" fontId="1" fillId="0" borderId="15" xfId="0" applyNumberFormat="1" applyFont="1" applyBorder="1"/>
    <xf numFmtId="0" fontId="2" fillId="0" borderId="8" xfId="6" applyFill="1" applyBorder="1" applyAlignment="1" applyProtection="1">
      <alignment horizontal="center"/>
      <protection locked="0"/>
    </xf>
    <xf numFmtId="0" fontId="2" fillId="0" borderId="10" xfId="6" applyFill="1" applyBorder="1" applyAlignment="1" applyProtection="1">
      <alignment horizontal="center"/>
      <protection locked="0"/>
    </xf>
    <xf numFmtId="0" fontId="2" fillId="0" borderId="9" xfId="6" applyFill="1" applyBorder="1" applyAlignment="1" applyProtection="1">
      <alignment horizontal="center"/>
      <protection locked="0"/>
    </xf>
    <xf numFmtId="0" fontId="0" fillId="0" borderId="11" xfId="0" applyBorder="1"/>
    <xf numFmtId="0" fontId="0" fillId="0" borderId="7" xfId="0" applyNumberFormat="1" applyBorder="1" applyAlignment="1"/>
    <xf numFmtId="0" fontId="0" fillId="0" borderId="7" xfId="0" applyBorder="1" applyAlignment="1"/>
    <xf numFmtId="0" fontId="0" fillId="0" borderId="7" xfId="0" applyBorder="1" applyAlignment="1" applyProtection="1"/>
    <xf numFmtId="0" fontId="0" fillId="0" borderId="12" xfId="0" applyNumberFormat="1" applyBorder="1"/>
    <xf numFmtId="0" fontId="0" fillId="0" borderId="7" xfId="0" applyNumberFormat="1" applyBorder="1" applyAlignment="1" applyProtection="1">
      <alignment vertical="center"/>
      <protection locked="0"/>
    </xf>
    <xf numFmtId="0" fontId="0" fillId="0" borderId="7" xfId="0" applyBorder="1" applyAlignment="1" applyProtection="1">
      <protection locked="0"/>
    </xf>
    <xf numFmtId="0" fontId="0" fillId="0" borderId="7" xfId="0" applyNumberFormat="1" applyFill="1" applyBorder="1" applyAlignment="1" applyProtection="1">
      <protection locked="0"/>
    </xf>
    <xf numFmtId="0" fontId="1" fillId="0" borderId="11" xfId="0" applyFont="1" applyBorder="1" applyAlignment="1">
      <alignment wrapText="1"/>
    </xf>
    <xf numFmtId="0" fontId="0" fillId="0" borderId="13" xfId="0" applyBorder="1" applyAlignment="1">
      <alignment horizontal="right"/>
    </xf>
    <xf numFmtId="2" fontId="1" fillId="0" borderId="15" xfId="0" applyNumberFormat="1" applyFont="1" applyBorder="1" applyAlignment="1">
      <alignment horizontal="left"/>
    </xf>
    <xf numFmtId="0" fontId="0" fillId="0" borderId="4" xfId="0" applyNumberFormat="1" applyFill="1" applyBorder="1" applyAlignment="1">
      <alignment vertical="center"/>
    </xf>
    <xf numFmtId="0" fontId="0" fillId="0" borderId="4" xfId="0" applyFill="1" applyBorder="1" applyAlignment="1"/>
    <xf numFmtId="0" fontId="0" fillId="0" borderId="4" xfId="0" applyNumberFormat="1" applyFill="1" applyBorder="1" applyAlignment="1"/>
    <xf numFmtId="165" fontId="0" fillId="0" borderId="4" xfId="0" applyNumberFormat="1" applyFont="1" applyFill="1" applyBorder="1" applyAlignment="1"/>
    <xf numFmtId="165" fontId="0" fillId="0" borderId="4" xfId="0" applyNumberFormat="1" applyBorder="1" applyAlignment="1"/>
    <xf numFmtId="164" fontId="0" fillId="0" borderId="0" xfId="0" applyNumberFormat="1" applyBorder="1" applyAlignment="1" applyProtection="1">
      <protection locked="0"/>
    </xf>
    <xf numFmtId="0" fontId="0" fillId="0" borderId="0" xfId="0" applyNumberFormat="1" applyBorder="1" applyAlignment="1" applyProtection="1"/>
    <xf numFmtId="0" fontId="0" fillId="0" borderId="4" xfId="0" applyBorder="1" applyAlignment="1" applyProtection="1"/>
    <xf numFmtId="0" fontId="0" fillId="0" borderId="2" xfId="0" applyBorder="1" applyAlignment="1"/>
    <xf numFmtId="0" fontId="0" fillId="0" borderId="7" xfId="0" applyNumberFormat="1" applyBorder="1" applyAlignment="1" applyProtection="1"/>
    <xf numFmtId="0" fontId="0" fillId="0" borderId="12" xfId="0" applyNumberFormat="1" applyFont="1" applyFill="1" applyBorder="1" applyAlignment="1" applyProtection="1">
      <alignment vertical="center"/>
      <protection locked="0"/>
    </xf>
    <xf numFmtId="0" fontId="0" fillId="0" borderId="12" xfId="0" applyNumberFormat="1" applyFill="1" applyBorder="1" applyAlignment="1" applyProtection="1">
      <alignment vertical="center"/>
      <protection locked="0"/>
    </xf>
    <xf numFmtId="0" fontId="0" fillId="0" borderId="15" xfId="0" applyNumberFormat="1" applyFill="1" applyBorder="1" applyAlignment="1" applyProtection="1">
      <alignment vertical="center"/>
      <protection locked="0"/>
    </xf>
    <xf numFmtId="0" fontId="0" fillId="0" borderId="2" xfId="0" applyNumberFormat="1" applyFill="1" applyBorder="1" applyAlignment="1" applyProtection="1">
      <alignment vertical="center"/>
      <protection locked="0"/>
    </xf>
    <xf numFmtId="0" fontId="0" fillId="0" borderId="5" xfId="0" applyNumberFormat="1" applyFill="1" applyBorder="1" applyAlignment="1" applyProtection="1">
      <alignment vertical="center"/>
      <protection locked="0"/>
    </xf>
    <xf numFmtId="0" fontId="0" fillId="0" borderId="0" xfId="0" applyProtection="1">
      <protection locked="0"/>
    </xf>
    <xf numFmtId="0" fontId="0" fillId="0" borderId="43" xfId="0" applyBorder="1"/>
    <xf numFmtId="0" fontId="0" fillId="0" borderId="13" xfId="0" applyFont="1" applyBorder="1" applyAlignment="1">
      <alignment wrapText="1"/>
    </xf>
    <xf numFmtId="0" fontId="0" fillId="0" borderId="14" xfId="0" applyNumberFormat="1" applyFont="1" applyFill="1" applyBorder="1" applyAlignment="1">
      <alignment vertical="center"/>
    </xf>
    <xf numFmtId="0" fontId="0" fillId="0" borderId="13" xfId="0" applyBorder="1" applyAlignment="1">
      <alignment wrapText="1"/>
    </xf>
    <xf numFmtId="0" fontId="0" fillId="0" borderId="10" xfId="0" applyBorder="1" applyAlignment="1">
      <alignment horizontal="center"/>
    </xf>
    <xf numFmtId="0" fontId="0" fillId="0" borderId="0" xfId="0" applyAlignment="1">
      <alignment horizontal="left" vertical="top"/>
    </xf>
    <xf numFmtId="0" fontId="12" fillId="0" borderId="0" xfId="0" applyFont="1" applyAlignment="1">
      <alignment horizontal="left" vertical="top"/>
    </xf>
    <xf numFmtId="0" fontId="1" fillId="0" borderId="0" xfId="0" applyFont="1" applyAlignment="1">
      <alignment horizontal="left" vertical="top"/>
    </xf>
    <xf numFmtId="0" fontId="0" fillId="12" borderId="11" xfId="0" applyFill="1" applyBorder="1" applyAlignment="1">
      <alignment horizontal="left" vertical="top"/>
    </xf>
    <xf numFmtId="0" fontId="0" fillId="12" borderId="12" xfId="0" applyFill="1" applyBorder="1" applyAlignment="1">
      <alignment horizontal="left" vertical="top" wrapText="1"/>
    </xf>
    <xf numFmtId="0" fontId="0" fillId="11" borderId="1" xfId="0" applyFill="1" applyBorder="1" applyAlignment="1">
      <alignment horizontal="left" vertical="top"/>
    </xf>
    <xf numFmtId="0" fontId="0" fillId="11" borderId="2" xfId="0" applyFill="1" applyBorder="1" applyAlignment="1">
      <alignment horizontal="left" vertical="top" wrapText="1"/>
    </xf>
    <xf numFmtId="0" fontId="0" fillId="12" borderId="1" xfId="0" applyFill="1" applyBorder="1" applyAlignment="1">
      <alignment horizontal="left" vertical="top"/>
    </xf>
    <xf numFmtId="0" fontId="0" fillId="12" borderId="2" xfId="0" applyFill="1" applyBorder="1" applyAlignment="1">
      <alignment horizontal="left" vertical="top" wrapText="1"/>
    </xf>
    <xf numFmtId="0" fontId="0" fillId="11" borderId="3" xfId="0" applyFill="1" applyBorder="1" applyAlignment="1">
      <alignment horizontal="left" vertical="top"/>
    </xf>
    <xf numFmtId="0" fontId="0" fillId="11" borderId="5" xfId="0" applyFill="1" applyBorder="1" applyAlignment="1">
      <alignment horizontal="left" vertical="top" wrapText="1"/>
    </xf>
    <xf numFmtId="0" fontId="0" fillId="12" borderId="34" xfId="0" applyFill="1" applyBorder="1" applyAlignment="1">
      <alignment horizontal="left" vertical="top"/>
    </xf>
    <xf numFmtId="0" fontId="0" fillId="12" borderId="35" xfId="0" applyFill="1" applyBorder="1" applyAlignment="1">
      <alignment horizontal="left" vertical="top" wrapText="1"/>
    </xf>
    <xf numFmtId="0" fontId="0" fillId="12" borderId="36" xfId="0" applyFill="1" applyBorder="1" applyAlignment="1">
      <alignment horizontal="left" vertical="top"/>
    </xf>
    <xf numFmtId="0" fontId="0" fillId="12" borderId="37" xfId="0" applyFill="1" applyBorder="1" applyAlignment="1">
      <alignment horizontal="left" vertical="top" wrapText="1"/>
    </xf>
    <xf numFmtId="0" fontId="0" fillId="11" borderId="36" xfId="0" applyFill="1" applyBorder="1" applyAlignment="1">
      <alignment horizontal="left" vertical="top"/>
    </xf>
    <xf numFmtId="0" fontId="0" fillId="11" borderId="37" xfId="0" applyFill="1" applyBorder="1" applyAlignment="1">
      <alignment horizontal="left" vertical="top" wrapText="1"/>
    </xf>
    <xf numFmtId="0" fontId="0" fillId="12" borderId="38" xfId="0" applyFill="1" applyBorder="1" applyAlignment="1">
      <alignment horizontal="left" vertical="top"/>
    </xf>
    <xf numFmtId="0" fontId="0" fillId="12" borderId="39" xfId="0" applyFill="1" applyBorder="1" applyAlignment="1">
      <alignment horizontal="left" vertical="top" wrapText="1"/>
    </xf>
    <xf numFmtId="0" fontId="0" fillId="0" borderId="0" xfId="0" applyBorder="1" applyAlignment="1">
      <alignment horizontal="left" vertical="top"/>
    </xf>
    <xf numFmtId="0" fontId="12" fillId="0" borderId="0" xfId="0" applyFont="1" applyBorder="1" applyAlignment="1">
      <alignment horizontal="left" vertical="top"/>
    </xf>
    <xf numFmtId="0" fontId="0" fillId="12" borderId="34" xfId="0" applyFill="1" applyBorder="1" applyAlignment="1">
      <alignment horizontal="left" vertical="top" wrapText="1"/>
    </xf>
    <xf numFmtId="0" fontId="0" fillId="12" borderId="36" xfId="0" applyFill="1" applyBorder="1" applyAlignment="1">
      <alignment horizontal="left" vertical="top" wrapText="1"/>
    </xf>
    <xf numFmtId="0" fontId="0" fillId="12" borderId="12" xfId="0" applyFill="1" applyBorder="1" applyAlignment="1">
      <alignment horizontal="left" vertical="top"/>
    </xf>
    <xf numFmtId="0" fontId="0" fillId="12" borderId="3" xfId="0" applyFill="1" applyBorder="1" applyAlignment="1">
      <alignment horizontal="left" vertical="top"/>
    </xf>
    <xf numFmtId="0" fontId="0" fillId="12" borderId="5" xfId="0" applyFill="1" applyBorder="1" applyAlignment="1">
      <alignment horizontal="left" vertical="top"/>
    </xf>
    <xf numFmtId="0" fontId="15" fillId="0" borderId="0" xfId="0" applyFont="1" applyAlignment="1">
      <alignment horizontal="left" vertical="top"/>
    </xf>
    <xf numFmtId="0" fontId="0" fillId="11" borderId="11" xfId="0" applyFill="1" applyBorder="1" applyAlignment="1">
      <alignment horizontal="left" vertical="top"/>
    </xf>
    <xf numFmtId="0" fontId="0" fillId="11" borderId="12" xfId="0" applyFill="1" applyBorder="1" applyAlignment="1">
      <alignment horizontal="left" vertical="top" wrapText="1"/>
    </xf>
    <xf numFmtId="0" fontId="0" fillId="0" borderId="1" xfId="0" applyBorder="1" applyAlignment="1">
      <alignment horizontal="left" vertical="top"/>
    </xf>
    <xf numFmtId="0" fontId="0" fillId="0" borderId="2" xfId="0" applyBorder="1" applyAlignment="1">
      <alignment horizontal="left" vertical="top" wrapText="1"/>
    </xf>
    <xf numFmtId="0" fontId="0" fillId="12" borderId="5" xfId="0" applyFill="1" applyBorder="1" applyAlignment="1">
      <alignment horizontal="left" vertical="top" wrapText="1"/>
    </xf>
    <xf numFmtId="0" fontId="14" fillId="13" borderId="0" xfId="0" applyFont="1" applyFill="1" applyAlignment="1">
      <alignment horizontal="center" vertical="center"/>
    </xf>
    <xf numFmtId="0" fontId="1" fillId="0" borderId="8" xfId="0" applyFont="1" applyFill="1" applyBorder="1"/>
    <xf numFmtId="0" fontId="20" fillId="0" borderId="0" xfId="0" applyFont="1" applyProtection="1"/>
    <xf numFmtId="0" fontId="0" fillId="0" borderId="4" xfId="0" applyFill="1" applyBorder="1" applyProtection="1">
      <protection locked="0"/>
    </xf>
    <xf numFmtId="0" fontId="1" fillId="0" borderId="11" xfId="0" applyFont="1" applyBorder="1" applyProtection="1"/>
    <xf numFmtId="0" fontId="0" fillId="0" borderId="1" xfId="0" applyBorder="1" applyAlignment="1" applyProtection="1">
      <alignment wrapText="1"/>
    </xf>
    <xf numFmtId="0" fontId="0" fillId="0" borderId="3" xfId="0" applyBorder="1" applyProtection="1"/>
    <xf numFmtId="0" fontId="0" fillId="0" borderId="0" xfId="0" quotePrefix="1" applyFill="1" applyBorder="1" applyAlignment="1" applyProtection="1">
      <alignment wrapText="1"/>
    </xf>
    <xf numFmtId="0" fontId="0" fillId="0" borderId="0" xfId="0" quotePrefix="1" applyFill="1" applyBorder="1" applyProtection="1"/>
    <xf numFmtId="0" fontId="0" fillId="0" borderId="7" xfId="0" applyBorder="1" applyProtection="1"/>
    <xf numFmtId="0" fontId="0" fillId="0" borderId="4" xfId="0" applyFill="1" applyBorder="1" applyProtection="1"/>
    <xf numFmtId="0" fontId="0" fillId="17" borderId="0" xfId="0" applyFill="1" applyBorder="1" applyAlignment="1"/>
    <xf numFmtId="0" fontId="0" fillId="0" borderId="8" xfId="0" applyFill="1" applyBorder="1" applyProtection="1"/>
    <xf numFmtId="0" fontId="0" fillId="0" borderId="2" xfId="0" applyBorder="1" applyAlignment="1">
      <alignment wrapText="1"/>
    </xf>
    <xf numFmtId="0" fontId="0" fillId="0" borderId="5" xfId="0" applyBorder="1" applyAlignment="1">
      <alignment wrapText="1"/>
    </xf>
    <xf numFmtId="164" fontId="0" fillId="0" borderId="0" xfId="0" applyNumberFormat="1"/>
    <xf numFmtId="0" fontId="0" fillId="0" borderId="0" xfId="0" applyNumberFormat="1" applyBorder="1" applyAlignment="1" applyProtection="1">
      <alignment vertical="center"/>
    </xf>
    <xf numFmtId="0" fontId="0" fillId="0" borderId="1" xfId="0" applyBorder="1" applyAlignment="1">
      <alignment vertical="top" wrapText="1"/>
    </xf>
    <xf numFmtId="0" fontId="0" fillId="0" borderId="8" xfId="0" applyBorder="1" applyProtection="1"/>
    <xf numFmtId="0" fontId="0" fillId="0" borderId="10" xfId="0" applyBorder="1" applyProtection="1"/>
    <xf numFmtId="0" fontId="0" fillId="0" borderId="15" xfId="0" applyBorder="1" applyAlignment="1" applyProtection="1">
      <protection locked="0"/>
    </xf>
    <xf numFmtId="164" fontId="0" fillId="0" borderId="2" xfId="0" applyNumberFormat="1" applyFont="1" applyFill="1" applyBorder="1" applyAlignment="1">
      <alignment horizontal="center"/>
    </xf>
    <xf numFmtId="164" fontId="0" fillId="0" borderId="0" xfId="0" applyNumberFormat="1" applyFill="1" applyBorder="1" applyAlignment="1"/>
    <xf numFmtId="0" fontId="1" fillId="0" borderId="11" xfId="0" applyFont="1" applyBorder="1" applyAlignment="1">
      <alignment horizontal="center"/>
    </xf>
    <xf numFmtId="0" fontId="1" fillId="0" borderId="7" xfId="0" applyFont="1" applyBorder="1" applyAlignment="1">
      <alignment horizontal="center"/>
    </xf>
    <xf numFmtId="0" fontId="1" fillId="0" borderId="12" xfId="0" applyFont="1" applyBorder="1" applyAlignment="1">
      <alignment horizontal="center"/>
    </xf>
    <xf numFmtId="0" fontId="0" fillId="0" borderId="14" xfId="0" applyBorder="1" applyAlignment="1">
      <alignment horizontal="center"/>
    </xf>
    <xf numFmtId="0" fontId="0" fillId="0" borderId="4" xfId="0" applyBorder="1" applyAlignment="1">
      <alignment horizontal="center"/>
    </xf>
    <xf numFmtId="0" fontId="0" fillId="0" borderId="20" xfId="0" applyFill="1" applyBorder="1" applyAlignment="1">
      <alignment horizontal="left" vertical="top" wrapText="1"/>
    </xf>
    <xf numFmtId="0" fontId="0" fillId="0" borderId="21" xfId="0" applyFill="1" applyBorder="1" applyAlignment="1">
      <alignment horizontal="left" vertical="top" wrapText="1"/>
    </xf>
    <xf numFmtId="0" fontId="18" fillId="15" borderId="0" xfId="0" applyFont="1" applyFill="1" applyBorder="1" applyAlignment="1">
      <alignment horizontal="center"/>
    </xf>
    <xf numFmtId="0" fontId="18" fillId="16" borderId="22" xfId="0" applyFont="1" applyFill="1" applyBorder="1" applyAlignment="1">
      <alignment horizontal="center"/>
    </xf>
    <xf numFmtId="0" fontId="18" fillId="16" borderId="23" xfId="0" applyFont="1" applyFill="1" applyBorder="1" applyAlignment="1">
      <alignment horizontal="center"/>
    </xf>
    <xf numFmtId="0" fontId="19" fillId="0" borderId="28" xfId="0" applyFont="1" applyBorder="1" applyAlignment="1"/>
    <xf numFmtId="0" fontId="19" fillId="0" borderId="29" xfId="0" applyFont="1" applyBorder="1" applyAlignment="1"/>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18" xfId="0" applyFill="1" applyBorder="1" applyAlignment="1">
      <alignment horizontal="left" vertical="top" wrapText="1"/>
    </xf>
    <xf numFmtId="0" fontId="0" fillId="0" borderId="19" xfId="0" applyFill="1"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18" fillId="15" borderId="0" xfId="0" applyFont="1" applyFill="1" applyAlignment="1"/>
    <xf numFmtId="0" fontId="0" fillId="0" borderId="26" xfId="0" applyBorder="1" applyAlignment="1">
      <alignment horizontal="left" vertical="top"/>
    </xf>
    <xf numFmtId="0" fontId="0" fillId="0" borderId="27" xfId="0" applyBorder="1" applyAlignment="1">
      <alignment horizontal="left" vertical="top"/>
    </xf>
    <xf numFmtId="0" fontId="0" fillId="0" borderId="13" xfId="0" applyBorder="1" applyAlignment="1">
      <alignment horizontal="left" vertical="top" wrapText="1"/>
    </xf>
    <xf numFmtId="0" fontId="0" fillId="0" borderId="15" xfId="0" applyBorder="1" applyAlignment="1">
      <alignment horizontal="left" vertical="top" wrapText="1"/>
    </xf>
    <xf numFmtId="0" fontId="17" fillId="15" borderId="0" xfId="0" applyFont="1" applyFill="1" applyAlignment="1">
      <alignment horizontal="left"/>
    </xf>
    <xf numFmtId="0" fontId="0" fillId="0" borderId="30" xfId="0" applyBorder="1" applyAlignment="1"/>
    <xf numFmtId="0" fontId="0" fillId="0" borderId="31" xfId="0" applyBorder="1" applyAlignment="1"/>
    <xf numFmtId="0" fontId="0" fillId="0" borderId="30" xfId="0" applyBorder="1" applyAlignment="1">
      <alignment wrapText="1"/>
    </xf>
    <xf numFmtId="0" fontId="0" fillId="0" borderId="31" xfId="0" applyBorder="1" applyAlignment="1">
      <alignment wrapText="1"/>
    </xf>
    <xf numFmtId="0" fontId="0" fillId="0" borderId="32" xfId="0" applyBorder="1" applyAlignment="1"/>
    <xf numFmtId="0" fontId="0" fillId="0" borderId="33" xfId="0" applyBorder="1" applyAlignment="1"/>
    <xf numFmtId="0" fontId="0" fillId="0" borderId="44" xfId="0" applyFill="1" applyBorder="1" applyAlignment="1">
      <alignment horizontal="left" vertical="top" wrapText="1"/>
    </xf>
    <xf numFmtId="0" fontId="0" fillId="0" borderId="45" xfId="0" applyFill="1" applyBorder="1" applyAlignment="1">
      <alignment horizontal="left" vertical="top" wrapText="1"/>
    </xf>
    <xf numFmtId="0" fontId="0" fillId="0" borderId="0" xfId="0" applyFill="1" applyBorder="1" applyAlignment="1">
      <alignment horizontal="left" vertical="top" wrapText="1"/>
    </xf>
    <xf numFmtId="0" fontId="0" fillId="0" borderId="16" xfId="0" applyFont="1" applyBorder="1" applyAlignment="1">
      <alignment horizontal="left" vertical="top" wrapText="1"/>
    </xf>
    <xf numFmtId="0" fontId="0" fillId="0" borderId="17" xfId="0" applyFont="1" applyBorder="1" applyAlignment="1">
      <alignment horizontal="left" vertical="top" wrapText="1"/>
    </xf>
    <xf numFmtId="0" fontId="0" fillId="0" borderId="1" xfId="0" applyBorder="1" applyAlignment="1">
      <alignment horizontal="center"/>
    </xf>
    <xf numFmtId="0" fontId="0" fillId="0" borderId="0"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1" fillId="0" borderId="11" xfId="0" applyFont="1" applyBorder="1" applyAlignment="1">
      <alignment horizontal="center"/>
    </xf>
    <xf numFmtId="0" fontId="1" fillId="0" borderId="7" xfId="0" applyFont="1" applyBorder="1" applyAlignment="1">
      <alignment horizontal="center"/>
    </xf>
    <xf numFmtId="0" fontId="1" fillId="0" borderId="12" xfId="0" applyFont="1" applyBorder="1" applyAlignment="1">
      <alignment horizontal="center"/>
    </xf>
    <xf numFmtId="0" fontId="0" fillId="0" borderId="3" xfId="0" applyBorder="1" applyAlignment="1" applyProtection="1">
      <alignment horizontal="center"/>
      <protection locked="0"/>
    </xf>
    <xf numFmtId="0" fontId="0" fillId="0" borderId="4" xfId="0" applyBorder="1" applyAlignment="1" applyProtection="1">
      <alignment horizontal="center"/>
      <protection locked="0"/>
    </xf>
    <xf numFmtId="0" fontId="0" fillId="0" borderId="5" xfId="0" applyBorder="1" applyAlignment="1" applyProtection="1">
      <alignment horizontal="center"/>
      <protection locked="0"/>
    </xf>
    <xf numFmtId="0" fontId="1" fillId="0" borderId="1" xfId="0" applyFont="1" applyBorder="1" applyAlignment="1">
      <alignment horizontal="left" vertical="top" wrapText="1"/>
    </xf>
    <xf numFmtId="0" fontId="0" fillId="0" borderId="14" xfId="0" applyBorder="1" applyAlignment="1">
      <alignment horizontal="center"/>
    </xf>
    <xf numFmtId="0" fontId="0" fillId="0" borderId="15" xfId="0" applyBorder="1" applyAlignment="1">
      <alignment horizontal="center"/>
    </xf>
    <xf numFmtId="0" fontId="1" fillId="0" borderId="11" xfId="0" applyFont="1" applyFill="1" applyBorder="1" applyAlignment="1">
      <alignment horizontal="center" vertical="center"/>
    </xf>
    <xf numFmtId="0" fontId="1" fillId="0" borderId="12" xfId="0" applyFont="1" applyFill="1" applyBorder="1" applyAlignment="1">
      <alignment horizontal="center" vertical="center"/>
    </xf>
    <xf numFmtId="0" fontId="1" fillId="0" borderId="11" xfId="0" applyFont="1" applyBorder="1" applyAlignment="1">
      <alignment horizontal="left" vertical="top" wrapText="1"/>
    </xf>
    <xf numFmtId="0" fontId="1" fillId="0" borderId="3" xfId="0" applyFont="1" applyBorder="1" applyAlignment="1">
      <alignment horizontal="left" vertical="top" wrapText="1"/>
    </xf>
    <xf numFmtId="0" fontId="0" fillId="0" borderId="11" xfId="0" applyBorder="1" applyAlignment="1">
      <alignment horizontal="left" vertical="top" wrapText="1"/>
    </xf>
    <xf numFmtId="0" fontId="0" fillId="0" borderId="1" xfId="0" applyBorder="1" applyAlignment="1">
      <alignment horizontal="left" vertical="top" wrapText="1"/>
    </xf>
    <xf numFmtId="0" fontId="0" fillId="0" borderId="3" xfId="0" applyBorder="1" applyAlignment="1">
      <alignment horizontal="left" vertical="top" wrapText="1"/>
    </xf>
    <xf numFmtId="0" fontId="0" fillId="0" borderId="41" xfId="0" applyBorder="1" applyAlignment="1">
      <alignment horizontal="center"/>
    </xf>
    <xf numFmtId="0" fontId="0" fillId="0" borderId="42" xfId="0" applyBorder="1" applyAlignment="1">
      <alignment horizontal="center"/>
    </xf>
    <xf numFmtId="0" fontId="1" fillId="0" borderId="11" xfId="0" applyFont="1" applyFill="1" applyBorder="1" applyAlignment="1">
      <alignment horizontal="center"/>
    </xf>
    <xf numFmtId="0" fontId="1" fillId="0" borderId="12" xfId="0" applyFont="1" applyFill="1" applyBorder="1" applyAlignment="1">
      <alignment horizontal="center"/>
    </xf>
  </cellXfs>
  <cellStyles count="10">
    <cellStyle name="20% - Accent1" xfId="8" builtinId="30"/>
    <cellStyle name="20% - Accent2" xfId="9" builtinId="34"/>
    <cellStyle name="20% - Accent3" xfId="5" builtinId="38"/>
    <cellStyle name="20% - Accent5" xfId="6" builtinId="46"/>
    <cellStyle name="Bad" xfId="3" builtinId="27"/>
    <cellStyle name="Good" xfId="2" builtinId="26"/>
    <cellStyle name="Heading 3" xfId="1" builtinId="18"/>
    <cellStyle name="Neutral" xfId="4" builtinId="28"/>
    <cellStyle name="Normal" xfId="0" builtinId="0"/>
    <cellStyle name="Style 1" xfId="7" xr:uid="{F375FEE6-B3BC-2641-BEBD-738AC8CCDEB5}"/>
  </cellStyles>
  <dxfs count="84">
    <dxf>
      <fill>
        <patternFill patternType="lightUp">
          <fgColor theme="2"/>
        </patternFill>
      </fill>
    </dxf>
    <dxf>
      <fill>
        <patternFill patternType="lightUp">
          <fgColor theme="2"/>
        </patternFill>
      </fill>
    </dxf>
    <dxf>
      <fill>
        <patternFill patternType="lightUp">
          <fgColor theme="2"/>
        </patternFill>
      </fill>
    </dxf>
    <dxf>
      <fill>
        <patternFill patternType="lightUp">
          <f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5"/>
      </font>
      <fill>
        <patternFill>
          <bgColor theme="5" tint="0.79998168889431442"/>
        </patternFill>
      </fill>
    </dxf>
    <dxf>
      <font>
        <color rgb="FF7030A0"/>
      </font>
      <fill>
        <patternFill>
          <bgColor rgb="FFF1DCFF"/>
        </patternFill>
      </fill>
    </dxf>
    <dxf>
      <font>
        <color theme="4" tint="-0.24994659260841701"/>
      </font>
      <fill>
        <patternFill>
          <bgColor theme="4" tint="0.7999816888943144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lightUp">
          <fgColor theme="2"/>
        </patternFill>
      </fill>
    </dxf>
    <dxf>
      <fill>
        <patternFill patternType="lightUp">
          <fgColor theme="2"/>
        </patternFill>
      </fill>
    </dxf>
    <dxf>
      <fill>
        <patternFill patternType="lightUp">
          <fgColor theme="2"/>
        </patternFill>
      </fill>
    </dxf>
    <dxf>
      <fill>
        <patternFill patternType="lightUp">
          <f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5"/>
      </font>
      <fill>
        <patternFill>
          <bgColor theme="5" tint="0.79998168889431442"/>
        </patternFill>
      </fill>
    </dxf>
    <dxf>
      <font>
        <color rgb="FF7030A0"/>
      </font>
      <fill>
        <patternFill>
          <bgColor rgb="FFF1DCFF"/>
        </patternFill>
      </fill>
    </dxf>
    <dxf>
      <font>
        <color theme="4" tint="-0.24994659260841701"/>
      </font>
      <fill>
        <patternFill>
          <bgColor theme="4" tint="0.79998168889431442"/>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lightUp">
          <fgColor theme="2"/>
        </patternFill>
      </fill>
    </dxf>
    <dxf>
      <font>
        <color rgb="FF006100"/>
      </font>
      <fill>
        <patternFill>
          <bgColor rgb="FFC6EFCE"/>
        </patternFill>
      </fill>
    </dxf>
    <dxf>
      <font>
        <color theme="5"/>
      </font>
      <fill>
        <patternFill>
          <bgColor theme="5" tint="0.79998168889431442"/>
        </patternFill>
      </fill>
    </dxf>
    <dxf>
      <font>
        <color rgb="FF7030A0"/>
      </font>
      <fill>
        <patternFill>
          <bgColor rgb="FFF1DCFF"/>
        </patternFill>
      </fill>
    </dxf>
    <dxf>
      <font>
        <color theme="4" tint="-0.24994659260841701"/>
      </font>
      <fill>
        <patternFill>
          <bgColor theme="4" tint="0.7999816888943144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theme="5"/>
      </font>
      <fill>
        <patternFill>
          <bgColor theme="5" tint="0.79998168889431442"/>
        </patternFill>
      </fill>
    </dxf>
    <dxf>
      <font>
        <color rgb="FF7030A0"/>
      </font>
      <fill>
        <patternFill>
          <bgColor rgb="FFF1DCFF"/>
        </patternFill>
      </fill>
    </dxf>
    <dxf>
      <font>
        <color theme="4" tint="-0.24994659260841701"/>
      </font>
      <fill>
        <patternFill>
          <bgColor theme="4" tint="0.79998168889431442"/>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1DCFF"/>
      <color rgb="FFFFD7E4"/>
      <color rgb="FFD7FFF9"/>
      <color rgb="FFE5A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63501</xdr:colOff>
      <xdr:row>25</xdr:row>
      <xdr:rowOff>104774</xdr:rowOff>
    </xdr:from>
    <xdr:to>
      <xdr:col>4</xdr:col>
      <xdr:colOff>1232536</xdr:colOff>
      <xdr:row>48</xdr:row>
      <xdr:rowOff>96043</xdr:rowOff>
    </xdr:to>
    <xdr:pic>
      <xdr:nvPicPr>
        <xdr:cNvPr id="3" name="Picture 2">
          <a:extLst>
            <a:ext uri="{FF2B5EF4-FFF2-40B4-BE49-F238E27FC236}">
              <a16:creationId xmlns:a16="http://schemas.microsoft.com/office/drawing/2014/main" id="{6F24E8E2-5CC4-A545-8A4E-000C09A8D641}"/>
            </a:ext>
          </a:extLst>
        </xdr:cNvPr>
        <xdr:cNvPicPr>
          <a:picLocks noChangeAspect="1"/>
        </xdr:cNvPicPr>
      </xdr:nvPicPr>
      <xdr:blipFill>
        <a:blip xmlns:r="http://schemas.openxmlformats.org/officeDocument/2006/relationships" r:embed="rId1"/>
        <a:stretch>
          <a:fillRect/>
        </a:stretch>
      </xdr:blipFill>
      <xdr:spPr>
        <a:xfrm>
          <a:off x="63501" y="10810874"/>
          <a:ext cx="8293100" cy="4664869"/>
        </a:xfrm>
        <a:prstGeom prst="rect">
          <a:avLst/>
        </a:prstGeom>
      </xdr:spPr>
    </xdr:pic>
    <xdr:clientData/>
  </xdr:twoCellAnchor>
  <xdr:twoCellAnchor editAs="oneCell">
    <xdr:from>
      <xdr:col>1</xdr:col>
      <xdr:colOff>63500</xdr:colOff>
      <xdr:row>0</xdr:row>
      <xdr:rowOff>50800</xdr:rowOff>
    </xdr:from>
    <xdr:to>
      <xdr:col>1</xdr:col>
      <xdr:colOff>2042160</xdr:colOff>
      <xdr:row>0</xdr:row>
      <xdr:rowOff>634819</xdr:rowOff>
    </xdr:to>
    <xdr:pic>
      <xdr:nvPicPr>
        <xdr:cNvPr id="2" name="Picture 1">
          <a:extLst>
            <a:ext uri="{FF2B5EF4-FFF2-40B4-BE49-F238E27FC236}">
              <a16:creationId xmlns:a16="http://schemas.microsoft.com/office/drawing/2014/main" id="{E63E9768-47C1-FF46-84F4-FE5F49C8FC28}"/>
            </a:ext>
          </a:extLst>
        </xdr:cNvPr>
        <xdr:cNvPicPr>
          <a:picLocks noChangeAspect="1"/>
        </xdr:cNvPicPr>
      </xdr:nvPicPr>
      <xdr:blipFill>
        <a:blip xmlns:r="http://schemas.openxmlformats.org/officeDocument/2006/relationships" r:embed="rId2"/>
        <a:stretch>
          <a:fillRect/>
        </a:stretch>
      </xdr:blipFill>
      <xdr:spPr>
        <a:xfrm>
          <a:off x="279400" y="50800"/>
          <a:ext cx="1968500" cy="562429"/>
        </a:xfrm>
        <a:prstGeom prst="rect">
          <a:avLst/>
        </a:prstGeom>
      </xdr:spPr>
    </xdr:pic>
    <xdr:clientData/>
  </xdr:twoCellAnchor>
  <xdr:twoCellAnchor>
    <xdr:from>
      <xdr:col>0</xdr:col>
      <xdr:colOff>39552</xdr:colOff>
      <xdr:row>12</xdr:row>
      <xdr:rowOff>16541</xdr:rowOff>
    </xdr:from>
    <xdr:to>
      <xdr:col>0</xdr:col>
      <xdr:colOff>508108</xdr:colOff>
      <xdr:row>12</xdr:row>
      <xdr:rowOff>435926</xdr:rowOff>
    </xdr:to>
    <xdr:sp macro="" textlink="">
      <xdr:nvSpPr>
        <xdr:cNvPr id="4" name="Oval 3">
          <a:extLst>
            <a:ext uri="{FF2B5EF4-FFF2-40B4-BE49-F238E27FC236}">
              <a16:creationId xmlns:a16="http://schemas.microsoft.com/office/drawing/2014/main" id="{27B8D01D-5EF7-4625-968A-45FC47F2E152}"/>
            </a:ext>
            <a:ext uri="{147F2762-F138-4A5C-976F-8EAC2B608ADB}">
              <a16:predDERef xmlns:a16="http://schemas.microsoft.com/office/drawing/2014/main" pred="{E63E9768-47C1-FF46-84F4-FE5F49C8FC28}"/>
            </a:ext>
          </a:extLst>
        </xdr:cNvPr>
        <xdr:cNvSpPr/>
      </xdr:nvSpPr>
      <xdr:spPr>
        <a:xfrm>
          <a:off x="39552" y="3940841"/>
          <a:ext cx="468556" cy="41938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1</a:t>
          </a:r>
        </a:p>
      </xdr:txBody>
    </xdr:sp>
    <xdr:clientData/>
  </xdr:twoCellAnchor>
  <xdr:twoCellAnchor>
    <xdr:from>
      <xdr:col>0</xdr:col>
      <xdr:colOff>40263</xdr:colOff>
      <xdr:row>15</xdr:row>
      <xdr:rowOff>12908</xdr:rowOff>
    </xdr:from>
    <xdr:to>
      <xdr:col>0</xdr:col>
      <xdr:colOff>512629</xdr:colOff>
      <xdr:row>15</xdr:row>
      <xdr:rowOff>430595</xdr:rowOff>
    </xdr:to>
    <xdr:sp macro="" textlink="">
      <xdr:nvSpPr>
        <xdr:cNvPr id="5" name="Oval 4">
          <a:extLst>
            <a:ext uri="{FF2B5EF4-FFF2-40B4-BE49-F238E27FC236}">
              <a16:creationId xmlns:a16="http://schemas.microsoft.com/office/drawing/2014/main" id="{EE0BD728-1EEA-494A-88D3-7BBF4D3213FD}"/>
            </a:ext>
            <a:ext uri="{147F2762-F138-4A5C-976F-8EAC2B608ADB}">
              <a16:predDERef xmlns:a16="http://schemas.microsoft.com/office/drawing/2014/main" pred="{27B8D01D-5EF7-4625-968A-45FC47F2E152}"/>
            </a:ext>
          </a:extLst>
        </xdr:cNvPr>
        <xdr:cNvSpPr/>
      </xdr:nvSpPr>
      <xdr:spPr>
        <a:xfrm>
          <a:off x="40263" y="7509083"/>
          <a:ext cx="472366" cy="41768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4</a:t>
          </a:r>
        </a:p>
      </xdr:txBody>
    </xdr:sp>
    <xdr:clientData/>
  </xdr:twoCellAnchor>
  <xdr:twoCellAnchor>
    <xdr:from>
      <xdr:col>0</xdr:col>
      <xdr:colOff>57150</xdr:colOff>
      <xdr:row>13</xdr:row>
      <xdr:rowOff>19050</xdr:rowOff>
    </xdr:from>
    <xdr:to>
      <xdr:col>0</xdr:col>
      <xdr:colOff>516005</xdr:colOff>
      <xdr:row>13</xdr:row>
      <xdr:rowOff>449865</xdr:rowOff>
    </xdr:to>
    <xdr:sp macro="" textlink="">
      <xdr:nvSpPr>
        <xdr:cNvPr id="7" name="Oval 6">
          <a:extLst>
            <a:ext uri="{FF2B5EF4-FFF2-40B4-BE49-F238E27FC236}">
              <a16:creationId xmlns:a16="http://schemas.microsoft.com/office/drawing/2014/main" id="{4B40D03C-9441-4FA7-AB70-98D15CA687DB}"/>
            </a:ext>
            <a:ext uri="{147F2762-F138-4A5C-976F-8EAC2B608ADB}">
              <a16:predDERef xmlns:a16="http://schemas.microsoft.com/office/drawing/2014/main" pred="{EE0BD728-1EEA-494A-88D3-7BBF4D3213FD}"/>
            </a:ext>
          </a:extLst>
        </xdr:cNvPr>
        <xdr:cNvSpPr/>
      </xdr:nvSpPr>
      <xdr:spPr>
        <a:xfrm>
          <a:off x="57150" y="5695950"/>
          <a:ext cx="458855" cy="43081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2</a:t>
          </a:r>
        </a:p>
      </xdr:txBody>
    </xdr:sp>
    <xdr:clientData/>
  </xdr:twoCellAnchor>
  <xdr:twoCellAnchor>
    <xdr:from>
      <xdr:col>0</xdr:col>
      <xdr:colOff>47625</xdr:colOff>
      <xdr:row>14</xdr:row>
      <xdr:rowOff>19050</xdr:rowOff>
    </xdr:from>
    <xdr:to>
      <xdr:col>0</xdr:col>
      <xdr:colOff>506480</xdr:colOff>
      <xdr:row>14</xdr:row>
      <xdr:rowOff>446762</xdr:rowOff>
    </xdr:to>
    <xdr:sp macro="" textlink="">
      <xdr:nvSpPr>
        <xdr:cNvPr id="8" name="Oval 7">
          <a:extLst>
            <a:ext uri="{FF2B5EF4-FFF2-40B4-BE49-F238E27FC236}">
              <a16:creationId xmlns:a16="http://schemas.microsoft.com/office/drawing/2014/main" id="{61111EF3-D0EF-481F-B3C5-544FB2BCE291}"/>
            </a:ext>
            <a:ext uri="{147F2762-F138-4A5C-976F-8EAC2B608ADB}">
              <a16:predDERef xmlns:a16="http://schemas.microsoft.com/office/drawing/2014/main" pred="{4B40D03C-9441-4FA7-AB70-98D15CA687DB}"/>
            </a:ext>
          </a:extLst>
        </xdr:cNvPr>
        <xdr:cNvSpPr/>
      </xdr:nvSpPr>
      <xdr:spPr>
        <a:xfrm>
          <a:off x="47625" y="6667500"/>
          <a:ext cx="458855" cy="42771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3</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49</xdr:col>
      <xdr:colOff>248292</xdr:colOff>
      <xdr:row>0</xdr:row>
      <xdr:rowOff>23145</xdr:rowOff>
    </xdr:from>
    <xdr:to>
      <xdr:col>49</xdr:col>
      <xdr:colOff>707147</xdr:colOff>
      <xdr:row>2</xdr:row>
      <xdr:rowOff>50100</xdr:rowOff>
    </xdr:to>
    <xdr:sp macro="" textlink="">
      <xdr:nvSpPr>
        <xdr:cNvPr id="2" name="Oval 1">
          <a:extLst>
            <a:ext uri="{FF2B5EF4-FFF2-40B4-BE49-F238E27FC236}">
              <a16:creationId xmlns:a16="http://schemas.microsoft.com/office/drawing/2014/main" id="{EBDF886C-3179-4945-9168-ABD64EFF5501}"/>
            </a:ext>
          </a:extLst>
        </xdr:cNvPr>
        <xdr:cNvSpPr/>
      </xdr:nvSpPr>
      <xdr:spPr>
        <a:xfrm>
          <a:off x="22568899" y="23145"/>
          <a:ext cx="458855" cy="42079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1</a:t>
          </a:r>
        </a:p>
      </xdr:txBody>
    </xdr:sp>
    <xdr:clientData/>
  </xdr:twoCellAnchor>
  <xdr:twoCellAnchor>
    <xdr:from>
      <xdr:col>23</xdr:col>
      <xdr:colOff>42809</xdr:colOff>
      <xdr:row>0</xdr:row>
      <xdr:rowOff>59933</xdr:rowOff>
    </xdr:from>
    <xdr:to>
      <xdr:col>23</xdr:col>
      <xdr:colOff>501664</xdr:colOff>
      <xdr:row>2</xdr:row>
      <xdr:rowOff>90698</xdr:rowOff>
    </xdr:to>
    <xdr:sp macro="" textlink="">
      <xdr:nvSpPr>
        <xdr:cNvPr id="3" name="Oval 2">
          <a:extLst>
            <a:ext uri="{FF2B5EF4-FFF2-40B4-BE49-F238E27FC236}">
              <a16:creationId xmlns:a16="http://schemas.microsoft.com/office/drawing/2014/main" id="{8A34C132-0D84-44FD-B454-51A06D778525}"/>
            </a:ext>
          </a:extLst>
        </xdr:cNvPr>
        <xdr:cNvSpPr/>
      </xdr:nvSpPr>
      <xdr:spPr>
        <a:xfrm>
          <a:off x="13065303" y="59933"/>
          <a:ext cx="458855" cy="4246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2</a:t>
          </a:r>
        </a:p>
      </xdr:txBody>
    </xdr:sp>
    <xdr:clientData/>
  </xdr:twoCellAnchor>
  <xdr:twoCellAnchor>
    <xdr:from>
      <xdr:col>26</xdr:col>
      <xdr:colOff>282539</xdr:colOff>
      <xdr:row>6</xdr:row>
      <xdr:rowOff>145551</xdr:rowOff>
    </xdr:from>
    <xdr:to>
      <xdr:col>26</xdr:col>
      <xdr:colOff>741394</xdr:colOff>
      <xdr:row>7</xdr:row>
      <xdr:rowOff>373238</xdr:rowOff>
    </xdr:to>
    <xdr:sp macro="" textlink="">
      <xdr:nvSpPr>
        <xdr:cNvPr id="4" name="Oval 3">
          <a:extLst>
            <a:ext uri="{FF2B5EF4-FFF2-40B4-BE49-F238E27FC236}">
              <a16:creationId xmlns:a16="http://schemas.microsoft.com/office/drawing/2014/main" id="{719B961A-8894-430E-9E42-14C7FADE621C}"/>
            </a:ext>
          </a:extLst>
        </xdr:cNvPr>
        <xdr:cNvSpPr/>
      </xdr:nvSpPr>
      <xdr:spPr>
        <a:xfrm>
          <a:off x="15548224" y="1327079"/>
          <a:ext cx="458855" cy="4246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282540</xdr:colOff>
      <xdr:row>11</xdr:row>
      <xdr:rowOff>25685</xdr:rowOff>
    </xdr:from>
    <xdr:to>
      <xdr:col>26</xdr:col>
      <xdr:colOff>741395</xdr:colOff>
      <xdr:row>11</xdr:row>
      <xdr:rowOff>452833</xdr:rowOff>
    </xdr:to>
    <xdr:sp macro="" textlink="">
      <xdr:nvSpPr>
        <xdr:cNvPr id="5" name="Oval 4">
          <a:extLst>
            <a:ext uri="{FF2B5EF4-FFF2-40B4-BE49-F238E27FC236}">
              <a16:creationId xmlns:a16="http://schemas.microsoft.com/office/drawing/2014/main" id="{990DB9BF-FA22-4991-9B08-9DAF70C65134}"/>
            </a:ext>
          </a:extLst>
        </xdr:cNvPr>
        <xdr:cNvSpPr/>
      </xdr:nvSpPr>
      <xdr:spPr>
        <a:xfrm>
          <a:off x="15548225" y="2388741"/>
          <a:ext cx="458855" cy="42714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299663</xdr:colOff>
      <xdr:row>23</xdr:row>
      <xdr:rowOff>119865</xdr:rowOff>
    </xdr:from>
    <xdr:to>
      <xdr:col>26</xdr:col>
      <xdr:colOff>758518</xdr:colOff>
      <xdr:row>24</xdr:row>
      <xdr:rowOff>151900</xdr:rowOff>
    </xdr:to>
    <xdr:sp macro="" textlink="">
      <xdr:nvSpPr>
        <xdr:cNvPr id="14" name="Oval 5">
          <a:extLst>
            <a:ext uri="{FF2B5EF4-FFF2-40B4-BE49-F238E27FC236}">
              <a16:creationId xmlns:a16="http://schemas.microsoft.com/office/drawing/2014/main" id="{7D6B780D-41D5-40BA-98CB-95F511DDF179}"/>
            </a:ext>
          </a:extLst>
        </xdr:cNvPr>
        <xdr:cNvSpPr/>
      </xdr:nvSpPr>
      <xdr:spPr>
        <a:xfrm>
          <a:off x="15565348" y="5239820"/>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248292</xdr:colOff>
      <xdr:row>48</xdr:row>
      <xdr:rowOff>59933</xdr:rowOff>
    </xdr:from>
    <xdr:to>
      <xdr:col>26</xdr:col>
      <xdr:colOff>707147</xdr:colOff>
      <xdr:row>48</xdr:row>
      <xdr:rowOff>488351</xdr:rowOff>
    </xdr:to>
    <xdr:sp macro="" textlink="">
      <xdr:nvSpPr>
        <xdr:cNvPr id="9" name="Oval 8">
          <a:extLst>
            <a:ext uri="{FF2B5EF4-FFF2-40B4-BE49-F238E27FC236}">
              <a16:creationId xmlns:a16="http://schemas.microsoft.com/office/drawing/2014/main" id="{C38C5322-D231-4313-9B39-D41E7E4B47F7}"/>
            </a:ext>
            <a:ext uri="{147F2762-F138-4A5C-976F-8EAC2B608ADB}">
              <a16:predDERef xmlns:a16="http://schemas.microsoft.com/office/drawing/2014/main" pred="{7D6B780D-41D5-40BA-98CB-95F511DDF179}"/>
            </a:ext>
          </a:extLst>
        </xdr:cNvPr>
        <xdr:cNvSpPr/>
      </xdr:nvSpPr>
      <xdr:spPr>
        <a:xfrm>
          <a:off x="15513977" y="12551596"/>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10</xdr:col>
      <xdr:colOff>588225</xdr:colOff>
      <xdr:row>1</xdr:row>
      <xdr:rowOff>28226</xdr:rowOff>
    </xdr:from>
    <xdr:to>
      <xdr:col>10</xdr:col>
      <xdr:colOff>1053430</xdr:colOff>
      <xdr:row>3</xdr:row>
      <xdr:rowOff>60261</xdr:rowOff>
    </xdr:to>
    <xdr:sp macro="" textlink="">
      <xdr:nvSpPr>
        <xdr:cNvPr id="10" name="Oval 9">
          <a:extLst>
            <a:ext uri="{FF2B5EF4-FFF2-40B4-BE49-F238E27FC236}">
              <a16:creationId xmlns:a16="http://schemas.microsoft.com/office/drawing/2014/main" id="{0281A1AB-963C-40A3-B2BF-D75AA13D2EDC}"/>
            </a:ext>
          </a:extLst>
        </xdr:cNvPr>
        <xdr:cNvSpPr/>
      </xdr:nvSpPr>
      <xdr:spPr>
        <a:xfrm>
          <a:off x="1247483" y="225147"/>
          <a:ext cx="46520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4</a:t>
          </a:r>
        </a:p>
      </xdr:txBody>
    </xdr:sp>
    <xdr:clientData/>
  </xdr:twoCellAnchor>
  <xdr:twoCellAnchor>
    <xdr:from>
      <xdr:col>26</xdr:col>
      <xdr:colOff>304800</xdr:colOff>
      <xdr:row>26</xdr:row>
      <xdr:rowOff>57150</xdr:rowOff>
    </xdr:from>
    <xdr:to>
      <xdr:col>26</xdr:col>
      <xdr:colOff>763655</xdr:colOff>
      <xdr:row>26</xdr:row>
      <xdr:rowOff>517810</xdr:rowOff>
    </xdr:to>
    <xdr:sp macro="" textlink="">
      <xdr:nvSpPr>
        <xdr:cNvPr id="11" name="Oval 10">
          <a:extLst>
            <a:ext uri="{FF2B5EF4-FFF2-40B4-BE49-F238E27FC236}">
              <a16:creationId xmlns:a16="http://schemas.microsoft.com/office/drawing/2014/main" id="{22CFB6F6-00BB-479E-918D-A32C0BD4E2C7}"/>
            </a:ext>
            <a:ext uri="{147F2762-F138-4A5C-976F-8EAC2B608ADB}">
              <a16:predDERef xmlns:a16="http://schemas.microsoft.com/office/drawing/2014/main" pred="{0281A1AB-963C-40A3-B2BF-D75AA13D2EDC}"/>
            </a:ext>
          </a:extLst>
        </xdr:cNvPr>
        <xdr:cNvSpPr/>
      </xdr:nvSpPr>
      <xdr:spPr>
        <a:xfrm>
          <a:off x="15630525" y="6391275"/>
          <a:ext cx="458855" cy="460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3</a:t>
          </a:r>
        </a:p>
      </xdr:txBody>
    </xdr:sp>
    <xdr:clientData/>
  </xdr:twoCellAnchor>
  <xdr:twoCellAnchor>
    <xdr:from>
      <xdr:col>26</xdr:col>
      <xdr:colOff>304800</xdr:colOff>
      <xdr:row>29</xdr:row>
      <xdr:rowOff>66675</xdr:rowOff>
    </xdr:from>
    <xdr:to>
      <xdr:col>26</xdr:col>
      <xdr:colOff>763655</xdr:colOff>
      <xdr:row>29</xdr:row>
      <xdr:rowOff>527335</xdr:rowOff>
    </xdr:to>
    <xdr:sp macro="" textlink="">
      <xdr:nvSpPr>
        <xdr:cNvPr id="12" name="Oval 11">
          <a:extLst>
            <a:ext uri="{FF2B5EF4-FFF2-40B4-BE49-F238E27FC236}">
              <a16:creationId xmlns:a16="http://schemas.microsoft.com/office/drawing/2014/main" id="{AC4081B4-35F8-4A04-A2BA-0F40CE021ED6}"/>
            </a:ext>
            <a:ext uri="{147F2762-F138-4A5C-976F-8EAC2B608ADB}">
              <a16:predDERef xmlns:a16="http://schemas.microsoft.com/office/drawing/2014/main" pred="{22CFB6F6-00BB-479E-918D-A32C0BD4E2C7}"/>
            </a:ext>
          </a:extLst>
        </xdr:cNvPr>
        <xdr:cNvSpPr/>
      </xdr:nvSpPr>
      <xdr:spPr>
        <a:xfrm>
          <a:off x="15630525" y="7448550"/>
          <a:ext cx="458855" cy="460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3</a:t>
          </a:r>
        </a:p>
      </xdr:txBody>
    </xdr:sp>
    <xdr:clientData/>
  </xdr:twoCellAnchor>
  <xdr:twoCellAnchor>
    <xdr:from>
      <xdr:col>26</xdr:col>
      <xdr:colOff>285750</xdr:colOff>
      <xdr:row>41</xdr:row>
      <xdr:rowOff>771525</xdr:rowOff>
    </xdr:from>
    <xdr:to>
      <xdr:col>26</xdr:col>
      <xdr:colOff>744605</xdr:colOff>
      <xdr:row>41</xdr:row>
      <xdr:rowOff>1232185</xdr:rowOff>
    </xdr:to>
    <xdr:sp macro="" textlink="">
      <xdr:nvSpPr>
        <xdr:cNvPr id="13" name="Oval 12">
          <a:extLst>
            <a:ext uri="{FF2B5EF4-FFF2-40B4-BE49-F238E27FC236}">
              <a16:creationId xmlns:a16="http://schemas.microsoft.com/office/drawing/2014/main" id="{7AFE77BF-DE07-4D71-8126-F160ECBE23BB}"/>
            </a:ext>
            <a:ext uri="{147F2762-F138-4A5C-976F-8EAC2B608ADB}">
              <a16:predDERef xmlns:a16="http://schemas.microsoft.com/office/drawing/2014/main" pred="{AC4081B4-35F8-4A04-A2BA-0F40CE021ED6}"/>
            </a:ext>
          </a:extLst>
        </xdr:cNvPr>
        <xdr:cNvSpPr/>
      </xdr:nvSpPr>
      <xdr:spPr>
        <a:xfrm>
          <a:off x="15611475" y="11249025"/>
          <a:ext cx="458855" cy="4606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3</a:t>
          </a:r>
        </a:p>
      </xdr:txBody>
    </xdr:sp>
    <xdr:clientData/>
  </xdr:twoCellAnchor>
  <xdr:twoCellAnchor>
    <xdr:from>
      <xdr:col>20</xdr:col>
      <xdr:colOff>219075</xdr:colOff>
      <xdr:row>16</xdr:row>
      <xdr:rowOff>133350</xdr:rowOff>
    </xdr:from>
    <xdr:to>
      <xdr:col>20</xdr:col>
      <xdr:colOff>677930</xdr:colOff>
      <xdr:row>18</xdr:row>
      <xdr:rowOff>160305</xdr:rowOff>
    </xdr:to>
    <xdr:sp macro="" textlink="">
      <xdr:nvSpPr>
        <xdr:cNvPr id="15" name="Oval 14">
          <a:extLst>
            <a:ext uri="{FF2B5EF4-FFF2-40B4-BE49-F238E27FC236}">
              <a16:creationId xmlns:a16="http://schemas.microsoft.com/office/drawing/2014/main" id="{574019F2-552F-46CE-A267-CC947BDBB63B}"/>
            </a:ext>
            <a:ext uri="{147F2762-F138-4A5C-976F-8EAC2B608ADB}">
              <a16:predDERef xmlns:a16="http://schemas.microsoft.com/office/drawing/2014/main" pred="{7AFE77BF-DE07-4D71-8126-F160ECBE23BB}"/>
            </a:ext>
          </a:extLst>
        </xdr:cNvPr>
        <xdr:cNvSpPr/>
      </xdr:nvSpPr>
      <xdr:spPr>
        <a:xfrm>
          <a:off x="11430000" y="4010025"/>
          <a:ext cx="458855" cy="42700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2800"/>
            <a:t>1</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282540</xdr:colOff>
      <xdr:row>4</xdr:row>
      <xdr:rowOff>68494</xdr:rowOff>
    </xdr:from>
    <xdr:to>
      <xdr:col>26</xdr:col>
      <xdr:colOff>741395</xdr:colOff>
      <xdr:row>4</xdr:row>
      <xdr:rowOff>494372</xdr:rowOff>
    </xdr:to>
    <xdr:sp macro="" textlink="">
      <xdr:nvSpPr>
        <xdr:cNvPr id="2" name="Oval 1">
          <a:extLst>
            <a:ext uri="{FF2B5EF4-FFF2-40B4-BE49-F238E27FC236}">
              <a16:creationId xmlns:a16="http://schemas.microsoft.com/office/drawing/2014/main" id="{41746647-D8D4-42A2-96B9-1542C3F1E288}"/>
            </a:ext>
          </a:extLst>
        </xdr:cNvPr>
        <xdr:cNvSpPr/>
      </xdr:nvSpPr>
      <xdr:spPr>
        <a:xfrm>
          <a:off x="15342742" y="856179"/>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248292</xdr:colOff>
      <xdr:row>26</xdr:row>
      <xdr:rowOff>248292</xdr:rowOff>
    </xdr:from>
    <xdr:to>
      <xdr:col>26</xdr:col>
      <xdr:colOff>707147</xdr:colOff>
      <xdr:row>26</xdr:row>
      <xdr:rowOff>676710</xdr:rowOff>
    </xdr:to>
    <xdr:sp macro="" textlink="">
      <xdr:nvSpPr>
        <xdr:cNvPr id="3" name="Oval 2">
          <a:extLst>
            <a:ext uri="{FF2B5EF4-FFF2-40B4-BE49-F238E27FC236}">
              <a16:creationId xmlns:a16="http://schemas.microsoft.com/office/drawing/2014/main" id="{A0F766BE-3491-42E2-955C-753DEE9EEE47}"/>
            </a:ext>
          </a:extLst>
        </xdr:cNvPr>
        <xdr:cNvSpPr/>
      </xdr:nvSpPr>
      <xdr:spPr>
        <a:xfrm>
          <a:off x="15308494" y="5762090"/>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273977</xdr:colOff>
      <xdr:row>27</xdr:row>
      <xdr:rowOff>154113</xdr:rowOff>
    </xdr:from>
    <xdr:to>
      <xdr:col>26</xdr:col>
      <xdr:colOff>732832</xdr:colOff>
      <xdr:row>29</xdr:row>
      <xdr:rowOff>177586</xdr:rowOff>
    </xdr:to>
    <xdr:sp macro="" textlink="">
      <xdr:nvSpPr>
        <xdr:cNvPr id="4" name="Oval 3">
          <a:extLst>
            <a:ext uri="{FF2B5EF4-FFF2-40B4-BE49-F238E27FC236}">
              <a16:creationId xmlns:a16="http://schemas.microsoft.com/office/drawing/2014/main" id="{ED389D74-EC10-4CC2-8015-F292CBB50F4F}"/>
            </a:ext>
          </a:extLst>
        </xdr:cNvPr>
        <xdr:cNvSpPr/>
      </xdr:nvSpPr>
      <xdr:spPr>
        <a:xfrm>
          <a:off x="15334179" y="6652517"/>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49</xdr:col>
      <xdr:colOff>248292</xdr:colOff>
      <xdr:row>0</xdr:row>
      <xdr:rowOff>8562</xdr:rowOff>
    </xdr:from>
    <xdr:to>
      <xdr:col>49</xdr:col>
      <xdr:colOff>707147</xdr:colOff>
      <xdr:row>2</xdr:row>
      <xdr:rowOff>40597</xdr:rowOff>
    </xdr:to>
    <xdr:sp macro="" textlink="">
      <xdr:nvSpPr>
        <xdr:cNvPr id="5" name="Oval 4">
          <a:extLst>
            <a:ext uri="{FF2B5EF4-FFF2-40B4-BE49-F238E27FC236}">
              <a16:creationId xmlns:a16="http://schemas.microsoft.com/office/drawing/2014/main" id="{CB4B39D3-C889-4EEE-8CF3-93EFC2EAC0A2}"/>
            </a:ext>
          </a:extLst>
        </xdr:cNvPr>
        <xdr:cNvSpPr/>
      </xdr:nvSpPr>
      <xdr:spPr>
        <a:xfrm>
          <a:off x="21883955" y="8562"/>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1</a:t>
          </a:r>
        </a:p>
      </xdr:txBody>
    </xdr:sp>
    <xdr:clientData/>
  </xdr:twoCellAnchor>
  <xdr:twoCellAnchor>
    <xdr:from>
      <xdr:col>23</xdr:col>
      <xdr:colOff>34247</xdr:colOff>
      <xdr:row>0</xdr:row>
      <xdr:rowOff>188359</xdr:rowOff>
    </xdr:from>
    <xdr:to>
      <xdr:col>23</xdr:col>
      <xdr:colOff>493102</xdr:colOff>
      <xdr:row>3</xdr:row>
      <xdr:rowOff>23473</xdr:rowOff>
    </xdr:to>
    <xdr:sp macro="" textlink="">
      <xdr:nvSpPr>
        <xdr:cNvPr id="7" name="Oval 6">
          <a:extLst>
            <a:ext uri="{FF2B5EF4-FFF2-40B4-BE49-F238E27FC236}">
              <a16:creationId xmlns:a16="http://schemas.microsoft.com/office/drawing/2014/main" id="{A788A7CF-E844-4AA8-8FA4-12F071887880}"/>
            </a:ext>
          </a:extLst>
        </xdr:cNvPr>
        <xdr:cNvSpPr/>
      </xdr:nvSpPr>
      <xdr:spPr>
        <a:xfrm>
          <a:off x="12894067" y="188359"/>
          <a:ext cx="458855" cy="42587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2</a:t>
          </a:r>
        </a:p>
      </xdr:txBody>
    </xdr:sp>
    <xdr:clientData/>
  </xdr:twoCellAnchor>
  <xdr:twoCellAnchor>
    <xdr:from>
      <xdr:col>10</xdr:col>
      <xdr:colOff>638325</xdr:colOff>
      <xdr:row>1</xdr:row>
      <xdr:rowOff>32977</xdr:rowOff>
    </xdr:from>
    <xdr:to>
      <xdr:col>10</xdr:col>
      <xdr:colOff>1102260</xdr:colOff>
      <xdr:row>3</xdr:row>
      <xdr:rowOff>71362</xdr:rowOff>
    </xdr:to>
    <xdr:sp macro="" textlink="">
      <xdr:nvSpPr>
        <xdr:cNvPr id="8" name="Oval 7">
          <a:extLst>
            <a:ext uri="{FF2B5EF4-FFF2-40B4-BE49-F238E27FC236}">
              <a16:creationId xmlns:a16="http://schemas.microsoft.com/office/drawing/2014/main" id="{EBA13172-39F8-4B78-BCA7-B8AB3DC5E0A0}"/>
            </a:ext>
          </a:extLst>
        </xdr:cNvPr>
        <xdr:cNvSpPr/>
      </xdr:nvSpPr>
      <xdr:spPr>
        <a:xfrm>
          <a:off x="1297583" y="229898"/>
          <a:ext cx="463935" cy="43222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4</a:t>
          </a:r>
        </a:p>
      </xdr:txBody>
    </xdr:sp>
    <xdr:clientData/>
  </xdr:twoCellAnchor>
  <xdr:twoCellAnchor>
    <xdr:from>
      <xdr:col>26</xdr:col>
      <xdr:colOff>325348</xdr:colOff>
      <xdr:row>56</xdr:row>
      <xdr:rowOff>85618</xdr:rowOff>
    </xdr:from>
    <xdr:to>
      <xdr:col>26</xdr:col>
      <xdr:colOff>784203</xdr:colOff>
      <xdr:row>56</xdr:row>
      <xdr:rowOff>514036</xdr:rowOff>
    </xdr:to>
    <xdr:sp macro="" textlink="">
      <xdr:nvSpPr>
        <xdr:cNvPr id="9" name="Oval 8">
          <a:extLst>
            <a:ext uri="{FF2B5EF4-FFF2-40B4-BE49-F238E27FC236}">
              <a16:creationId xmlns:a16="http://schemas.microsoft.com/office/drawing/2014/main" id="{CEBD9A95-013B-49D4-89E2-158E6027FC6E}"/>
            </a:ext>
          </a:extLst>
        </xdr:cNvPr>
        <xdr:cNvSpPr/>
      </xdr:nvSpPr>
      <xdr:spPr>
        <a:xfrm>
          <a:off x="15385550" y="14084157"/>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618490</xdr:colOff>
      <xdr:row>1</xdr:row>
      <xdr:rowOff>78740</xdr:rowOff>
    </xdr:from>
    <xdr:to>
      <xdr:col>10</xdr:col>
      <xdr:colOff>1078615</xdr:colOff>
      <xdr:row>3</xdr:row>
      <xdr:rowOff>107108</xdr:rowOff>
    </xdr:to>
    <xdr:sp macro="" textlink="">
      <xdr:nvSpPr>
        <xdr:cNvPr id="2" name="Oval 1">
          <a:extLst>
            <a:ext uri="{FF2B5EF4-FFF2-40B4-BE49-F238E27FC236}">
              <a16:creationId xmlns:a16="http://schemas.microsoft.com/office/drawing/2014/main" id="{A988D699-31B0-4869-9304-6ABA3BAE6B1E}"/>
            </a:ext>
          </a:extLst>
        </xdr:cNvPr>
        <xdr:cNvSpPr/>
      </xdr:nvSpPr>
      <xdr:spPr>
        <a:xfrm>
          <a:off x="1278890" y="281940"/>
          <a:ext cx="460125" cy="43476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4</a:t>
          </a:r>
        </a:p>
      </xdr:txBody>
    </xdr:sp>
    <xdr:clientData/>
  </xdr:twoCellAnchor>
  <xdr:twoCellAnchor>
    <xdr:from>
      <xdr:col>23</xdr:col>
      <xdr:colOff>40640</xdr:colOff>
      <xdr:row>0</xdr:row>
      <xdr:rowOff>193040</xdr:rowOff>
    </xdr:from>
    <xdr:to>
      <xdr:col>23</xdr:col>
      <xdr:colOff>499495</xdr:colOff>
      <xdr:row>3</xdr:row>
      <xdr:rowOff>14398</xdr:rowOff>
    </xdr:to>
    <xdr:sp macro="" textlink="">
      <xdr:nvSpPr>
        <xdr:cNvPr id="3" name="Oval 2">
          <a:extLst>
            <a:ext uri="{FF2B5EF4-FFF2-40B4-BE49-F238E27FC236}">
              <a16:creationId xmlns:a16="http://schemas.microsoft.com/office/drawing/2014/main" id="{C13C9C94-A42A-4F87-B59E-1A760AB2D27E}"/>
            </a:ext>
          </a:extLst>
        </xdr:cNvPr>
        <xdr:cNvSpPr/>
      </xdr:nvSpPr>
      <xdr:spPr>
        <a:xfrm>
          <a:off x="12923520" y="193040"/>
          <a:ext cx="458855" cy="4309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2</a:t>
          </a:r>
        </a:p>
      </xdr:txBody>
    </xdr:sp>
    <xdr:clientData/>
  </xdr:twoCellAnchor>
  <xdr:twoCellAnchor>
    <xdr:from>
      <xdr:col>26</xdr:col>
      <xdr:colOff>314960</xdr:colOff>
      <xdr:row>4</xdr:row>
      <xdr:rowOff>172720</xdr:rowOff>
    </xdr:from>
    <xdr:to>
      <xdr:col>26</xdr:col>
      <xdr:colOff>773815</xdr:colOff>
      <xdr:row>4</xdr:row>
      <xdr:rowOff>601138</xdr:rowOff>
    </xdr:to>
    <xdr:sp macro="" textlink="">
      <xdr:nvSpPr>
        <xdr:cNvPr id="4" name="Oval 3">
          <a:extLst>
            <a:ext uri="{FF2B5EF4-FFF2-40B4-BE49-F238E27FC236}">
              <a16:creationId xmlns:a16="http://schemas.microsoft.com/office/drawing/2014/main" id="{47D3D542-59B3-46C3-9060-E59AC085AEA3}"/>
            </a:ext>
          </a:extLst>
        </xdr:cNvPr>
        <xdr:cNvSpPr/>
      </xdr:nvSpPr>
      <xdr:spPr>
        <a:xfrm>
          <a:off x="15372080" y="985520"/>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300990</xdr:colOff>
      <xdr:row>5</xdr:row>
      <xdr:rowOff>124460</xdr:rowOff>
    </xdr:from>
    <xdr:to>
      <xdr:col>26</xdr:col>
      <xdr:colOff>759845</xdr:colOff>
      <xdr:row>5</xdr:row>
      <xdr:rowOff>549068</xdr:rowOff>
    </xdr:to>
    <xdr:sp macro="" textlink="">
      <xdr:nvSpPr>
        <xdr:cNvPr id="5" name="Oval 4">
          <a:extLst>
            <a:ext uri="{FF2B5EF4-FFF2-40B4-BE49-F238E27FC236}">
              <a16:creationId xmlns:a16="http://schemas.microsoft.com/office/drawing/2014/main" id="{6B65713C-EEA3-4D76-A9F4-7EC42BD157AC}"/>
            </a:ext>
          </a:extLst>
        </xdr:cNvPr>
        <xdr:cNvSpPr/>
      </xdr:nvSpPr>
      <xdr:spPr>
        <a:xfrm>
          <a:off x="15358110" y="1719580"/>
          <a:ext cx="458855" cy="42460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288290</xdr:colOff>
      <xdr:row>12</xdr:row>
      <xdr:rowOff>212090</xdr:rowOff>
    </xdr:from>
    <xdr:to>
      <xdr:col>26</xdr:col>
      <xdr:colOff>747145</xdr:colOff>
      <xdr:row>12</xdr:row>
      <xdr:rowOff>643048</xdr:rowOff>
    </xdr:to>
    <xdr:sp macro="" textlink="">
      <xdr:nvSpPr>
        <xdr:cNvPr id="6" name="Oval 5">
          <a:extLst>
            <a:ext uri="{FF2B5EF4-FFF2-40B4-BE49-F238E27FC236}">
              <a16:creationId xmlns:a16="http://schemas.microsoft.com/office/drawing/2014/main" id="{362242A2-A915-4C60-AD00-103E021F35C0}"/>
            </a:ext>
          </a:extLst>
        </xdr:cNvPr>
        <xdr:cNvSpPr/>
      </xdr:nvSpPr>
      <xdr:spPr>
        <a:xfrm>
          <a:off x="15345410" y="3625850"/>
          <a:ext cx="458855" cy="4309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314960</xdr:colOff>
      <xdr:row>19</xdr:row>
      <xdr:rowOff>224790</xdr:rowOff>
    </xdr:from>
    <xdr:to>
      <xdr:col>26</xdr:col>
      <xdr:colOff>775085</xdr:colOff>
      <xdr:row>19</xdr:row>
      <xdr:rowOff>654478</xdr:rowOff>
    </xdr:to>
    <xdr:sp macro="" textlink="">
      <xdr:nvSpPr>
        <xdr:cNvPr id="7" name="Oval 6">
          <a:extLst>
            <a:ext uri="{FF2B5EF4-FFF2-40B4-BE49-F238E27FC236}">
              <a16:creationId xmlns:a16="http://schemas.microsoft.com/office/drawing/2014/main" id="{0B61AC07-B0B7-4681-B040-C10F49ECC626}"/>
            </a:ext>
          </a:extLst>
        </xdr:cNvPr>
        <xdr:cNvSpPr/>
      </xdr:nvSpPr>
      <xdr:spPr>
        <a:xfrm>
          <a:off x="15372080" y="5640070"/>
          <a:ext cx="460125" cy="42968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26</xdr:col>
      <xdr:colOff>304800</xdr:colOff>
      <xdr:row>47</xdr:row>
      <xdr:rowOff>81280</xdr:rowOff>
    </xdr:from>
    <xdr:to>
      <xdr:col>26</xdr:col>
      <xdr:colOff>763655</xdr:colOff>
      <xdr:row>47</xdr:row>
      <xdr:rowOff>509698</xdr:rowOff>
    </xdr:to>
    <xdr:sp macro="" textlink="">
      <xdr:nvSpPr>
        <xdr:cNvPr id="8" name="Oval 7">
          <a:extLst>
            <a:ext uri="{FF2B5EF4-FFF2-40B4-BE49-F238E27FC236}">
              <a16:creationId xmlns:a16="http://schemas.microsoft.com/office/drawing/2014/main" id="{6834E1BD-9FDE-4BD1-AB03-6500EADECF00}"/>
            </a:ext>
          </a:extLst>
        </xdr:cNvPr>
        <xdr:cNvSpPr/>
      </xdr:nvSpPr>
      <xdr:spPr>
        <a:xfrm>
          <a:off x="15361920" y="13512800"/>
          <a:ext cx="458855" cy="42841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3</a:t>
          </a:r>
        </a:p>
      </xdr:txBody>
    </xdr:sp>
    <xdr:clientData/>
  </xdr:twoCellAnchor>
  <xdr:twoCellAnchor>
    <xdr:from>
      <xdr:col>49</xdr:col>
      <xdr:colOff>254000</xdr:colOff>
      <xdr:row>0</xdr:row>
      <xdr:rowOff>10160</xdr:rowOff>
    </xdr:from>
    <xdr:to>
      <xdr:col>49</xdr:col>
      <xdr:colOff>712855</xdr:colOff>
      <xdr:row>2</xdr:row>
      <xdr:rowOff>34718</xdr:rowOff>
    </xdr:to>
    <xdr:sp macro="" textlink="">
      <xdr:nvSpPr>
        <xdr:cNvPr id="9" name="Oval 8">
          <a:extLst>
            <a:ext uri="{FF2B5EF4-FFF2-40B4-BE49-F238E27FC236}">
              <a16:creationId xmlns:a16="http://schemas.microsoft.com/office/drawing/2014/main" id="{0B7D054C-240C-4136-8EC8-76B316A0CB0B}"/>
            </a:ext>
          </a:extLst>
        </xdr:cNvPr>
        <xdr:cNvSpPr/>
      </xdr:nvSpPr>
      <xdr:spPr>
        <a:xfrm>
          <a:off x="21112480" y="10160"/>
          <a:ext cx="458855" cy="43095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1</a:t>
          </a:r>
        </a:p>
      </xdr:txBody>
    </xdr:sp>
    <xdr:clientData/>
  </xdr:twoCellAnchor>
</xdr:wsDr>
</file>

<file path=xl/persons/person.xml><?xml version="1.0" encoding="utf-8"?>
<personList xmlns="http://schemas.microsoft.com/office/spreadsheetml/2018/threadedcomments" xmlns:x="http://schemas.openxmlformats.org/spreadsheetml/2006/main">
  <person displayName="Microsoft Office User" id="{57A89422-6788-4CC1-9940-6A978DDC4554}" userId="Microsoft Office User" providerId="None"/>
  <person displayName="Lake, Aidan R" id="{0D594C3D-1B88-465A-BF46-E1EE7A1F9292}" userId="S::arl5600@psu.edu::4902bd72-4fa4-4137-9adf-588ef34e5dc7" providerId="AD"/>
  <person displayName="Guest User" id="{D630AB88-4102-47D9-B603-C15C983624ED}" userId="S::urn:spo:anon#eeab74d00163ac82c740d0c6984b0e2e41cb77e2a91616d62771129d25f6c743::"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00EEE1-5F55-1B4B-82CE-7A7B30E031B2}" name="Table1" displayName="Table1" ref="A3:E4" totalsRowShown="0">
  <autoFilter ref="A3:E4" xr:uid="{A3870C1D-7640-3C45-A70C-35A6C29C8F27}"/>
  <tableColumns count="5">
    <tableColumn id="1" xr3:uid="{9858D3EC-86CC-294E-BD5C-2A1201FAD72B}" name="Version"/>
    <tableColumn id="2" xr3:uid="{8AD7ACEF-7446-B048-A9DF-E8A64A8D31A5}" name="Changes"/>
    <tableColumn id="3" xr3:uid="{39878991-7628-2A48-8327-6E9798D14A1B}" name="Implementor"/>
    <tableColumn id="4" xr3:uid="{C5C0D063-D2D2-4F48-9CBA-2291F081A8F5}" name="Date"/>
    <tableColumn id="5" xr3:uid="{8401C122-29DE-7A4B-96A9-299C0D4797E9}"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1" dT="2020-08-18T16:40:22.02" personId="{D630AB88-4102-47D9-B603-C15C983624ED}" id="{B4303EAC-1C79-4CA4-BC32-3EA7F8169E2F}">
    <text>Enter your grades here. Note that a blank space is counted as an F</text>
  </threadedComment>
  <threadedComment ref="L1" personId="{57A89422-6788-4CC1-9940-6A978DDC4554}" id="{D18A5508-F628-4ABE-9A43-0AD7C4A2F39C}">
    <text>Enter Courses Here</text>
  </threadedComment>
  <threadedComment ref="R2" dT="2020-08-18T17:24:21.38" personId="{D630AB88-4102-47D9-B603-C15C983624ED}" id="{6BF2099B-CB67-47B8-A186-4B028B8720C2}">
    <text>Smeal students have the toughest time getting into their major, which needs to be done in order to take RM 410. Be sure to stay on track so you can enter your major and take RM 410 in your fourth major. See "ETM Requirement" below, to make sure you are on track</text>
  </threadedComment>
  <threadedComment ref="AY3" personId="{57A89422-6788-4CC1-9940-6A978DDC4554}" id="{C879845F-326C-482F-B3D7-CAEDBCA68B42}">
    <text xml:space="preserve">complete all codes
</text>
  </threadedComment>
  <threadedComment ref="AC4" dT="2020-08-18T14:55:17.77" personId="{D630AB88-4102-47D9-B603-C15C983624ED}" id="{AA59B114-49F1-464E-B1B3-A0234185DDF3}">
    <text>Socially Responsible, Sustainable and Ethical Business Practice</text>
  </threadedComment>
  <threadedComment ref="AC5" dT="2020-08-18T14:55:38.38" personId="{D630AB88-4102-47D9-B603-C15C983624ED}" id="{EF30BDAB-4952-4AA8-B144-582D1C79F9C8}">
    <text>Analyzing Business and Industry</text>
  </threadedComment>
  <threadedComment ref="AC7" dT="2020-08-18T14:58:53.40" personId="{D630AB88-4102-47D9-B603-C15C983624ED}" id="{972B487A-6BCD-46FA-95BF-57520023287C}">
    <text>Effective Speech (Speech Writing)</text>
  </threadedComment>
  <threadedComment ref="AC9" dT="2020-08-18T14:59:19.66" personId="{D630AB88-4102-47D9-B603-C15C983624ED}" id="{64AF2648-AA31-48AF-BB30-27EB0FE6493D}">
    <text>Writing for Business</text>
  </threadedComment>
  <threadedComment ref="AC10" dT="2020-08-18T14:59:34.67" personId="{D630AB88-4102-47D9-B603-C15C983624ED}" id="{6753168A-C03E-4A2A-BE4A-CDB19E26D240}">
    <text>Calculus 1</text>
  </threadedComment>
  <threadedComment ref="AC11" dT="2020-08-18T14:59:43.64" personId="{D630AB88-4102-47D9-B603-C15C983624ED}" id="{082E5106-DFC4-4C6E-A9C6-617BFA9B2898}">
    <text>Calculus 2</text>
  </threadedComment>
  <threadedComment ref="AC12" dT="2020-08-18T15:00:02.33" personId="{D630AB88-4102-47D9-B603-C15C983624ED}" id="{7B5295C7-3A7C-42BF-B807-87717B7BE571}">
    <text>Math 230 is Calc 1. Math 231 is the first half of Math 230</text>
  </threadedComment>
  <threadedComment ref="AC14" dT="2020-08-18T15:00:27.57" personId="{D630AB88-4102-47D9-B603-C15C983624ED}" id="{55E99628-F88D-4B99-82FB-FE5E8DC697EE}">
    <text>Intro to Excel</text>
  </threadedComment>
  <threadedComment ref="AC16" dT="2020-08-18T15:00:36.28" personId="{D630AB88-4102-47D9-B603-C15C983624ED}" id="{07D3D79A-D7E1-4029-9CDB-8E996B8BF440}">
    <text>First Year Seminar</text>
  </threadedComment>
  <threadedComment ref="AC17" dT="2020-08-18T15:01:39.18" personId="{D630AB88-4102-47D9-B603-C15C983624ED}" id="{83A7C4A5-7D1D-4E61-A04F-C0BD1A29AB8E}">
    <text>For Exam P
Student Tips: Doing well in this class is a good indicator that actuarial science is the right major for you!</text>
  </threadedComment>
  <threadedComment ref="AC19" dT="2020-08-18T15:02:00.27" personId="{D630AB88-4102-47D9-B603-C15C983624ED}" id="{A0E4FE39-E5E4-4EED-AE37-635531BF3274}">
    <text>Risk Management and Insurance</text>
  </threadedComment>
  <threadedComment ref="AC20" dT="2020-08-18T15:02:15.31" personId="{D630AB88-4102-47D9-B603-C15C983624ED}" id="{23484DF5-9B2D-40A7-9409-7F5812D14B3B}">
    <text>For Exam FM</text>
  </threadedComment>
  <threadedComment ref="R21" dT="2020-08-18T18:09:14.55" personId="{D630AB88-4102-47D9-B603-C15C983624ED}" id="{CB7DECAC-4E6D-480F-AF27-EE53C07B6841}">
    <text>These are quantification courses
Most students will get this covered by their major requirements</text>
  </threadedComment>
  <threadedComment ref="R22" dT="2020-08-18T18:09:24.85" personId="{D630AB88-4102-47D9-B603-C15C983624ED}" id="{848D8461-344C-45F0-9401-5349EE602F9B}">
    <text>These are courses in writing
Most students will get this covered by their major requirements</text>
  </threadedComment>
  <threadedComment ref="AC22" dT="2020-08-18T15:02:34.81" personId="{D630AB88-4102-47D9-B603-C15C983624ED}" id="{73DC476C-7487-4CD7-A5E4-66459D5E4D97}">
    <text>First half of the material for LTAM</text>
  </threadedComment>
  <threadedComment ref="R23" dT="2020-08-18T18:09:36.76" personId="{D630AB88-4102-47D9-B603-C15C983624ED}" id="{196B74FE-586A-4EC5-A117-9DBF93E3E4D4}">
    <text>These are courses in the arts
Courses students have enjoyed in the past:
ART 51 (Piano)
ART 54 (Guitar)</text>
  </threadedComment>
  <threadedComment ref="AC23" dT="2020-08-18T15:02:50.14" personId="{D630AB88-4102-47D9-B603-C15C983624ED}" id="{AB491551-93CB-4A71-8C10-FFE80550CEB5}">
    <text>Second Half of the material for LTAM</text>
  </threadedComment>
  <threadedComment ref="R24" dT="2020-08-18T18:09:46.32" personId="{D630AB88-4102-47D9-B603-C15C983624ED}" id="{14290BD7-6D3F-4485-840D-F079D4D53BFA}">
    <text>These are physical activity classes
Courses students have enjoyed in the past:
KINES 29B (Total Golf)</text>
  </threadedComment>
  <threadedComment ref="AC24" dT="2020-08-18T15:03:27.36" personId="{D630AB88-4102-47D9-B603-C15C983624ED}" id="{A1D83BAC-E285-434F-9AC0-0FB229FE2EA3}">
    <text>For Exam IFM
Students Tips: In the fall, this class ends after Thanksgiving break!</text>
  </threadedComment>
  <threadedComment ref="R25" dT="2020-08-18T18:09:56.01" personId="{D630AB88-4102-47D9-B603-C15C983624ED}" id="{0CACC8CA-B6BC-42D8-B48B-BE1C32BE7460}">
    <text>These are courses in the humanities
Courses students have enjoyed in the past:
CAS 214W (Speech Writing)</text>
  </threadedComment>
  <threadedComment ref="AC25" dT="2020-08-18T15:05:35.64" personId="{D630AB88-4102-47D9-B603-C15C983624ED}" id="{1BAD68C3-5B8B-4FF3-9202-0323E8647EC2}">
    <text>RM 420: For exams STAM and MAS-II
RM 401: Class on pensions
Student tips: RM 401 has traditionally been more popular because it's easier, but take RM 420 to pass another exam senior year!</text>
  </threadedComment>
  <threadedComment ref="R26" dT="2020-08-18T18:10:04.74" personId="{D630AB88-4102-47D9-B603-C15C983624ED}" id="{1AE7D227-4EB5-4C49-9FCB-1C16F78089CD}">
    <text>Theses are courses in the social and behavioral sciences
Most students will get this covered by their major requirements</text>
  </threadedComment>
  <threadedComment ref="AC26" dT="2020-08-18T15:06:27.32" personId="{D630AB88-4102-47D9-B603-C15C983624ED}" id="{0C77FF81-0A89-4D47-8EB5-998F233A1FCD}">
    <text>Life and Health Insurance</text>
  </threadedComment>
  <threadedComment ref="R27" dT="2020-08-18T18:10:19.95" personId="{D630AB88-4102-47D9-B603-C15C983624ED}" id="{B2AF13C8-7CEF-4791-890E-908E1066FDCA}">
    <text>These are courses in the natural sciences
Courses students have enjoyed in the past:
ASTRO 10
EGEE 101</text>
  </threadedComment>
  <threadedComment ref="AC28" dT="2020-08-18T15:06:53.02" personId="{D630AB88-4102-47D9-B603-C15C983624ED}" id="{1A355255-1694-4881-8CC8-4E009DAEE70F}">
    <text>Intro to Probability
Student Tips: Take this with RM 214  to pass P!</text>
  </threadedComment>
  <threadedComment ref="AC34" dT="2020-08-18T15:07:31.96" personId="{D630AB88-4102-47D9-B603-C15C983624ED}" id="{E3885550-252D-4750-9F0F-8AB226176F38}">
    <text>Student Tips: If you enjoy these courses, or got AP credit for them, consider an econ minor!</text>
  </threadedComment>
  <threadedComment ref="R36" dT="2020-08-18T16:41:05.04" personId="{D630AB88-4102-47D9-B603-C15C983624ED}" id="{7A11C68B-27F1-4A12-AC17-9D632D1393CD}">
    <text>Probability
Cost: $250
Club Passing Reimbursement: $100
Offered: Bi-Monthly (Starting in January)</text>
  </threadedComment>
  <threadedComment ref="R37" dT="2020-08-18T16:41:11.88" personId="{D630AB88-4102-47D9-B603-C15C983624ED}" id="{D858C4EE-5CF5-482F-B398-60ED7C60ADA5}">
    <text>Financial Mathematics
Cost: $250
Passing Club Reimbursement: $100
Offered: Bi-Monthly (Starting in February)</text>
  </threadedComment>
  <threadedComment ref="R38" dT="2020-08-18T16:41:20.72" personId="{D630AB88-4102-47D9-B603-C15C983624ED}" id="{B22154B6-0112-4C95-9A8A-47D3A80EDDE6}">
    <text>Investments &amp; Financial Markets
Cost: $350
Passing Club Reimbursement: $200
Offered: March, July, November</text>
  </threadedComment>
  <threadedComment ref="R39" dT="2020-08-18T16:41:30.63" personId="{D630AB88-4102-47D9-B603-C15C983624ED}" id="{F58DCD77-7A8C-4B1C-BBBE-73E962EC3EC7}">
    <text>Statistics for Risk Modellng
Cost: $325
Club Passing Reimbursement: $250
Offered: January, May, September</text>
  </threadedComment>
  <threadedComment ref="AC39" dT="2020-08-18T15:07:45.64" personId="{D630AB88-4102-47D9-B603-C15C983624ED}" id="{36DA0CBB-EE7C-47EB-A011-BD7180267A1C}">
    <text>Satisfied VEE Credit</text>
  </threadedComment>
  <threadedComment ref="R40" dT="2020-08-18T16:41:49.02" personId="{D630AB88-4102-47D9-B603-C15C983624ED}" id="{2E4BF30B-6776-44DC-A84D-12429F80E120}">
    <text>Long Term Actuarial Mathematics
Cost: $250
Club Passing Reimbursement: $100
Offered: April, October</text>
  </threadedComment>
  <threadedComment ref="AC40" dT="2020-08-18T15:09:37.56" personId="{D630AB88-4102-47D9-B603-C15C983624ED}" id="{2F725F48-10F2-4290-A197-33BB676C2B2B}">
    <text>Matrices
Student Tips: This isn't required for the major, but is a pre-req for many of the upper level Stat courses to get the Stat minor</text>
  </threadedComment>
  <threadedComment ref="R41" dT="2020-08-18T16:51:13.21" personId="{D630AB88-4102-47D9-B603-C15C983624ED}" id="{BE7C39B7-D5C1-4049-BBD3-071CD68BBA21}">
    <text>Modern Actuarial Statistics I
Cost: $360
Passing Club Reimbursement: $250
Offered: April, November</text>
  </threadedComment>
  <threadedComment ref="AC41" dT="2020-08-18T15:10:19.27" personId="{D630AB88-4102-47D9-B603-C15C983624ED}" id="{3B23D935-D590-469E-9022-A8FC79519C79}">
    <text>Student Tips: This is one of the first courses you should take to go towards your stat minor as they teach the material in the SRM exam</text>
  </threadedComment>
  <threadedComment ref="R42" dT="2020-08-18T16:42:05.13" personId="{D630AB88-4102-47D9-B603-C15C983624ED}" id="{D65AE546-CC11-44B3-87A6-9F2350F36AF9}">
    <text>Short Term Actuarial Mathematics
Cost: $250
Club Passing Reimbursement: $100
Offered: February, June, October
Modern Actuarial Statistics II
Cost: $360
Club Passing Reimbursement: $250
Offered: April, November</text>
  </threadedComment>
  <threadedComment ref="AC42" dT="2020-08-18T15:10:56.27" personId="{D630AB88-4102-47D9-B603-C15C983624ED}" id="{820D4EED-F9AC-48EC-8E53-2BEB80B73BEE}">
    <text>Student Tips: This is one of the first courses you should take to go towards your stat minor as they teach the material in the SRM exam</text>
  </threadedComment>
  <threadedComment ref="R43" dT="2020-08-18T16:42:13.98" personId="{D630AB88-4102-47D9-B603-C15C983624ED}" id="{98179504-E5AE-410A-B8AD-9B89A19649F8}">
    <text>Predictive Analytics</text>
  </threadedComment>
  <threadedComment ref="AC43" dT="2020-08-18T20:48:50.95" personId="{0D594C3D-1B88-465A-BF46-E1EE7A1F9292}" id="{0F6FAC20-5475-44FF-97A5-EF18090B5315}">
    <text>Intro to R
Student Tips: Smeal students can't normally take this course, but it is sometimes opened up to non-stat majors the week before classes start, so keep an eye out to take it and learn some R!</text>
  </threadedComment>
  <threadedComment ref="AC44" dT="2020-08-18T20:49:39.49" personId="{0D594C3D-1B88-465A-BF46-E1EE7A1F9292}" id="{D9435EB9-DFD6-4FB4-9F07-1BB2143DA029}">
    <text>This suggested course teaches more detail for Microsoft Excel and Microsoft Access</text>
  </threadedComment>
  <threadedComment ref="AC45" dT="2020-08-18T20:50:44.99" personId="{0D594C3D-1B88-465A-BF46-E1EE7A1F9292}" id="{CEB1F7C0-D327-4AA4-BF24-2845268BA194}">
    <text>This suggested course teaches SAS</text>
  </threadedComment>
  <threadedComment ref="R46" personId="{57A89422-6788-4CC1-9940-6A978DDC4554}" id="{1401EAA4-10F6-4291-B16E-1DABD4E10847}">
    <text xml:space="preserve">Blank Grade Earned = "F"
</text>
  </threadedComment>
  <threadedComment ref="AB68" dT="2020-08-18T15:11:51.35" personId="{D630AB88-4102-47D9-B603-C15C983624ED}" id="{6E2187FC-A386-4898-831E-BB1DB15E70A2}">
    <text>Student Tips: Because STAT 414 teaches for exam P and STAT 415 is a VEE course, everyone should take those two courses here</text>
  </threadedComment>
  <threadedComment ref="J74" dT="2020-08-18T17:25:14.58" personId="{D630AB88-4102-47D9-B603-C15C983624ED}" id="{1C00C6BF-5DA5-405A-B69D-D56D20192D6F}">
    <text>Here you can put special semesters such as summer classes. If you take a class in the summer after your freshman year, put the semester as 1.5</text>
  </threadedComment>
  <threadedComment ref="AC78" dT="2020-08-18T15:13:20.64" personId="{D630AB88-4102-47D9-B603-C15C983624ED}" id="{CC2378E0-3B59-448A-8337-ECE8DCE9CAC8}">
    <text>Student Tips: This is a challenging course, so if you aren't going the CAS route, consider another STAT class such as STAT 440</text>
  </threadedComment>
  <threadedComment ref="AC80" dT="2020-08-18T15:14:01.59" personId="{D630AB88-4102-47D9-B603-C15C983624ED}" id="{747ABC35-F637-464A-BA42-5F6FBAB12EEC}">
    <text>Student Tips: This is a challenging course with advanced techniques in R, so if you aren't going the SOA route, consider another STAT class such as STAT 416</text>
  </threadedComment>
  <threadedComment ref="AC86" dT="2020-08-18T15:15:13.49" personId="{D630AB88-4102-47D9-B603-C15C983624ED}" id="{E7D28700-BC22-43BC-86B6-283A20D571B4}">
    <text>Time Series
Students Tips: Time Series are on SRM, but are only about 25% of the exam. Feel free to self-teach these concepts if you want to take another STAT course instead.</text>
  </threadedComment>
  <threadedComment ref="AC90" dT="2020-08-18T15:15:28.64" personId="{D630AB88-4102-47D9-B603-C15C983624ED}" id="{5D94C351-A968-480E-8359-4C6EE51BE71D}">
    <text>First third of STAT 483</text>
  </threadedComment>
  <threadedComment ref="AC91" dT="2020-08-18T15:15:42.39" personId="{D630AB88-4102-47D9-B603-C15C983624ED}" id="{600E83CD-F16C-4972-9EFA-D99E0A0D6B4B}">
    <text>Second third of STAT 480</text>
  </threadedComment>
  <threadedComment ref="AC92" dT="2020-08-18T15:15:53.22" personId="{D630AB88-4102-47D9-B603-C15C983624ED}" id="{6FEF6125-1039-4B29-8AF9-266A98AD6184}">
    <text>Final third of Stat 480</text>
  </threadedComment>
  <threadedComment ref="AC94" dT="2020-08-18T15:16:14.44" personId="{D630AB88-4102-47D9-B603-C15C983624ED}" id="{4767270C-85E3-4CE7-B7B7-2FEA0F09317A}">
    <text>Intro to R
Student Tips: This course is hard to find (usually only on World Campus), so consider taking STAT 440 instead</text>
  </threadedComment>
  <threadedComment ref="AC115" dT="2020-08-18T15:27:32.07" personId="{D630AB88-4102-47D9-B603-C15C983624ED}" id="{6E7F5621-B17B-4093-8C56-09A680A5CA7A}">
    <text>Dual-Listed (AKA the same course) with MATH 414</text>
  </threadedComment>
  <threadedComment ref="AC116" dT="2020-08-18T15:27:41.31" personId="{D630AB88-4102-47D9-B603-C15C983624ED}" id="{9CC85416-8FAE-43A8-AE5B-3F799A985776}">
    <text>Dual-Listed (AKA the same course) with MATH 415</text>
  </threadedComment>
  <threadedComment ref="AC117" dT="2020-08-18T15:27:55.23" personId="{D630AB88-4102-47D9-B603-C15C983624ED}" id="{8DF6844A-F790-45D0-A6E1-82B88C08ACBA}">
    <text>Dual-Listed (AKA the same course) with MATH 416</text>
  </threadedComment>
  <threadedComment ref="AC142" dT="2020-08-18T15:29:14.45" personId="{D630AB88-4102-47D9-B603-C15C983624ED}" id="{ECC00E74-B08A-4EFC-827B-D93BEABB1D2F}">
    <text>Health Economics
Student Tips: As far as 400 level econs go, this is great if you are considering working in health insurance!</text>
  </threadedComment>
  <threadedComment ref="AC143" dT="2020-08-18T15:30:57.63" personId="{D630AB88-4102-47D9-B603-C15C983624ED}" id="{B263D190-5779-4D08-8CFE-3A52396C6D45}">
    <text>Game Theory
Student Tips: As far as 400 level econs go, this is great for learning how individuals make decisions!</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0-08-18T16:38:59.91" personId="{D630AB88-4102-47D9-B603-C15C983624ED}" id="{7ECC0E47-1F6B-4EA6-8E6B-925F8A9445B6}">
    <text>Enter your grades here. Note that a blank space is counted as an F</text>
  </threadedComment>
  <threadedComment ref="L1" dT="2020-08-18T16:37:55.27" personId="{D630AB88-4102-47D9-B603-C15C983624ED}" id="{064B038D-F1AD-4BFB-9CBA-8ED6D9466B67}">
    <text>Enter your courses here</text>
  </threadedComment>
  <threadedComment ref="AC4" dT="2020-08-18T15:33:42.08" personId="{D630AB88-4102-47D9-B603-C15C983624ED}" id="{54EDB3AE-1410-4780-BDEA-AAF9B6FEF53D}">
    <text>Speech Writing</text>
  </threadedComment>
  <threadedComment ref="AC7" dT="2020-08-18T15:33:50.08" personId="{D630AB88-4102-47D9-B603-C15C983624ED}" id="{B4B45C81-301E-4C32-B6D0-5C64CF580292}">
    <text>Calculus 1</text>
  </threadedComment>
  <threadedComment ref="AC8" dT="2020-08-18T15:33:57.26" personId="{D630AB88-4102-47D9-B603-C15C983624ED}" id="{F1A8089F-9803-4681-9145-C9719FA227AD}">
    <text>Calculus 2</text>
  </threadedComment>
  <threadedComment ref="AC9" dT="2020-08-18T15:34:13.86" personId="{D630AB88-4102-47D9-B603-C15C983624ED}" id="{4253AFAC-6CEF-43C0-A2A6-C2973CFE9A65}">
    <text>Matrices</text>
  </threadedComment>
  <threadedComment ref="AC10" dT="2020-08-18T15:34:04.62" personId="{D630AB88-4102-47D9-B603-C15C983624ED}" id="{C1F0E771-E5BF-4603-9171-03E9FB00359E}">
    <text>Calculus 3</text>
  </threadedComment>
  <threadedComment ref="AC11" dT="2020-08-18T15:34:22.59" personId="{D630AB88-4102-47D9-B603-C15C983624ED}" id="{ACEA17C3-B9FE-46BC-9FDE-B314F3CB87AA}">
    <text>First Year Seminar</text>
  </threadedComment>
  <threadedComment ref="R12" dT="2020-08-18T18:11:37.89" personId="{D630AB88-4102-47D9-B603-C15C983624ED}" id="{783A15DB-83E5-4AF4-BE01-9B0B3288A19E}">
    <text>These are quantification courses
Most students will get this covered by their major requirements</text>
  </threadedComment>
  <threadedComment ref="R13" dT="2020-08-18T18:11:27.72" personId="{D630AB88-4102-47D9-B603-C15C983624ED}" id="{9B36F000-FE6C-448E-93A4-446DD00BD4FA}">
    <text>These are courses in writing
Most students will get this covered by their major requirements</text>
  </threadedComment>
  <threadedComment ref="AC13" dT="2020-08-18T15:34:36.20" personId="{D630AB88-4102-47D9-B603-C15C983624ED}" id="{E6FED165-B53B-4F70-810F-FBA5AA64773B}">
    <text>For exam FM</text>
  </threadedComment>
  <threadedComment ref="R14" dT="2020-08-18T18:11:17.93" personId="{D630AB88-4102-47D9-B603-C15C983624ED}" id="{A49DC797-CFB4-4023-81B0-AFD403B1A89B}">
    <text>These are courses in the arts
Courses students have enjoyed in the past:
ART 51 (Piano)
ART 54 (Guitar)</text>
  </threadedComment>
  <threadedComment ref="R15" dT="2020-08-18T18:11:06.51" personId="{D630AB88-4102-47D9-B603-C15C983624ED}" id="{9D358D27-2053-4B2F-A96F-02A735448BF8}">
    <text>These are physical activity classes
Courses students have enjoyed in the past:
KINES 29B (Total Golf)</text>
  </threadedComment>
  <threadedComment ref="AC15" dT="2020-08-18T15:34:53.02" personId="{D630AB88-4102-47D9-B603-C15C983624ED}" id="{4CBF3AA9-C68A-4E34-AE6E-174848E64F3F}">
    <text>First half of contenet for exam LTAM</text>
  </threadedComment>
  <threadedComment ref="R16" dT="2020-08-18T18:10:54.76" personId="{D630AB88-4102-47D9-B603-C15C983624ED}" id="{832F17D6-BB64-43FF-B081-7091E690D65A}">
    <text>These are courses in the humanities
Courses students have enjoyed in the past:
CAS 214W (Speech Writing)</text>
  </threadedComment>
  <threadedComment ref="AC16" dT="2020-08-18T15:35:04.86" personId="{D630AB88-4102-47D9-B603-C15C983624ED}" id="{431CEEEF-7DF2-4BCD-A3E7-03B95D02EB85}">
    <text>Second half of content for Exam LTAM</text>
  </threadedComment>
  <threadedComment ref="R17" dT="2020-08-18T18:10:39.60" personId="{D630AB88-4102-47D9-B603-C15C983624ED}" id="{8AAF257E-2730-4076-9F92-F0637FF4B38E}">
    <text>Theses are courses in the social and behavioral sciences
Most students will get this covered by their major requirements</text>
  </threadedComment>
  <threadedComment ref="AC17" dT="2020-08-18T15:35:11.55" personId="{D630AB88-4102-47D9-B603-C15C983624ED}" id="{51489B80-516B-4836-A985-ACD27D8C228A}">
    <text>Intro to R</text>
  </threadedComment>
  <threadedComment ref="R18" dT="2020-08-18T18:10:27.96" personId="{D630AB88-4102-47D9-B603-C15C983624ED}" id="{ECF5D4F4-328D-420C-A13C-477E98632B97}">
    <text>These are courses in the natural sciences
Courses students have enjoyed in the past:
ASTRO 10
EGEE 101</text>
  </threadedComment>
  <threadedComment ref="AC19" dT="2020-08-18T15:36:35.84" personId="{D630AB88-4102-47D9-B603-C15C983624ED}" id="{3603850E-C4D9-4FD8-949C-F04B2BC54276}">
    <text>Data Science</text>
  </threadedComment>
  <threadedComment ref="AC26" personId="{57A89422-6788-4CC1-9940-6A978DDC4554}" id="{5DBF20B9-4BFB-4286-95E2-A26E8A7262E6}">
    <text>Can also take three 1-credit courses that make up STAT 483 (480, 481, 482)</text>
  </threadedComment>
  <threadedComment ref="R27" dT="2020-08-18T16:41:05.04" personId="{D630AB88-4102-47D9-B603-C15C983624ED}" id="{4E6DA1A7-9836-4FA4-8BE5-827E9F620A8B}">
    <text>Probability
Cost: $250
Club Passing Reimbursement: $100
Offered: Bi-Monthly (Starting in January)</text>
  </threadedComment>
  <threadedComment ref="AC27" dT="2020-08-18T15:39:56.38" personId="{D630AB88-4102-47D9-B603-C15C983624ED}" id="{8774B3C1-962E-4CC9-94F2-DC0B73C783E1}">
    <text>These are all introductory computer science courses</text>
  </threadedComment>
  <threadedComment ref="R28" dT="2020-08-18T16:41:11.88" personId="{D630AB88-4102-47D9-B603-C15C983624ED}" id="{8FB0F16D-91AF-4ABA-987C-4C8ED2FD00B6}">
    <text>Financial Mathematics
Cost: $250
Passing Club Reimbursement: $100
Offered: Bi-Monthly (Starting in February)</text>
  </threadedComment>
  <threadedComment ref="AC28" dT="2020-08-18T16:56:12.32" personId="{D630AB88-4102-47D9-B603-C15C983624ED}" id="{74EDEC29-8384-4AAD-8E5C-2F72ED36B440}">
    <text>Time Series
Student Tips: We recommend taking this course if you are on the SOA track as time series is about SRM exam!</text>
  </threadedComment>
  <threadedComment ref="R29" dT="2020-08-18T16:41:20.72" personId="{D630AB88-4102-47D9-B603-C15C983624ED}" id="{18E01A73-BE1E-466E-B610-9F67640BEBC0}">
    <text>Investments &amp; Financial Markets
Cost: $350
Passing Club Reimbursement: $200
Offered: March, July, November</text>
  </threadedComment>
  <threadedComment ref="R30" dT="2020-08-18T16:41:30.63" personId="{D630AB88-4102-47D9-B603-C15C983624ED}" id="{3CB09584-A63F-4426-AE42-046612E5086B}">
    <text>Statistics for Risk Modellng
Cost: $325
Club Passing Reimbursement: $250
Offered: January, May, September</text>
  </threadedComment>
  <threadedComment ref="R31" dT="2020-08-18T16:41:49.02" personId="{D630AB88-4102-47D9-B603-C15C983624ED}" id="{7B008BE4-BC98-4DCB-9419-A4337D281377}">
    <text>Long Term Actuarial Mathematics
Cost: $250
Club Passing Reimbursement: $100
Offered: April, October</text>
  </threadedComment>
  <threadedComment ref="AC31" dT="2020-08-18T16:57:22.07" personId="{D630AB88-4102-47D9-B603-C15C983624ED}" id="{9A11B4B1-631D-44A9-AC23-AFAAD47DAB35}">
    <text>Stochastic Modeling
Student Tips: We recommend taking this course if you are on the CAS track as stochastic modeling is on the MAS-I exam!</text>
  </threadedComment>
  <threadedComment ref="R32" dT="2020-08-18T16:51:13.21" personId="{D630AB88-4102-47D9-B603-C15C983624ED}" id="{228CC9DF-6638-485B-815E-DBD70FAFC048}">
    <text>Modern Actuarial Statistics I
Cost: $360
Passing Club Reimbursement: $250
Offered: April, November</text>
  </threadedComment>
  <threadedComment ref="R33" dT="2020-08-18T16:42:05.13" personId="{D630AB88-4102-47D9-B603-C15C983624ED}" id="{A93FF4F1-1464-4FC8-A11C-E3E3BA60A95A}">
    <text>Short Term Actuarial Mathematics
Cost: $250
Club Passing Reimbursement: $100
Offered: February, June, October
Modern Actuarial Statistics II
Cost: $360
Club Passing Reimbursement: $250
Offered: April, November</text>
  </threadedComment>
  <threadedComment ref="R34" dT="2020-08-18T16:42:13.98" personId="{D630AB88-4102-47D9-B603-C15C983624ED}" id="{7439EA7C-098F-4497-8ED9-8504BA18805F}">
    <text>Predictive Analytics</text>
  </threadedComment>
  <threadedComment ref="AC34" dT="2020-08-18T16:58:02.14" personId="{D630AB88-4102-47D9-B603-C15C983624ED}" id="{028EEC0D-E58F-412A-995D-B3FCE6C92033}">
    <text>Data Science
Student Tips: We recommend taking this course if you are on the SOA track as it covers some of the material on the PA exam! CAS track students can also take it to get exposure to using R!</text>
  </threadedComment>
  <threadedComment ref="R36" personId="{57A89422-6788-4CC1-9940-6A978DDC4554}" id="{68A23D32-C7B9-426D-AADA-4C2FA8BF6ADF}">
    <text xml:space="preserve">Blank Grade Earned = "F"
</text>
  </threadedComment>
  <threadedComment ref="AC47" dT="2020-08-18T16:58:41.64" personId="{D630AB88-4102-47D9-B603-C15C983624ED}" id="{53BC6477-EE1D-4EFF-8BB9-C7EB2F356F14}">
    <text>For Exam P
Student Tips: Doing well in this class is a good indicator that actuarial science is the right major for you! While not required by the stat major, every student should take this class unless they have already passed P</text>
  </threadedComment>
  <threadedComment ref="AC49" dT="2020-08-18T16:59:02.31" personId="{D630AB88-4102-47D9-B603-C15C983624ED}" id="{E621AA5E-DDF6-41FB-8657-CCFA98D82606}">
    <text>For Exam IFM
Students Tips: While not required by the stat major, every student should take this class unless they have already passed IFM. In the fall, this class ends after Thanksgiving break!</text>
  </threadedComment>
  <threadedComment ref="AC50" dT="2020-08-18T16:59:50.64" personId="{D630AB88-4102-47D9-B603-C15C983624ED}" id="{71D063D0-6EA1-4BF7-B1ED-D8DCEC5535E5}">
    <text>For exams STAM and MAS-II
Student tips: Take RM 420 to help you pass another exam senior year!</text>
  </threadedComment>
  <threadedComment ref="AC51" dT="2020-08-18T21:06:37.01" personId="{0D594C3D-1B88-465A-BF46-E1EE7A1F9292}" id="{7B0A8408-CD40-4C69-9B81-CE5AE942D97E}">
    <text>Intermediate Programming</text>
  </threadedComment>
  <threadedComment ref="J74" dT="2020-08-18T17:29:35.13" personId="{D630AB88-4102-47D9-B603-C15C983624ED}" id="{C13EB021-7B23-4BCF-9174-9A5618A407E5}">
    <text>Here you can put special semesters such as summer classes. If you take a class in the summer after your freshman year, put the semester as 1.5</text>
  </threadedComment>
  <threadedComment ref="AC82" dT="2020-08-18T17:00:32.38" personId="{D630AB88-4102-47D9-B603-C15C983624ED}" id="{1BDD245C-37F4-4AF5-80FC-29D8200B1BAD}">
    <text>Dual-Listed (AKA the same course) with MATH 414</text>
  </threadedComment>
  <threadedComment ref="AC83" dT="2020-08-18T17:00:39.12" personId="{D630AB88-4102-47D9-B603-C15C983624ED}" id="{FECF56E1-2186-480C-8912-7E2B27AF9B9E}">
    <text>Dual-Listed (AKA the same course) with MATH 415</text>
  </threadedComment>
  <threadedComment ref="AC84" dT="2020-08-18T17:00:48.82" personId="{D630AB88-4102-47D9-B603-C15C983624ED}" id="{4F000185-6C15-4C02-A773-F187B9911865}">
    <text>Dual-Listed (AKA the same course) with MATH 416</text>
  </threadedComment>
  <threadedComment ref="AC109" dT="2020-08-18T17:01:39.96" personId="{D630AB88-4102-47D9-B603-C15C983624ED}" id="{E4AD84E7-ED1D-486E-BC18-416A47BE7A2D}">
    <text>Health Economics
Student Tips: As far as 400 level econs go, this is great if you are considering working in health insurance!</text>
  </threadedComment>
  <threadedComment ref="AC110" dT="2020-08-18T17:01:55.26" personId="{D630AB88-4102-47D9-B603-C15C983624ED}" id="{9029EBAA-1256-4D29-87CF-D68A5768FD05}">
    <text>Game Theory
Student Tips: As far as 400 level econs go, this is great for learning how individuals make decisions!</text>
  </threadedComment>
</ThreadedComments>
</file>

<file path=xl/threadedComments/threadedComment3.xml><?xml version="1.0" encoding="utf-8"?>
<ThreadedComments xmlns="http://schemas.microsoft.com/office/spreadsheetml/2018/threadedcomments" xmlns:x="http://schemas.openxmlformats.org/spreadsheetml/2006/main">
  <threadedComment ref="K1" dT="2020-08-18T17:22:56.37" personId="{D630AB88-4102-47D9-B603-C15C983624ED}" id="{D5241B6B-2BC1-4D2A-B041-381CEEBE1C69}">
    <text>Enter your grades here. Note that a blank space is counted as an F</text>
  </threadedComment>
  <threadedComment ref="L1" personId="{57A89422-6788-4CC1-9940-6A978DDC4554}" id="{314252F1-112E-4F13-8E85-8ED7B8C4F8EF}">
    <text>Enter Courses Here</text>
  </threadedComment>
  <threadedComment ref="AC4" dT="2020-08-18T17:03:58.30" personId="{D630AB88-4102-47D9-B603-C15C983624ED}" id="{1F31A9F8-DB71-4169-860E-BB840FF09FA5}">
    <text>Speech Writing</text>
  </threadedComment>
  <threadedComment ref="AC5" dT="2020-08-18T17:04:13.69" personId="{D630AB88-4102-47D9-B603-C15C983624ED}" id="{5E6E22FA-8496-4261-90A4-1294269DCA9B}">
    <text>These are all introductory computer science courses</text>
  </threadedComment>
  <threadedComment ref="AC9" dT="2020-08-18T17:04:27.74" personId="{D630AB88-4102-47D9-B603-C15C983624ED}" id="{564F5490-9E16-4EFE-87FD-481EDC619F0A}">
    <text>Calculus 1</text>
  </threadedComment>
  <threadedComment ref="AC10" dT="2020-08-18T17:04:34.53" personId="{D630AB88-4102-47D9-B603-C15C983624ED}" id="{B8B6209E-9B24-49E3-B614-27AAFF713D23}">
    <text>Calculus 2</text>
  </threadedComment>
  <threadedComment ref="AC11" dT="2020-08-18T17:04:53.16" personId="{D630AB88-4102-47D9-B603-C15C983624ED}" id="{BB2C20E5-930B-4F32-B036-1BAF433DBA3F}">
    <text>Matrices</text>
  </threadedComment>
  <threadedComment ref="R13" dT="2020-08-18T18:05:01.68" personId="{D630AB88-4102-47D9-B603-C15C983624ED}" id="{43E09C5F-A14C-4D16-A5A3-160DB29B6DEC}">
    <text>These are quantification courses
Most students will get this covered by their major requirements</text>
  </threadedComment>
  <threadedComment ref="R14" dT="2020-08-18T18:05:46.84" personId="{D630AB88-4102-47D9-B603-C15C983624ED}" id="{FFD61A9D-2016-4995-B462-2DD74A30B8BC}">
    <text>These are courses in writing
Most students will get this covered by their major requirements</text>
  </threadedComment>
  <threadedComment ref="R15" dT="2020-08-18T18:04:21.80" personId="{D630AB88-4102-47D9-B603-C15C983624ED}" id="{F60FEED5-48FC-4B7D-973B-84520169C1BD}">
    <text>These are courses in the arts
Courses students have enjoyed in the past:
ART 51 (Piano)
ART 54 (Guitar)</text>
  </threadedComment>
  <threadedComment ref="R16" dT="2020-08-18T18:00:20.24" personId="{D630AB88-4102-47D9-B603-C15C983624ED}" id="{26FF2D12-83FA-4865-A7EF-818581BFE6CA}">
    <text>These are physical activity classes
Courses students have enjoyed in the past:
KINES 29B (Total Golf)</text>
  </threadedComment>
  <threadedComment ref="AC16" dT="2020-08-18T17:05:27.01" personId="{D630AB88-4102-47D9-B603-C15C983624ED}" id="{3120D352-B82C-44E3-AEA0-804EA4251364}">
    <text>Intro to Probability
Student Tips: Take this with RM 214  to pass P!</text>
  </threadedComment>
  <threadedComment ref="R17" dT="2020-08-18T18:02:46.81" personId="{D630AB88-4102-47D9-B603-C15C983624ED}" id="{CBA5D3A7-88B6-471E-AEC9-5EDBB6615A1F}">
    <text>These are courses in the humanities
Courses students have enjoyed in the past:
CAS 214W (Speech Writing)</text>
  </threadedComment>
  <threadedComment ref="R18" dT="2020-08-18T18:06:28.26" personId="{D630AB88-4102-47D9-B603-C15C983624ED}" id="{BFE0F03C-5190-477E-B102-5BBE8C2E85D8}">
    <text>Theses are courses in the social and behavioral sciences
Most students will get this covered by their major requirements</text>
  </threadedComment>
  <threadedComment ref="AC18" dT="2020-08-18T17:06:44.98" personId="{D630AB88-4102-47D9-B603-C15C983624ED}" id="{093A8B71-5A18-4819-88DB-0F37BF9A2259}">
    <text>Stochastic Modeling; Teaches for exam MAS-I</text>
  </threadedComment>
  <threadedComment ref="R19" dT="2020-08-18T18:01:43.95" personId="{D630AB88-4102-47D9-B603-C15C983624ED}" id="{EC16CCDE-F2EB-48F4-BDA2-77C5D8044BAD}">
    <text>These are courses in the natural sciences
Courses students have enjoyed in the past:
ASTRO 10
EGEE 101</text>
  </threadedComment>
  <threadedComment ref="AC25" dT="2020-08-18T17:07:22.06" personId="{D630AB88-4102-47D9-B603-C15C983624ED}" id="{462003EF-0C82-411C-A336-8C52AC704986}">
    <text>For exam FM</text>
  </threadedComment>
  <threadedComment ref="AC27" dT="2020-08-18T17:07:34.20" personId="{D630AB88-4102-47D9-B603-C15C983624ED}" id="{6213AFDE-AF95-4363-BF07-85E418542F11}">
    <text>Teaches first half of LTAM</text>
  </threadedComment>
  <threadedComment ref="R28" dT="2020-08-18T16:41:05.04" personId="{D630AB88-4102-47D9-B603-C15C983624ED}" id="{C2CC5FCA-C46D-4B9C-980F-670D4EF0BC0B}">
    <text>Probability
Cost: $250
Club Passing Reimbursement: $100
Offered: Bi-Monthly (Starting in January)</text>
  </threadedComment>
  <threadedComment ref="AC28" dT="2020-08-18T17:07:47.03" personId="{D630AB88-4102-47D9-B603-C15C983624ED}" id="{F4C01297-E8EE-4261-A79F-4877B0E184FE}">
    <text>Teaches second half of LTAM</text>
  </threadedComment>
  <threadedComment ref="R29" dT="2020-08-18T16:41:11.88" personId="{D630AB88-4102-47D9-B603-C15C983624ED}" id="{89B9179C-30B5-46F6-96FD-841ED55C3537}">
    <text>Financial Mathematics
Cost: $250
Passing Club Reimbursement: $100
Offered: Bi-Monthly (Starting in February)</text>
  </threadedComment>
  <threadedComment ref="R30" dT="2020-08-18T16:41:20.72" personId="{D630AB88-4102-47D9-B603-C15C983624ED}" id="{4663C844-BDC1-4FD8-953B-D74B3281BBA5}">
    <text>Investments &amp; Financial Markets
Cost: $350
Passing Club Reimbursement: $200
Offered: March, July, November</text>
  </threadedComment>
  <threadedComment ref="AC30" dT="2020-08-18T17:14:12.91" personId="{D630AB88-4102-47D9-B603-C15C983624ED}" id="{6E3BB569-61C8-4838-9DB7-E9238A5C50EB}">
    <text>Linear Regression: For exam SRM</text>
  </threadedComment>
  <threadedComment ref="R31" dT="2020-08-18T16:41:30.63" personId="{D630AB88-4102-47D9-B603-C15C983624ED}" id="{3EE83139-FE9B-4821-B5BA-0C34C309AD51}">
    <text>Statistics for Risk Modellng
Cost: $325
Club Passing Reimbursement: $250
Offered: January, May, September</text>
  </threadedComment>
  <threadedComment ref="R32" dT="2020-08-18T16:41:49.02" personId="{D630AB88-4102-47D9-B603-C15C983624ED}" id="{165237EF-BAD3-4DCD-983F-BB8DD18EB6C2}">
    <text>Long Term Actuarial Mathematics
Cost: $250
Club Passing Reimbursement: $100
Offered: April, October</text>
  </threadedComment>
  <threadedComment ref="AC32" dT="2020-08-18T17:13:59.56" personId="{D630AB88-4102-47D9-B603-C15C983624ED}" id="{9805D5CA-BE69-435C-9ADA-87F846823C44}">
    <text>Time Series; For exam SRM</text>
  </threadedComment>
  <threadedComment ref="R33" dT="2020-08-18T16:51:13.21" personId="{D630AB88-4102-47D9-B603-C15C983624ED}" id="{111CFA9F-9A0C-4077-887D-155AC8561252}">
    <text>Modern Actuarial Statistics I
Cost: $360
Passing Club Reimbursement: $250
Offered: April, November</text>
  </threadedComment>
  <threadedComment ref="R34" dT="2020-08-18T16:42:05.13" personId="{D630AB88-4102-47D9-B603-C15C983624ED}" id="{87545128-7D28-406C-8DAB-B7A41F95F3EE}">
    <text>Short Term Actuarial Mathematics
Cost: $250
Club Passing Reimbursement: $100
Offered: February, June, October
Modern Actuarial Statistics II
Cost: $360
Club Passing Reimbursement: $250
Offered: April, November</text>
  </threadedComment>
  <threadedComment ref="R35" dT="2020-08-18T16:42:13.98" personId="{D630AB88-4102-47D9-B603-C15C983624ED}" id="{39303907-7779-45E2-A8C1-727E8DED2350}">
    <text>Predictive Analytics</text>
  </threadedComment>
  <threadedComment ref="AC37" dT="2020-08-18T17:15:28.15" personId="{D630AB88-4102-47D9-B603-C15C983624ED}" id="{48F65FC2-6634-496B-8D64-8447E7A30918}">
    <text>For Exam P
Student Tips: Doing well in this class is a good indicator that actuarial science is the right major for you! While not required by the stat major, every student should take this class unless they have already passed P</text>
  </threadedComment>
  <threadedComment ref="R38" personId="{57A89422-6788-4CC1-9940-6A978DDC4554}" id="{39A42310-DF1F-4EA8-9798-A7539C713956}">
    <text xml:space="preserve">Blank Grade Earned = "F"
</text>
  </threadedComment>
  <threadedComment ref="AC39" dT="2020-08-18T17:16:17.23" personId="{D630AB88-4102-47D9-B603-C15C983624ED}" id="{61164293-134C-4790-BA0E-B290F496C7BA}">
    <text>For Exam IFM
Students Tips: While not required by the stat major, every student should take this class unless they have already passed IFM. In the fall, this class ends after Thanksgiving break!</text>
  </threadedComment>
  <threadedComment ref="AC40" dT="2020-08-18T17:17:26.39" personId="{D630AB88-4102-47D9-B603-C15C983624ED}" id="{023967C0-F698-4CD3-A6E4-8623A7EC596E}">
    <text>For exams STAM and MAS-II
Student tips: Take RM 420 to help you pass another exam senior year!</text>
  </threadedComment>
  <threadedComment ref="AC41" dT="2020-08-18T17:18:01.87" personId="{D630AB88-4102-47D9-B603-C15C983624ED}" id="{29CC57FD-3ACC-410E-B63A-A04A003E4E19}">
    <text>Data Science
Student Tips: This is a great course to further your coding and technical skills</text>
  </threadedComment>
  <threadedComment ref="AC42" dT="2020-08-18T17:19:07.24" personId="{D630AB88-4102-47D9-B603-C15C983624ED}" id="{F4EB25FD-C719-4536-A93B-09341A4F54E8}">
    <text>Data Science
Student Tips: We recommend taking this course if you are on the SOA track as it covers some of the material on the PA exam! CAS track students can also take it to get exposure to using R!</text>
  </threadedComment>
  <threadedComment ref="AC43" dT="2020-08-18T21:10:36.05" personId="{0D594C3D-1B88-465A-BF46-E1EE7A1F9292}" id="{818EB869-F57C-48EE-BC56-10914E18530E}">
    <text>Intro to R
Student Tips: Math students can't normally take this course, but it is sometimes opened up to non-stat majors the week before classes start, so keep an eye out to take it and learn some R!</text>
  </threadedComment>
  <threadedComment ref="AC44" dT="2020-08-18T21:09:45.63" personId="{0D594C3D-1B88-465A-BF46-E1EE7A1F9292}" id="{8BB927B6-388F-4CA3-9C9F-90DE66DAAD05}">
    <text>Intermediate Programming</text>
  </threadedComment>
  <threadedComment ref="AC45" dT="2020-08-18T21:09:56.46" personId="{0D594C3D-1B88-465A-BF46-E1EE7A1F9292}" id="{360C7A47-ECF9-456A-8653-80383C46DE2D}">
    <text>Machine Learning and AI
Student Tips: Math students can't normally take this course, but it is sometimes opened up to non-computer science majors the week before classes start, so keep an eye out to take it and learn about AI!</text>
  </threadedComment>
  <threadedComment ref="AC47" dT="2020-08-18T21:09:39.16" personId="{0D594C3D-1B88-465A-BF46-E1EE7A1F9292}" id="{46FF5FCE-FA6B-4BD5-A184-E039FDB4A74B}">
    <text>Teaches SAS</text>
  </threadedComment>
  <threadedComment ref="AB66" dT="2020-08-18T17:21:12.71" personId="{D630AB88-4102-47D9-B603-C15C983624ED}" id="{3A14EBFD-5FEA-4B9B-ACD5-4511FBC53690}">
    <text>As you can see, major requirements, VEE courses, and a couple suggested courses complete the stat minor!</text>
  </threadedComment>
  <threadedComment ref="AB71" dT="2020-08-18T17:19:58.46" personId="{D630AB88-4102-47D9-B603-C15C983624ED}" id="{552932F6-F7F8-47B1-AACD-4110D5EB0A10}">
    <text>Student Tips: Because STAT 414 teaches for exam P and STAT 415 is a VEE course, everyone should take those two courses here</text>
  </threadedComment>
  <threadedComment ref="J74" dT="2020-08-18T17:29:41.65" personId="{D630AB88-4102-47D9-B603-C15C983624ED}" id="{53B880FE-5F71-4238-BB58-876ECC3BD84F}">
    <text>Here you can put special semesters such as summer classes. If you take a class in the summer after your freshman year, put the semester as 1.5</text>
  </threadedComment>
  <threadedComment ref="AC120" dT="2020-08-18T17:21:42.35" personId="{D630AB88-4102-47D9-B603-C15C983624ED}" id="{A36A9C76-380F-48B0-9437-A99ED1EC057A}">
    <text>Health Economics
Student Tips: As far as 400 level econs go, this is great if you are considering working in health insurance!</text>
  </threadedComment>
  <threadedComment ref="AC121" dT="2020-08-18T17:22:00.70" personId="{D630AB88-4102-47D9-B603-C15C983624ED}" id="{E6891DDB-0176-4FA3-9045-536F476B142C}">
    <text>Game Theory
Student Tips: As far as 400 level econs go, this is great for learning how individuals make decisions!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E3255-8AA2-2349-A255-75FA4CC43656}">
  <sheetPr>
    <tabColor theme="4" tint="0.79998168889431442"/>
  </sheetPr>
  <dimension ref="B1:O98"/>
  <sheetViews>
    <sheetView zoomScale="83" workbookViewId="0">
      <selection activeCell="A2" sqref="A2"/>
    </sheetView>
  </sheetViews>
  <sheetFormatPr defaultColWidth="10.8984375" defaultRowHeight="15.6"/>
  <cols>
    <col min="1" max="1" width="7.5" customWidth="1"/>
    <col min="2" max="2" width="30.3984375" customWidth="1"/>
    <col min="3" max="3" width="52.09765625" bestFit="1" customWidth="1"/>
    <col min="4" max="4" width="3.59765625" customWidth="1"/>
    <col min="5" max="5" width="35.3984375" customWidth="1"/>
    <col min="6" max="6" width="57" customWidth="1"/>
  </cols>
  <sheetData>
    <row r="1" spans="2:15" ht="51" customHeight="1">
      <c r="B1" s="160"/>
      <c r="C1" s="236" t="s">
        <v>0</v>
      </c>
      <c r="D1" s="161"/>
      <c r="E1" s="161"/>
      <c r="F1" s="161"/>
      <c r="G1" s="161"/>
      <c r="H1" s="161"/>
      <c r="I1" s="161"/>
      <c r="J1" s="161"/>
      <c r="K1" s="161"/>
      <c r="L1" s="161"/>
      <c r="M1" s="161"/>
      <c r="N1" s="161"/>
      <c r="O1" s="161"/>
    </row>
    <row r="3" spans="2:15">
      <c r="B3" s="284" t="s">
        <v>1</v>
      </c>
      <c r="C3" s="284"/>
    </row>
    <row r="4" spans="2:15" ht="16.2" thickBot="1"/>
    <row r="5" spans="2:15" ht="18">
      <c r="B5" s="269" t="s">
        <v>2</v>
      </c>
      <c r="C5" s="270"/>
    </row>
    <row r="6" spans="2:15">
      <c r="B6" s="285" t="s">
        <v>3</v>
      </c>
      <c r="C6" s="286"/>
    </row>
    <row r="7" spans="2:15" ht="33" customHeight="1">
      <c r="B7" s="287" t="s">
        <v>4</v>
      </c>
      <c r="C7" s="288"/>
    </row>
    <row r="8" spans="2:15">
      <c r="B8" s="285" t="s">
        <v>5</v>
      </c>
      <c r="C8" s="286"/>
    </row>
    <row r="9" spans="2:15" ht="16.2" thickBot="1">
      <c r="B9" s="289" t="s">
        <v>6</v>
      </c>
      <c r="C9" s="290"/>
    </row>
    <row r="10" spans="2:15">
      <c r="B10" s="24"/>
      <c r="C10" s="24"/>
    </row>
    <row r="11" spans="2:15" ht="24" thickBot="1">
      <c r="B11" s="266" t="s">
        <v>7</v>
      </c>
      <c r="C11" s="266"/>
      <c r="E11" s="266" t="s">
        <v>8</v>
      </c>
      <c r="F11" s="266"/>
    </row>
    <row r="12" spans="2:15" ht="69.900000000000006" customHeight="1" thickBot="1">
      <c r="B12" s="271" t="s">
        <v>9</v>
      </c>
      <c r="C12" s="272"/>
      <c r="D12" s="204"/>
      <c r="E12" s="271" t="s">
        <v>10</v>
      </c>
      <c r="F12" s="272"/>
    </row>
    <row r="13" spans="2:15" ht="138" customHeight="1">
      <c r="B13" s="273" t="s">
        <v>11</v>
      </c>
      <c r="C13" s="274"/>
      <c r="D13" s="204"/>
      <c r="E13" s="294" t="s">
        <v>12</v>
      </c>
      <c r="F13" s="295"/>
    </row>
    <row r="14" spans="2:15" ht="77.099999999999994" customHeight="1">
      <c r="B14" s="273" t="s">
        <v>13</v>
      </c>
      <c r="C14" s="274"/>
      <c r="D14" s="204"/>
      <c r="E14" s="273" t="s">
        <v>14</v>
      </c>
      <c r="F14" s="274"/>
    </row>
    <row r="15" spans="2:15" ht="66.75" customHeight="1">
      <c r="B15" s="275" t="s">
        <v>15</v>
      </c>
      <c r="C15" s="276"/>
      <c r="D15" s="204"/>
      <c r="E15" s="273" t="s">
        <v>16</v>
      </c>
      <c r="F15" s="274"/>
    </row>
    <row r="16" spans="2:15" ht="87" customHeight="1">
      <c r="B16" s="275" t="s">
        <v>17</v>
      </c>
      <c r="C16" s="276"/>
      <c r="D16" s="204"/>
      <c r="E16" s="275" t="s">
        <v>18</v>
      </c>
      <c r="F16" s="276"/>
    </row>
    <row r="17" spans="2:6" ht="117.9" customHeight="1" thickBot="1">
      <c r="B17" s="264" t="s">
        <v>19</v>
      </c>
      <c r="C17" s="265"/>
      <c r="D17" s="204"/>
      <c r="E17" s="291"/>
      <c r="F17" s="292"/>
    </row>
    <row r="18" spans="2:6" ht="16.2" thickBot="1">
      <c r="E18" s="293"/>
      <c r="F18" s="293"/>
    </row>
    <row r="19" spans="2:6" ht="23.4">
      <c r="B19" s="267" t="s">
        <v>20</v>
      </c>
      <c r="C19" s="268"/>
    </row>
    <row r="20" spans="2:6" ht="51" customHeight="1">
      <c r="B20" s="277" t="s">
        <v>21</v>
      </c>
      <c r="C20" s="278"/>
    </row>
    <row r="21" spans="2:6">
      <c r="B21" s="277" t="s">
        <v>22</v>
      </c>
      <c r="C21" s="278"/>
    </row>
    <row r="22" spans="2:6" ht="16.2" thickBot="1">
      <c r="B22" s="280" t="s">
        <v>23</v>
      </c>
      <c r="C22" s="281"/>
    </row>
    <row r="24" spans="2:6" ht="23.4">
      <c r="B24" s="279" t="s">
        <v>24</v>
      </c>
      <c r="C24" s="279"/>
    </row>
    <row r="50" spans="2:3" ht="21">
      <c r="B50" s="205" t="s">
        <v>25</v>
      </c>
      <c r="C50" s="204" t="s">
        <v>26</v>
      </c>
    </row>
    <row r="51" spans="2:3">
      <c r="B51" s="206" t="s">
        <v>27</v>
      </c>
      <c r="C51" s="206" t="s">
        <v>28</v>
      </c>
    </row>
    <row r="52" spans="2:3" ht="31.2">
      <c r="B52" s="207" t="s">
        <v>29</v>
      </c>
      <c r="C52" s="208" t="s">
        <v>30</v>
      </c>
    </row>
    <row r="53" spans="2:3" ht="62.4">
      <c r="B53" s="209" t="s">
        <v>31</v>
      </c>
      <c r="C53" s="210" t="s">
        <v>32</v>
      </c>
    </row>
    <row r="54" spans="2:3" ht="46.8">
      <c r="B54" s="209" t="s">
        <v>33</v>
      </c>
      <c r="C54" s="210" t="s">
        <v>34</v>
      </c>
    </row>
    <row r="55" spans="2:3" ht="31.2">
      <c r="B55" s="211" t="s">
        <v>35</v>
      </c>
      <c r="C55" s="212" t="s">
        <v>36</v>
      </c>
    </row>
    <row r="56" spans="2:3" ht="31.2">
      <c r="B56" s="211" t="s">
        <v>37</v>
      </c>
      <c r="C56" s="212" t="s">
        <v>38</v>
      </c>
    </row>
    <row r="57" spans="2:3">
      <c r="B57" s="209" t="s">
        <v>39</v>
      </c>
      <c r="C57" s="210" t="s">
        <v>40</v>
      </c>
    </row>
    <row r="58" spans="2:3" ht="31.2">
      <c r="B58" s="213" t="s">
        <v>41</v>
      </c>
      <c r="C58" s="214" t="s">
        <v>42</v>
      </c>
    </row>
    <row r="59" spans="2:3">
      <c r="B59" s="204"/>
      <c r="C59" s="204"/>
    </row>
    <row r="60" spans="2:3" ht="21">
      <c r="B60" s="205" t="s">
        <v>43</v>
      </c>
      <c r="C60" s="204"/>
    </row>
    <row r="61" spans="2:3">
      <c r="B61" s="206" t="s">
        <v>27</v>
      </c>
      <c r="C61" s="206" t="s">
        <v>28</v>
      </c>
    </row>
    <row r="62" spans="2:3">
      <c r="B62" s="215" t="s">
        <v>33</v>
      </c>
      <c r="C62" s="216" t="s">
        <v>44</v>
      </c>
    </row>
    <row r="63" spans="2:3">
      <c r="B63" s="217" t="s">
        <v>45</v>
      </c>
      <c r="C63" s="218" t="s">
        <v>46</v>
      </c>
    </row>
    <row r="64" spans="2:3" ht="31.2">
      <c r="B64" s="217" t="s">
        <v>47</v>
      </c>
      <c r="C64" s="218" t="s">
        <v>48</v>
      </c>
    </row>
    <row r="65" spans="2:3" ht="31.2">
      <c r="B65" s="219" t="s">
        <v>49</v>
      </c>
      <c r="C65" s="220" t="s">
        <v>50</v>
      </c>
    </row>
    <row r="66" spans="2:3">
      <c r="B66" s="221" t="s">
        <v>51</v>
      </c>
      <c r="C66" s="222" t="s">
        <v>52</v>
      </c>
    </row>
    <row r="67" spans="2:3">
      <c r="B67" s="223"/>
      <c r="C67" s="223"/>
    </row>
    <row r="68" spans="2:3" ht="21">
      <c r="B68" s="224" t="s">
        <v>53</v>
      </c>
      <c r="C68" s="223"/>
    </row>
    <row r="69" spans="2:3">
      <c r="B69" s="206" t="s">
        <v>27</v>
      </c>
      <c r="C69" s="206" t="s">
        <v>28</v>
      </c>
    </row>
    <row r="70" spans="2:3" ht="31.2">
      <c r="B70" s="225" t="s">
        <v>54</v>
      </c>
      <c r="C70" s="216" t="s">
        <v>55</v>
      </c>
    </row>
    <row r="71" spans="2:3" ht="109.2">
      <c r="B71" s="226" t="s">
        <v>56</v>
      </c>
      <c r="C71" s="218" t="s">
        <v>57</v>
      </c>
    </row>
    <row r="72" spans="2:3" ht="62.4">
      <c r="B72" s="221" t="s">
        <v>58</v>
      </c>
      <c r="C72" s="222" t="s">
        <v>59</v>
      </c>
    </row>
    <row r="73" spans="2:3">
      <c r="B73" s="204"/>
      <c r="C73" s="204"/>
    </row>
    <row r="74" spans="2:3" ht="21">
      <c r="B74" s="205" t="s">
        <v>60</v>
      </c>
      <c r="C74" s="204"/>
    </row>
    <row r="75" spans="2:3">
      <c r="B75" s="206" t="s">
        <v>27</v>
      </c>
      <c r="C75" s="206" t="s">
        <v>28</v>
      </c>
    </row>
    <row r="76" spans="2:3">
      <c r="B76" s="207" t="s">
        <v>61</v>
      </c>
      <c r="C76" s="227" t="s">
        <v>62</v>
      </c>
    </row>
    <row r="77" spans="2:3" ht="31.2">
      <c r="B77" s="211" t="s">
        <v>29</v>
      </c>
      <c r="C77" s="212" t="s">
        <v>63</v>
      </c>
    </row>
    <row r="78" spans="2:3">
      <c r="B78" s="228" t="s">
        <v>33</v>
      </c>
      <c r="C78" s="229" t="s">
        <v>64</v>
      </c>
    </row>
    <row r="79" spans="2:3">
      <c r="B79" s="204"/>
      <c r="C79" s="204"/>
    </row>
    <row r="80" spans="2:3" ht="21">
      <c r="B80" s="230" t="s">
        <v>65</v>
      </c>
      <c r="C80" s="204"/>
    </row>
    <row r="81" spans="2:3">
      <c r="B81" s="206" t="s">
        <v>27</v>
      </c>
      <c r="C81" s="206" t="s">
        <v>28</v>
      </c>
    </row>
    <row r="82" spans="2:3">
      <c r="B82" s="231" t="s">
        <v>66</v>
      </c>
      <c r="C82" s="232" t="s">
        <v>67</v>
      </c>
    </row>
    <row r="83" spans="2:3" ht="46.8">
      <c r="B83" s="209" t="s">
        <v>68</v>
      </c>
      <c r="C83" s="210" t="s">
        <v>69</v>
      </c>
    </row>
    <row r="84" spans="2:3">
      <c r="B84" s="228" t="s">
        <v>70</v>
      </c>
      <c r="C84" s="229" t="s">
        <v>71</v>
      </c>
    </row>
    <row r="85" spans="2:3">
      <c r="B85" s="204"/>
      <c r="C85" s="204"/>
    </row>
    <row r="86" spans="2:3" ht="21">
      <c r="B86" s="230" t="s">
        <v>72</v>
      </c>
      <c r="C86" s="204"/>
    </row>
    <row r="87" spans="2:3">
      <c r="B87" s="206" t="s">
        <v>27</v>
      </c>
      <c r="C87" s="206" t="s">
        <v>28</v>
      </c>
    </row>
    <row r="88" spans="2:3" ht="31.2">
      <c r="B88" s="207" t="s">
        <v>73</v>
      </c>
      <c r="C88" s="208" t="s">
        <v>74</v>
      </c>
    </row>
    <row r="89" spans="2:3">
      <c r="B89" s="233" t="s">
        <v>33</v>
      </c>
      <c r="C89" s="234" t="s">
        <v>75</v>
      </c>
    </row>
    <row r="90" spans="2:3">
      <c r="B90" s="233" t="s">
        <v>35</v>
      </c>
      <c r="C90" s="234" t="s">
        <v>76</v>
      </c>
    </row>
    <row r="91" spans="2:3" ht="46.8">
      <c r="B91" s="211" t="s">
        <v>77</v>
      </c>
      <c r="C91" s="212" t="s">
        <v>78</v>
      </c>
    </row>
    <row r="92" spans="2:3">
      <c r="B92" s="211" t="s">
        <v>79</v>
      </c>
      <c r="C92" s="212"/>
    </row>
    <row r="93" spans="2:3" ht="31.2">
      <c r="B93" s="209" t="s">
        <v>80</v>
      </c>
      <c r="C93" s="210" t="s">
        <v>81</v>
      </c>
    </row>
    <row r="94" spans="2:3" ht="31.2">
      <c r="B94" s="211" t="s">
        <v>37</v>
      </c>
      <c r="C94" s="212" t="s">
        <v>82</v>
      </c>
    </row>
    <row r="95" spans="2:3" ht="31.2">
      <c r="B95" s="228" t="s">
        <v>83</v>
      </c>
      <c r="C95" s="235" t="s">
        <v>84</v>
      </c>
    </row>
    <row r="96" spans="2:3">
      <c r="B96" s="204"/>
      <c r="C96" s="204"/>
    </row>
    <row r="97" spans="2:3" ht="21">
      <c r="B97" s="230" t="s">
        <v>85</v>
      </c>
      <c r="C97" s="204"/>
    </row>
    <row r="98" spans="2:3" ht="68.099999999999994" customHeight="1">
      <c r="B98" s="282" t="s">
        <v>86</v>
      </c>
      <c r="C98" s="283"/>
    </row>
  </sheetData>
  <sheetProtection sheet="1" objects="1" scenarios="1"/>
  <mergeCells count="27">
    <mergeCell ref="E17:F17"/>
    <mergeCell ref="E18:F18"/>
    <mergeCell ref="E11:F11"/>
    <mergeCell ref="E13:F13"/>
    <mergeCell ref="E14:F14"/>
    <mergeCell ref="E15:F15"/>
    <mergeCell ref="E16:F16"/>
    <mergeCell ref="E12:F12"/>
    <mergeCell ref="B3:C3"/>
    <mergeCell ref="B6:C6"/>
    <mergeCell ref="B7:C7"/>
    <mergeCell ref="B8:C8"/>
    <mergeCell ref="B9:C9"/>
    <mergeCell ref="B21:C21"/>
    <mergeCell ref="B20:C20"/>
    <mergeCell ref="B24:C24"/>
    <mergeCell ref="B22:C22"/>
    <mergeCell ref="B98:C98"/>
    <mergeCell ref="B17:C17"/>
    <mergeCell ref="B11:C11"/>
    <mergeCell ref="B19:C19"/>
    <mergeCell ref="B5:C5"/>
    <mergeCell ref="B12:C12"/>
    <mergeCell ref="B13:C13"/>
    <mergeCell ref="B14:C14"/>
    <mergeCell ref="B15:C15"/>
    <mergeCell ref="B16:C1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86893-36E3-384E-84DF-2234F3B55FD1}">
  <sheetPr>
    <tabColor theme="9" tint="0.79998168889431442"/>
  </sheetPr>
  <dimension ref="A1:BI148"/>
  <sheetViews>
    <sheetView topLeftCell="J1" zoomScaleNormal="100" workbookViewId="0">
      <selection activeCell="K5" sqref="K5"/>
    </sheetView>
  </sheetViews>
  <sheetFormatPr defaultColWidth="9" defaultRowHeight="15.6"/>
  <cols>
    <col min="1" max="1" width="24" hidden="1" customWidth="1"/>
    <col min="2" max="2" width="25.5" hidden="1" customWidth="1"/>
    <col min="3" max="4" width="20.59765625" hidden="1" customWidth="1"/>
    <col min="5" max="5" width="17" hidden="1" customWidth="1"/>
    <col min="6" max="6" width="22" hidden="1" customWidth="1"/>
    <col min="7" max="7" width="22.8984375" hidden="1" customWidth="1"/>
    <col min="8" max="8" width="14.3984375" hidden="1" customWidth="1"/>
    <col min="9" max="9" width="19.3984375" hidden="1" customWidth="1"/>
    <col min="10" max="10" width="8.59765625" bestFit="1" customWidth="1"/>
    <col min="11" max="11" width="15.5" bestFit="1" customWidth="1"/>
    <col min="12" max="12" width="19.09765625" bestFit="1" customWidth="1"/>
    <col min="13" max="13" width="10.8984375" customWidth="1"/>
    <col min="14" max="14" width="10.8984375" bestFit="1" customWidth="1"/>
    <col min="15" max="15" width="12.3984375" bestFit="1" customWidth="1"/>
    <col min="16" max="16" width="12.3984375" customWidth="1"/>
    <col min="17" max="17" width="10.8984375" customWidth="1"/>
    <col min="18" max="18" width="15" bestFit="1" customWidth="1"/>
    <col min="19" max="19" width="18.8984375" bestFit="1" customWidth="1"/>
    <col min="20" max="21" width="12.59765625" bestFit="1" customWidth="1"/>
    <col min="22" max="22" width="11.8984375" bestFit="1" customWidth="1"/>
    <col min="23" max="23" width="11.09765625" hidden="1" customWidth="1"/>
    <col min="24" max="24" width="18" bestFit="1" customWidth="1"/>
    <col min="25" max="25" width="11.5" bestFit="1" customWidth="1"/>
    <col min="26" max="26" width="9.5" hidden="1" customWidth="1"/>
    <col min="27" max="27" width="10.8984375" style="251" customWidth="1"/>
    <col min="28" max="28" width="30.3984375" customWidth="1"/>
    <col min="29" max="29" width="11.8984375" bestFit="1" customWidth="1"/>
    <col min="30" max="30" width="11.8984375" hidden="1" customWidth="1"/>
    <col min="31" max="31" width="14.3984375" hidden="1" customWidth="1"/>
    <col min="32" max="32" width="16.09765625" hidden="1" customWidth="1"/>
    <col min="33" max="33" width="23.09765625" hidden="1" customWidth="1"/>
    <col min="34" max="34" width="16.5" hidden="1" customWidth="1"/>
    <col min="35" max="35" width="35.3984375" hidden="1" customWidth="1"/>
    <col min="36" max="36" width="15.3984375" hidden="1" customWidth="1"/>
    <col min="37" max="37" width="25" hidden="1" customWidth="1"/>
    <col min="38" max="40" width="18.59765625" hidden="1" customWidth="1"/>
    <col min="41" max="41" width="7" bestFit="1" customWidth="1"/>
    <col min="42" max="42" width="21.09765625" bestFit="1" customWidth="1"/>
    <col min="43" max="43" width="12.09765625" hidden="1" customWidth="1"/>
    <col min="44" max="44" width="15.59765625" hidden="1" customWidth="1"/>
    <col min="45" max="45" width="19.59765625" hidden="1" customWidth="1"/>
    <col min="46" max="46" width="11.59765625" bestFit="1" customWidth="1"/>
    <col min="47" max="47" width="11.59765625" hidden="1" customWidth="1"/>
    <col min="48" max="48" width="15.59765625" hidden="1" customWidth="1"/>
    <col min="49" max="49" width="19" hidden="1" customWidth="1"/>
    <col min="50" max="50" width="12.59765625" bestFit="1" customWidth="1"/>
    <col min="51" max="51" width="8.3984375" bestFit="1" customWidth="1"/>
    <col min="52" max="52" width="5.3984375" bestFit="1" customWidth="1"/>
    <col min="53" max="53" width="4.5" customWidth="1"/>
    <col min="54" max="54" width="46.8984375" bestFit="1" customWidth="1"/>
    <col min="55" max="55" width="8.5" customWidth="1"/>
    <col min="56" max="56" width="51.5" hidden="1" customWidth="1"/>
    <col min="57" max="57" width="106" hidden="1" customWidth="1"/>
    <col min="58" max="58" width="41.09765625" hidden="1" customWidth="1"/>
    <col min="59" max="59" width="12.09765625" customWidth="1"/>
    <col min="60" max="60" width="10.8984375" customWidth="1"/>
    <col min="61" max="61" width="123.3984375" customWidth="1"/>
  </cols>
  <sheetData>
    <row r="1" spans="1:61">
      <c r="A1" s="1" t="s">
        <v>87</v>
      </c>
      <c r="B1" s="1" t="s">
        <v>88</v>
      </c>
      <c r="C1" s="1" t="s">
        <v>89</v>
      </c>
      <c r="D1" s="1" t="s">
        <v>90</v>
      </c>
      <c r="E1" s="1" t="s">
        <v>91</v>
      </c>
      <c r="F1" s="1" t="s">
        <v>92</v>
      </c>
      <c r="G1" s="1" t="s">
        <v>93</v>
      </c>
      <c r="H1" s="1" t="s">
        <v>94</v>
      </c>
      <c r="I1" s="1" t="s">
        <v>95</v>
      </c>
      <c r="J1" s="2" t="s">
        <v>29</v>
      </c>
      <c r="K1" s="2" t="s">
        <v>31</v>
      </c>
      <c r="L1" s="2" t="s">
        <v>33</v>
      </c>
      <c r="M1" s="2" t="s">
        <v>35</v>
      </c>
      <c r="N1" s="2" t="s">
        <v>37</v>
      </c>
      <c r="O1" s="2" t="s">
        <v>39</v>
      </c>
      <c r="P1" s="2" t="s">
        <v>41</v>
      </c>
    </row>
    <row r="2" spans="1:61">
      <c r="A2" cm="1">
        <f t="array" ref="A2:A82">IF(schedule_semester=calculator_semester, 1, 0)</f>
        <v>1</v>
      </c>
      <c r="B2" cm="1">
        <f t="array" ref="B2:B82">IF(schedule_semester&lt;=calculator_semester, 1, 0)</f>
        <v>1</v>
      </c>
      <c r="C2" cm="1">
        <f t="array" ref="C2:C82">IF(schedule_semester&lt;etm_semester, 1, 0)</f>
        <v>1</v>
      </c>
      <c r="D2">
        <f t="shared" ref="D2:D33" si="0">IFERROR(INDEX(grade_number, MATCH(K2, grade_letter, 0))*M2,0)</f>
        <v>4</v>
      </c>
      <c r="E2">
        <f>D2*C2</f>
        <v>4</v>
      </c>
      <c r="F2">
        <f t="shared" ref="F2:F33" si="1">IF(gpa_tf, D2*B2, D2*A2)</f>
        <v>4</v>
      </c>
      <c r="G2">
        <f>IF(M2="",0,M2)</f>
        <v>1</v>
      </c>
      <c r="H2">
        <f>G2*C2</f>
        <v>1</v>
      </c>
      <c r="I2">
        <f>IF('Actuarial Science'!gpa_tf, G2*B2, G2*A2)</f>
        <v>1</v>
      </c>
      <c r="J2" s="53">
        <v>1</v>
      </c>
      <c r="K2" s="51" t="s">
        <v>96</v>
      </c>
      <c r="L2" s="51" t="s">
        <v>97</v>
      </c>
      <c r="M2" s="55" cm="1">
        <f t="array" ref="M2:M82">IF(ISBLANK(schedule_courses),"",IF(ISNA(MATCH(schedule_courses,req_course,0)), (RIGHT(schedule_courses, LEN(schedule_courses) - FIND(" ", schedule_courses)))*1, INDEX(req_credits,MATCH(schedule_courses, req_course,0))))</f>
        <v>1</v>
      </c>
      <c r="N2" s="55" t="str" cm="1">
        <f t="array" ref="N2:N82">IF(ISNA(MATCH(schedule_courses, req_course, 0)), IF(ISBLANK(schedule_courses), "", LEFT(schedule_courses, FIND(" ", schedule_courses)-1)), IF(ISBLANK(INDEX(req_gecode, MATCH(schedule_courses, req_course, 0))), "", INDEX(req_gecode, MATCH(schedule_courses, req_course, 0))))</f>
        <v>FYS</v>
      </c>
      <c r="O2" s="51"/>
      <c r="P2" s="52"/>
      <c r="R2" s="302" t="s">
        <v>98</v>
      </c>
      <c r="S2" s="303"/>
      <c r="T2" s="303"/>
      <c r="U2" s="303"/>
      <c r="V2" s="304"/>
      <c r="W2" s="36" t="s">
        <v>51</v>
      </c>
      <c r="X2" s="37"/>
      <c r="Y2" s="37"/>
      <c r="Z2" s="37"/>
      <c r="AB2" s="93" t="s">
        <v>99</v>
      </c>
      <c r="AC2" s="92"/>
      <c r="AD2" s="92"/>
      <c r="AE2" s="92"/>
      <c r="AF2" s="92"/>
      <c r="AG2" s="92"/>
      <c r="AH2" s="92"/>
      <c r="AI2" s="92"/>
      <c r="AJ2" s="92"/>
      <c r="AK2" s="92"/>
      <c r="AL2" s="92"/>
      <c r="AM2" s="92"/>
      <c r="AN2" s="92"/>
      <c r="AO2" s="92"/>
      <c r="AP2" s="92"/>
      <c r="AQ2" s="92"/>
      <c r="AR2" s="92"/>
      <c r="AS2" s="92"/>
      <c r="AT2" s="92"/>
      <c r="AU2" s="92"/>
      <c r="AV2" s="92"/>
      <c r="AW2" s="92"/>
      <c r="AX2" s="92"/>
      <c r="AY2" s="260"/>
      <c r="AZ2" s="12"/>
      <c r="BA2" s="6"/>
      <c r="BB2" s="35" t="s">
        <v>100</v>
      </c>
      <c r="BD2" s="74" t="s">
        <v>101</v>
      </c>
      <c r="BE2" s="96" t="s">
        <v>102</v>
      </c>
      <c r="BF2" s="24"/>
      <c r="BI2" s="1"/>
    </row>
    <row r="3" spans="1:61">
      <c r="A3">
        <v>1</v>
      </c>
      <c r="B3">
        <v>1</v>
      </c>
      <c r="C3">
        <v>1</v>
      </c>
      <c r="D3">
        <f t="shared" si="0"/>
        <v>16</v>
      </c>
      <c r="E3">
        <f t="shared" ref="E3:E66" si="2">IFERROR(D3*C3,0)</f>
        <v>16</v>
      </c>
      <c r="F3">
        <f t="shared" si="1"/>
        <v>16</v>
      </c>
      <c r="G3">
        <f t="shared" ref="G3:G66" si="3">IF(M3="",0,M3)</f>
        <v>4</v>
      </c>
      <c r="H3">
        <f t="shared" ref="H3:H66" si="4">G3*C3</f>
        <v>4</v>
      </c>
      <c r="I3">
        <f>IF('Actuarial Science'!gpa_tf, G3*B3, G3*A3)</f>
        <v>4</v>
      </c>
      <c r="J3" s="45">
        <v>1</v>
      </c>
      <c r="K3" s="41" t="s">
        <v>96</v>
      </c>
      <c r="L3" s="41" t="s">
        <v>103</v>
      </c>
      <c r="M3" s="24">
        <v>4</v>
      </c>
      <c r="N3" s="24" t="str">
        <v>GQ</v>
      </c>
      <c r="O3" s="41"/>
      <c r="P3" s="48"/>
      <c r="R3" s="305">
        <v>4</v>
      </c>
      <c r="S3" s="306"/>
      <c r="T3" s="306"/>
      <c r="U3" s="306"/>
      <c r="V3" s="307"/>
      <c r="W3" s="34" t="b">
        <f>AND(etm_items_satisfied)</f>
        <v>0</v>
      </c>
      <c r="X3" s="24"/>
      <c r="Y3" s="24"/>
      <c r="Z3" s="24"/>
      <c r="AB3" s="89" t="s">
        <v>73</v>
      </c>
      <c r="AC3" s="88" t="s">
        <v>33</v>
      </c>
      <c r="AD3" s="5" t="s">
        <v>104</v>
      </c>
      <c r="AE3" s="5" t="s">
        <v>105</v>
      </c>
      <c r="AF3" s="91" t="s">
        <v>106</v>
      </c>
      <c r="AG3" s="5" t="s">
        <v>107</v>
      </c>
      <c r="AH3" s="114" t="s">
        <v>108</v>
      </c>
      <c r="AI3" s="5" t="s">
        <v>109</v>
      </c>
      <c r="AJ3" s="5" t="s">
        <v>110</v>
      </c>
      <c r="AK3" s="114" t="s">
        <v>111</v>
      </c>
      <c r="AL3" s="5" t="s">
        <v>112</v>
      </c>
      <c r="AM3" s="114" t="s">
        <v>113</v>
      </c>
      <c r="AN3" s="5" t="s">
        <v>114</v>
      </c>
      <c r="AO3" s="88" t="s">
        <v>35</v>
      </c>
      <c r="AP3" s="88" t="s">
        <v>77</v>
      </c>
      <c r="AQ3" s="91" t="s">
        <v>104</v>
      </c>
      <c r="AR3" s="5" t="s">
        <v>105</v>
      </c>
      <c r="AS3" s="5" t="s">
        <v>115</v>
      </c>
      <c r="AT3" s="88" t="s">
        <v>79</v>
      </c>
      <c r="AU3" s="91" t="s">
        <v>104</v>
      </c>
      <c r="AV3" s="91" t="s">
        <v>105</v>
      </c>
      <c r="AW3" s="5" t="s">
        <v>116</v>
      </c>
      <c r="AX3" s="88" t="s">
        <v>80</v>
      </c>
      <c r="AY3" s="88" t="s">
        <v>37</v>
      </c>
      <c r="AZ3" s="90" t="s">
        <v>83</v>
      </c>
      <c r="BB3" s="57" t="s">
        <v>117</v>
      </c>
      <c r="BD3" s="16" t="s">
        <v>118</v>
      </c>
      <c r="BE3" s="97"/>
      <c r="BF3" s="24"/>
    </row>
    <row r="4" spans="1:61">
      <c r="A4">
        <v>1</v>
      </c>
      <c r="B4">
        <v>1</v>
      </c>
      <c r="C4">
        <v>1</v>
      </c>
      <c r="D4">
        <f t="shared" si="0"/>
        <v>16</v>
      </c>
      <c r="E4">
        <f t="shared" si="2"/>
        <v>16</v>
      </c>
      <c r="F4">
        <f t="shared" si="1"/>
        <v>16</v>
      </c>
      <c r="G4">
        <f t="shared" si="3"/>
        <v>4</v>
      </c>
      <c r="H4">
        <f t="shared" si="4"/>
        <v>4</v>
      </c>
      <c r="I4">
        <f>IF('Actuarial Science'!gpa_tf, G4*B4, G4*A4)</f>
        <v>4</v>
      </c>
      <c r="J4" s="45">
        <v>1</v>
      </c>
      <c r="K4" s="41" t="s">
        <v>96</v>
      </c>
      <c r="L4" s="41" t="s">
        <v>119</v>
      </c>
      <c r="M4" s="24">
        <v>4</v>
      </c>
      <c r="N4" s="24" t="str">
        <v>GQ</v>
      </c>
      <c r="O4" s="41"/>
      <c r="P4" s="48"/>
      <c r="AB4" s="14"/>
      <c r="AC4" s="123" t="s">
        <v>120</v>
      </c>
      <c r="AD4" s="9" t="b">
        <f t="shared" ref="AD4:AD39" si="5">NOT(ISERROR(MATCH(AC4,schedule_courses,0)))</f>
        <v>1</v>
      </c>
      <c r="AE4" s="7">
        <f t="shared" ref="AE4:AE39" si="6">IF(AX4,0,IFERROR(INDEX(schedule_semester,MATCH(AC4,schedule_courses,0)), ""))</f>
        <v>5</v>
      </c>
      <c r="AF4" s="7" t="str">
        <f t="shared" ref="AF4:AF42" si="7">IF(ISNA(MATCH(AC4, $R$6:$R$14, 0)), "", $R$3)</f>
        <v/>
      </c>
      <c r="AG4" s="7" t="b">
        <f t="shared" ref="AG4:AG6" si="8">IF(AE4="", "", AE4&lt;AF4)</f>
        <v>1</v>
      </c>
      <c r="AH4" s="9"/>
      <c r="AI4" s="7" t="b">
        <f t="shared" ref="AI4:AI6" si="9">IF(AE4="", "", AE4&gt;=AH4)</f>
        <v>1</v>
      </c>
      <c r="AJ4" s="7">
        <f t="shared" ref="AJ4:AJ6" si="10">IF(AE4="","",IF(MOD(AE4,2)=0,2,1))</f>
        <v>1</v>
      </c>
      <c r="AK4" s="7"/>
      <c r="AL4" s="7" t="str">
        <f t="shared" ref="AL4:AL6" si="11">IF(AK4&lt;&gt;0, AK4&lt;&gt;AJ4, "")</f>
        <v/>
      </c>
      <c r="AM4" s="7"/>
      <c r="AN4" s="7" t="str">
        <f t="shared" ref="AN4:AN39" si="12">IFERROR(IF(AM4, INDEX(grade_number, MATCH(INDEX(schedule_grades, MATCH(AC4, schedule_courses, 0)), grade_letter, 0))&gt;=2, ""), "")</f>
        <v/>
      </c>
      <c r="AO4" s="9">
        <v>3</v>
      </c>
      <c r="AP4" s="137"/>
      <c r="AQ4" s="7"/>
      <c r="AR4" s="7"/>
      <c r="AS4" s="7"/>
      <c r="AT4" s="137"/>
      <c r="AU4" s="7"/>
      <c r="AV4" s="7"/>
      <c r="AW4" s="7"/>
      <c r="AX4" s="44"/>
      <c r="AY4" s="7"/>
      <c r="AZ4" s="15" t="s">
        <v>121</v>
      </c>
      <c r="BB4" s="58" t="s">
        <v>122</v>
      </c>
      <c r="BD4" s="79" t="s">
        <v>123</v>
      </c>
      <c r="BE4" s="97" t="s">
        <v>124</v>
      </c>
      <c r="BF4" s="24"/>
    </row>
    <row r="5" spans="1:61">
      <c r="A5">
        <v>1</v>
      </c>
      <c r="B5">
        <v>1</v>
      </c>
      <c r="C5">
        <v>1</v>
      </c>
      <c r="D5">
        <f t="shared" si="0"/>
        <v>0</v>
      </c>
      <c r="E5">
        <f t="shared" si="2"/>
        <v>0</v>
      </c>
      <c r="F5">
        <f t="shared" si="1"/>
        <v>0</v>
      </c>
      <c r="G5">
        <f t="shared" si="3"/>
        <v>0</v>
      </c>
      <c r="H5">
        <f t="shared" si="4"/>
        <v>0</v>
      </c>
      <c r="I5">
        <f>IF('Actuarial Science'!gpa_tf, G5*B5, G5*A5)</f>
        <v>0</v>
      </c>
      <c r="J5" s="45">
        <v>1</v>
      </c>
      <c r="K5" s="41"/>
      <c r="L5" s="41"/>
      <c r="M5" s="24" t="str">
        <v/>
      </c>
      <c r="N5" s="24" t="str">
        <v/>
      </c>
      <c r="O5" s="41"/>
      <c r="P5" s="48"/>
      <c r="R5" s="302" t="s">
        <v>58</v>
      </c>
      <c r="S5" s="303"/>
      <c r="T5" s="303"/>
      <c r="U5" s="303"/>
      <c r="V5" s="304"/>
      <c r="W5" s="71" t="s">
        <v>125</v>
      </c>
      <c r="X5" s="35" t="s">
        <v>126</v>
      </c>
      <c r="Y5" s="35" t="s">
        <v>127</v>
      </c>
      <c r="Z5" s="35" t="s">
        <v>51</v>
      </c>
      <c r="AB5" s="14"/>
      <c r="AC5" s="123" t="s">
        <v>128</v>
      </c>
      <c r="AD5" s="9" t="b">
        <f t="shared" si="5"/>
        <v>1</v>
      </c>
      <c r="AE5" s="7">
        <f t="shared" si="6"/>
        <v>7</v>
      </c>
      <c r="AF5" s="7" t="str">
        <f t="shared" si="7"/>
        <v/>
      </c>
      <c r="AG5" s="7" t="b">
        <f t="shared" si="8"/>
        <v>1</v>
      </c>
      <c r="AH5" s="9"/>
      <c r="AI5" s="7" t="b">
        <f t="shared" si="9"/>
        <v>1</v>
      </c>
      <c r="AJ5" s="7">
        <f t="shared" si="10"/>
        <v>1</v>
      </c>
      <c r="AK5" s="7"/>
      <c r="AL5" s="7" t="str">
        <f t="shared" si="11"/>
        <v/>
      </c>
      <c r="AM5" s="7"/>
      <c r="AN5" s="7" t="str">
        <f t="shared" si="12"/>
        <v/>
      </c>
      <c r="AO5" s="9">
        <v>3</v>
      </c>
      <c r="AP5" s="137"/>
      <c r="AQ5" s="7"/>
      <c r="AR5" s="7"/>
      <c r="AS5" s="7"/>
      <c r="AT5" s="137"/>
      <c r="AU5" s="7"/>
      <c r="AV5" s="7"/>
      <c r="AW5" s="7"/>
      <c r="AX5" s="44"/>
      <c r="AY5" s="7"/>
      <c r="AZ5" s="15" t="s">
        <v>121</v>
      </c>
      <c r="BB5" s="59" t="s">
        <v>129</v>
      </c>
      <c r="BD5" s="75" t="s">
        <v>130</v>
      </c>
      <c r="BE5" s="98" t="s">
        <v>131</v>
      </c>
      <c r="BF5" s="24"/>
    </row>
    <row r="6" spans="1:61">
      <c r="A6">
        <v>1</v>
      </c>
      <c r="B6">
        <v>1</v>
      </c>
      <c r="C6">
        <v>1</v>
      </c>
      <c r="D6">
        <f t="shared" si="0"/>
        <v>11.01</v>
      </c>
      <c r="E6">
        <f t="shared" si="2"/>
        <v>11.01</v>
      </c>
      <c r="F6">
        <f t="shared" si="1"/>
        <v>11.01</v>
      </c>
      <c r="G6">
        <f t="shared" si="3"/>
        <v>3</v>
      </c>
      <c r="H6">
        <f t="shared" si="4"/>
        <v>3</v>
      </c>
      <c r="I6">
        <f>IF('Actuarial Science'!gpa_tf, G6*B6, G6*A6)</f>
        <v>3</v>
      </c>
      <c r="J6" s="45">
        <v>1</v>
      </c>
      <c r="K6" s="41" t="s">
        <v>132</v>
      </c>
      <c r="L6" s="41" t="s">
        <v>133</v>
      </c>
      <c r="M6" s="24">
        <v>3</v>
      </c>
      <c r="N6" s="24" t="str">
        <v>GWS</v>
      </c>
      <c r="O6" s="41"/>
      <c r="P6" s="48"/>
      <c r="R6" s="296" t="str">
        <f>'Actuarial Science'!engl</f>
        <v>ENGL 15</v>
      </c>
      <c r="S6" s="297"/>
      <c r="T6" s="297"/>
      <c r="U6" s="297"/>
      <c r="V6" s="298"/>
      <c r="W6" s="14">
        <f>MATCH(R6, 'Actuarial Science'!req_course, 0)</f>
        <v>5</v>
      </c>
      <c r="X6" s="33" t="b" cm="1">
        <f t="array" ref="X6">INDEX('Actuarial Science'!req_semester_taken,W6)&lt;etm_semester</f>
        <v>1</v>
      </c>
      <c r="Y6" s="33" t="b" cm="1">
        <f t="array" ref="Y6">OR(INDEX(req_cb_satisfied, W6) = TRUE, INDEX('Actuarial Science'!req_tr_AP_credit, W6) = TRUE)</f>
        <v>1</v>
      </c>
      <c r="Z6" s="33" t="b">
        <f>AND(X6, Y6)</f>
        <v>1</v>
      </c>
      <c r="AB6" s="14"/>
      <c r="AC6" s="123" t="s">
        <v>134</v>
      </c>
      <c r="AD6" s="9" t="b">
        <f t="shared" si="5"/>
        <v>1</v>
      </c>
      <c r="AE6" s="7">
        <f t="shared" si="6"/>
        <v>6</v>
      </c>
      <c r="AF6" s="7" t="str">
        <f t="shared" si="7"/>
        <v/>
      </c>
      <c r="AG6" s="7" t="b">
        <f t="shared" si="8"/>
        <v>1</v>
      </c>
      <c r="AH6" s="9"/>
      <c r="AI6" s="7" t="b">
        <f t="shared" si="9"/>
        <v>1</v>
      </c>
      <c r="AJ6" s="7">
        <f t="shared" si="10"/>
        <v>2</v>
      </c>
      <c r="AK6" s="7"/>
      <c r="AL6" s="7" t="str">
        <f t="shared" si="11"/>
        <v/>
      </c>
      <c r="AM6" s="7"/>
      <c r="AN6" s="7" t="str">
        <f t="shared" si="12"/>
        <v/>
      </c>
      <c r="AO6" s="105">
        <v>3</v>
      </c>
      <c r="AP6" s="137"/>
      <c r="AQ6" s="7"/>
      <c r="AR6" s="7"/>
      <c r="AS6" s="7"/>
      <c r="AT6" s="137"/>
      <c r="AU6" s="7"/>
      <c r="AV6" s="7"/>
      <c r="AW6" s="7"/>
      <c r="AX6" s="44"/>
      <c r="AY6" s="7"/>
      <c r="AZ6" s="15" t="s">
        <v>121</v>
      </c>
      <c r="BB6" s="60" t="s">
        <v>135</v>
      </c>
      <c r="BD6" s="16" t="s">
        <v>136</v>
      </c>
      <c r="BE6" s="15"/>
      <c r="BF6" s="24"/>
    </row>
    <row r="7" spans="1:61">
      <c r="A7">
        <v>1</v>
      </c>
      <c r="B7">
        <v>1</v>
      </c>
      <c r="C7">
        <v>1</v>
      </c>
      <c r="D7">
        <f t="shared" si="0"/>
        <v>12</v>
      </c>
      <c r="E7">
        <f t="shared" si="2"/>
        <v>12</v>
      </c>
      <c r="F7">
        <f t="shared" si="1"/>
        <v>12</v>
      </c>
      <c r="G7">
        <f t="shared" si="3"/>
        <v>3</v>
      </c>
      <c r="H7">
        <f t="shared" si="4"/>
        <v>3</v>
      </c>
      <c r="I7">
        <f>IF('Actuarial Science'!gpa_tf, G7*B7, G7*A7)</f>
        <v>3</v>
      </c>
      <c r="J7" s="45">
        <v>1</v>
      </c>
      <c r="K7" s="41" t="s">
        <v>96</v>
      </c>
      <c r="L7" s="41" t="s">
        <v>137</v>
      </c>
      <c r="M7" s="24">
        <v>3</v>
      </c>
      <c r="N7" s="24" t="str">
        <v>GN</v>
      </c>
      <c r="O7" s="41"/>
      <c r="P7" s="48"/>
      <c r="R7" s="296" t="s">
        <v>138</v>
      </c>
      <c r="S7" s="297"/>
      <c r="T7" s="297"/>
      <c r="U7" s="297"/>
      <c r="V7" s="298"/>
      <c r="W7" s="14">
        <f>MATCH(R7, 'Actuarial Science'!req_course, 0)</f>
        <v>7</v>
      </c>
      <c r="X7" s="33" t="b" cm="1">
        <f t="array" ref="X7">INDEX('Actuarial Science'!req_semester_taken,W7)&lt;etm_semester</f>
        <v>1</v>
      </c>
      <c r="Y7" s="33" t="b" cm="1">
        <f t="array" ref="Y7">OR(INDEX(req_cb_satisfied, W7) = TRUE, INDEX('Actuarial Science'!req_tr_AP_credit, W7) = TRUE)</f>
        <v>1</v>
      </c>
      <c r="Z7" s="33" t="b">
        <f t="shared" ref="Z7:Z14" si="13">AND(X7, Y7)</f>
        <v>1</v>
      </c>
      <c r="AB7" s="14"/>
      <c r="AC7" s="123" t="s">
        <v>139</v>
      </c>
      <c r="AD7" s="9" t="b">
        <f t="shared" si="5"/>
        <v>1</v>
      </c>
      <c r="AE7" s="7">
        <f t="shared" si="6"/>
        <v>3</v>
      </c>
      <c r="AF7" s="7" t="str">
        <f t="shared" si="7"/>
        <v/>
      </c>
      <c r="AG7" s="7" t="b">
        <f t="shared" ref="AG7:AG12" si="14">IF(AE7="", "", AE7&lt;AF7)</f>
        <v>1</v>
      </c>
      <c r="AH7" s="9"/>
      <c r="AI7" s="7" t="b">
        <f t="shared" ref="AI7:AI12" si="15">IF(AE7="", "", AE7&gt;=AH7)</f>
        <v>1</v>
      </c>
      <c r="AJ7" s="7">
        <f t="shared" ref="AJ7:AJ12" si="16">IF(AE7="","",IF(MOD(AE7,2)=0,2,1))</f>
        <v>1</v>
      </c>
      <c r="AK7" s="7"/>
      <c r="AL7" s="7" t="str">
        <f t="shared" ref="AL7:AL12" si="17">IF(AK7&lt;&gt;0, AK7&lt;&gt;AJ7, "")</f>
        <v/>
      </c>
      <c r="AM7" s="7"/>
      <c r="AN7" s="7" t="str">
        <f t="shared" si="12"/>
        <v/>
      </c>
      <c r="AO7" s="9">
        <v>3</v>
      </c>
      <c r="AP7" s="137"/>
      <c r="AQ7" s="7" t="str">
        <f t="shared" ref="AQ7:AQ12" si="18">IF(AP7=0,"",NOT(ISERROR(MATCH(AP7,schedule_courses,0))))</f>
        <v/>
      </c>
      <c r="AR7" s="7" t="str">
        <f t="shared" ref="AR7:AR12" si="19">IF(IFERROR(INDEX(req_tr_AP_credit, MATCH(AP7, req_course,0)), FALSE),0,IFERROR(INDEX(schedule_semester,MATCH(AP7,schedule_courses,0)), ""))</f>
        <v/>
      </c>
      <c r="AS7" s="7" t="str">
        <f t="shared" ref="AS7:AS12" si="20">IF(AR7&lt;&gt;"", AR7&lt;AE7, "")</f>
        <v/>
      </c>
      <c r="AT7" s="137"/>
      <c r="AU7" s="7" t="str">
        <f t="shared" ref="AU7:AU12" si="21">IF(AT7=0,"",NOT(ISERROR(MATCH(AT7,schedule_courses,0))))</f>
        <v/>
      </c>
      <c r="AV7" s="7" t="str">
        <f t="shared" ref="AV7:AV12" si="22">IF(IFERROR(INDEX(req_tr_AP_credit, MATCH(AT7, req_course)), FALSE),0,IFERROR(INDEX(schedule_semester,MATCH(AT7,schedule_courses,0)), ""))</f>
        <v/>
      </c>
      <c r="AW7" s="7" t="str">
        <f t="shared" ref="AW7:AW12" si="23">IF(AV7&lt;&gt;"", AV7&lt;=AE7, "")</f>
        <v/>
      </c>
      <c r="AX7" s="44"/>
      <c r="AY7" s="7" t="s">
        <v>140</v>
      </c>
      <c r="AZ7" s="15" t="s">
        <v>121</v>
      </c>
      <c r="BB7" s="61" t="s">
        <v>141</v>
      </c>
      <c r="BD7" s="78" t="s">
        <v>142</v>
      </c>
      <c r="BE7" s="99" t="s">
        <v>143</v>
      </c>
      <c r="BF7" s="24"/>
    </row>
    <row r="8" spans="1:61" ht="31.2">
      <c r="A8">
        <v>1</v>
      </c>
      <c r="B8">
        <v>1</v>
      </c>
      <c r="C8">
        <v>1</v>
      </c>
      <c r="D8">
        <f t="shared" si="0"/>
        <v>0</v>
      </c>
      <c r="E8">
        <f t="shared" si="2"/>
        <v>0</v>
      </c>
      <c r="F8">
        <f t="shared" si="1"/>
        <v>0</v>
      </c>
      <c r="G8">
        <f t="shared" si="3"/>
        <v>0</v>
      </c>
      <c r="H8">
        <f t="shared" si="4"/>
        <v>0</v>
      </c>
      <c r="I8">
        <f>IF('Actuarial Science'!gpa_tf, G8*B8, G8*A8)</f>
        <v>0</v>
      </c>
      <c r="J8" s="45">
        <v>1</v>
      </c>
      <c r="K8" s="41"/>
      <c r="L8" s="41"/>
      <c r="M8" s="24" t="str">
        <v/>
      </c>
      <c r="N8" s="24" t="str">
        <v/>
      </c>
      <c r="O8" s="41"/>
      <c r="P8" s="48"/>
      <c r="R8" s="296" t="s">
        <v>103</v>
      </c>
      <c r="S8" s="297"/>
      <c r="T8" s="297"/>
      <c r="U8" s="297"/>
      <c r="V8" s="298"/>
      <c r="W8" s="14">
        <f>MATCH(R8, 'Actuarial Science'!req_course, 0)</f>
        <v>8</v>
      </c>
      <c r="X8" s="33" t="b" cm="1">
        <f t="array" ref="X8">INDEX('Actuarial Science'!req_semester_taken,W8)&lt;etm_semester</f>
        <v>1</v>
      </c>
      <c r="Y8" s="33" t="b" cm="1">
        <f t="array" ref="Y8">OR(INDEX(req_cb_satisfied, W8) = TRUE, INDEX('Actuarial Science'!req_tr_AP_credit, W8) = TRUE)</f>
        <v>1</v>
      </c>
      <c r="Z8" s="33" t="b">
        <f t="shared" si="13"/>
        <v>1</v>
      </c>
      <c r="AA8" s="251" t="s">
        <v>133</v>
      </c>
      <c r="AB8" s="202" t="s">
        <v>144</v>
      </c>
      <c r="AC8" s="141" t="s">
        <v>133</v>
      </c>
      <c r="AD8" s="9" t="b">
        <f t="shared" si="5"/>
        <v>1</v>
      </c>
      <c r="AE8" s="7">
        <f t="shared" si="6"/>
        <v>1</v>
      </c>
      <c r="AF8" s="7">
        <f t="shared" si="7"/>
        <v>4</v>
      </c>
      <c r="AG8" s="7" t="b">
        <f t="shared" si="14"/>
        <v>1</v>
      </c>
      <c r="AH8" s="9"/>
      <c r="AI8" s="7" t="b">
        <f t="shared" si="15"/>
        <v>1</v>
      </c>
      <c r="AJ8" s="7">
        <f t="shared" si="16"/>
        <v>1</v>
      </c>
      <c r="AK8" s="7"/>
      <c r="AL8" s="7" t="str">
        <f t="shared" si="17"/>
        <v/>
      </c>
      <c r="AM8" s="6" t="b">
        <v>1</v>
      </c>
      <c r="AN8" s="7" t="b">
        <f t="shared" si="12"/>
        <v>1</v>
      </c>
      <c r="AO8" s="105">
        <v>3</v>
      </c>
      <c r="AP8" s="137"/>
      <c r="AQ8" s="7" t="str">
        <f t="shared" si="18"/>
        <v/>
      </c>
      <c r="AR8" s="7" t="str">
        <f t="shared" si="19"/>
        <v/>
      </c>
      <c r="AS8" s="7" t="str">
        <f t="shared" si="20"/>
        <v/>
      </c>
      <c r="AT8" s="137"/>
      <c r="AU8" s="7" t="str">
        <f t="shared" si="21"/>
        <v/>
      </c>
      <c r="AV8" s="7" t="str">
        <f t="shared" si="22"/>
        <v/>
      </c>
      <c r="AW8" s="7" t="str">
        <f t="shared" si="23"/>
        <v/>
      </c>
      <c r="AX8" s="44"/>
      <c r="AY8" s="7" t="s">
        <v>140</v>
      </c>
      <c r="AZ8" s="15" t="s">
        <v>121</v>
      </c>
      <c r="BB8" s="56" t="s">
        <v>145</v>
      </c>
      <c r="BD8" s="77" t="s">
        <v>146</v>
      </c>
      <c r="BE8" s="99" t="s">
        <v>147</v>
      </c>
      <c r="BF8" s="24"/>
    </row>
    <row r="9" spans="1:61">
      <c r="A9">
        <v>1</v>
      </c>
      <c r="B9">
        <v>1</v>
      </c>
      <c r="C9">
        <v>1</v>
      </c>
      <c r="D9">
        <f>IFERROR(INDEX(grade_number, MATCH(K9, grade_letter, 0))*M9,0)</f>
        <v>0</v>
      </c>
      <c r="E9">
        <f t="shared" si="2"/>
        <v>0</v>
      </c>
      <c r="F9">
        <f t="shared" si="1"/>
        <v>0</v>
      </c>
      <c r="G9">
        <f t="shared" si="3"/>
        <v>0</v>
      </c>
      <c r="H9">
        <f t="shared" si="4"/>
        <v>0</v>
      </c>
      <c r="I9">
        <f>IF('Actuarial Science'!gpa_tf, G9*B9, G9*A9)</f>
        <v>0</v>
      </c>
      <c r="J9" s="45">
        <v>1</v>
      </c>
      <c r="K9" s="41"/>
      <c r="L9" s="198"/>
      <c r="M9" t="str">
        <v/>
      </c>
      <c r="N9" s="24" t="str">
        <v/>
      </c>
      <c r="O9" s="41"/>
      <c r="P9" s="48"/>
      <c r="R9" s="296" t="str">
        <f>AC27</f>
        <v>STAT 200</v>
      </c>
      <c r="S9" s="297"/>
      <c r="T9" s="297"/>
      <c r="U9" s="297"/>
      <c r="V9" s="298"/>
      <c r="W9" s="14">
        <f>MATCH(R9, 'Actuarial Science'!req_course, 0)</f>
        <v>24</v>
      </c>
      <c r="X9" s="33" t="b" cm="1">
        <f t="array" ref="X9">INDEX('Actuarial Science'!req_semester_taken,W9)&lt;etm_semester</f>
        <v>1</v>
      </c>
      <c r="Y9" s="33" t="b" cm="1">
        <f t="array" ref="Y9">OR(INDEX(req_cb_satisfied, W9) = TRUE, INDEX('Actuarial Science'!req_tr_AP_credit, W9) = TRUE)</f>
        <v>1</v>
      </c>
      <c r="Z9" s="33" t="b">
        <f t="shared" si="13"/>
        <v>1</v>
      </c>
      <c r="AA9" s="251" t="s">
        <v>148</v>
      </c>
      <c r="AB9" s="14"/>
      <c r="AC9" s="125" t="s">
        <v>149</v>
      </c>
      <c r="AD9" s="9" t="b">
        <f t="shared" si="5"/>
        <v>1</v>
      </c>
      <c r="AE9" s="7">
        <f t="shared" si="6"/>
        <v>6</v>
      </c>
      <c r="AF9" s="7" t="str">
        <f t="shared" si="7"/>
        <v/>
      </c>
      <c r="AG9" s="7" t="b">
        <f t="shared" si="14"/>
        <v>1</v>
      </c>
      <c r="AH9" s="9"/>
      <c r="AI9" s="7" t="b">
        <f t="shared" si="15"/>
        <v>1</v>
      </c>
      <c r="AJ9" s="7">
        <f t="shared" si="16"/>
        <v>2</v>
      </c>
      <c r="AK9" s="7"/>
      <c r="AL9" s="7" t="str">
        <f t="shared" si="17"/>
        <v/>
      </c>
      <c r="AM9" s="7"/>
      <c r="AN9" s="7" t="str">
        <f t="shared" si="12"/>
        <v/>
      </c>
      <c r="AO9" s="105">
        <v>3</v>
      </c>
      <c r="AP9" s="137"/>
      <c r="AQ9" s="7" t="str">
        <f t="shared" si="18"/>
        <v/>
      </c>
      <c r="AR9" s="7" t="str">
        <f t="shared" si="19"/>
        <v/>
      </c>
      <c r="AS9" s="7" t="str">
        <f t="shared" si="20"/>
        <v/>
      </c>
      <c r="AT9" s="137"/>
      <c r="AU9" s="7" t="str">
        <f t="shared" si="21"/>
        <v/>
      </c>
      <c r="AV9" s="7" t="str">
        <f t="shared" si="22"/>
        <v/>
      </c>
      <c r="AW9" s="7" t="str">
        <f t="shared" si="23"/>
        <v/>
      </c>
      <c r="AX9" s="41"/>
      <c r="AY9" s="24" t="s">
        <v>140</v>
      </c>
      <c r="AZ9" s="15" t="s">
        <v>121</v>
      </c>
      <c r="BB9" s="33"/>
      <c r="BD9" s="80" t="s">
        <v>150</v>
      </c>
      <c r="BE9" s="98" t="s">
        <v>151</v>
      </c>
      <c r="BF9" s="24"/>
    </row>
    <row r="10" spans="1:61">
      <c r="A10">
        <v>1</v>
      </c>
      <c r="B10">
        <v>1</v>
      </c>
      <c r="C10">
        <v>1</v>
      </c>
      <c r="D10">
        <f t="shared" si="0"/>
        <v>0</v>
      </c>
      <c r="E10">
        <f t="shared" si="2"/>
        <v>0</v>
      </c>
      <c r="F10">
        <f t="shared" si="1"/>
        <v>0</v>
      </c>
      <c r="G10">
        <f t="shared" si="3"/>
        <v>0</v>
      </c>
      <c r="H10">
        <f t="shared" si="4"/>
        <v>0</v>
      </c>
      <c r="I10">
        <f>IF('Actuarial Science'!gpa_tf, G10*B10, G10*A10)</f>
        <v>0</v>
      </c>
      <c r="J10" s="54">
        <v>1</v>
      </c>
      <c r="K10" s="43"/>
      <c r="L10" s="43"/>
      <c r="M10" s="10" t="str">
        <v/>
      </c>
      <c r="N10" s="10" t="str">
        <v/>
      </c>
      <c r="O10" s="43"/>
      <c r="P10" s="49"/>
      <c r="R10" s="296" t="s">
        <v>152</v>
      </c>
      <c r="S10" s="297"/>
      <c r="T10" s="297"/>
      <c r="U10" s="297"/>
      <c r="V10" s="298"/>
      <c r="W10" s="14">
        <f>MATCH(R10, 'Actuarial Science'!req_course, 0)</f>
        <v>31</v>
      </c>
      <c r="X10" s="33" t="b" cm="1">
        <f t="array" ref="X10">INDEX('Actuarial Science'!req_semester_taken,W10)&lt;etm_semester</f>
        <v>1</v>
      </c>
      <c r="Y10" s="203" t="s">
        <v>153</v>
      </c>
      <c r="Z10" s="33" t="b">
        <f t="shared" si="13"/>
        <v>1</v>
      </c>
      <c r="AB10" s="14"/>
      <c r="AC10" s="126" t="s">
        <v>138</v>
      </c>
      <c r="AD10" s="7" t="b">
        <f t="shared" si="5"/>
        <v>0</v>
      </c>
      <c r="AE10" s="7">
        <f t="shared" si="6"/>
        <v>0</v>
      </c>
      <c r="AF10" s="7">
        <f t="shared" si="7"/>
        <v>4</v>
      </c>
      <c r="AG10" s="7" t="b">
        <f t="shared" si="14"/>
        <v>1</v>
      </c>
      <c r="AH10" s="9"/>
      <c r="AI10" s="7" t="b">
        <f t="shared" si="15"/>
        <v>1</v>
      </c>
      <c r="AJ10" s="7">
        <f t="shared" si="16"/>
        <v>2</v>
      </c>
      <c r="AK10" s="7"/>
      <c r="AL10" s="7" t="str">
        <f t="shared" si="17"/>
        <v/>
      </c>
      <c r="AM10" s="7" t="b">
        <v>1</v>
      </c>
      <c r="AN10" s="7" t="str">
        <f t="shared" si="12"/>
        <v/>
      </c>
      <c r="AO10" s="105">
        <v>4</v>
      </c>
      <c r="AP10" s="137"/>
      <c r="AQ10" s="7" t="str">
        <f t="shared" si="18"/>
        <v/>
      </c>
      <c r="AR10" s="7" t="str">
        <f t="shared" si="19"/>
        <v/>
      </c>
      <c r="AS10" s="7" t="str">
        <f t="shared" si="20"/>
        <v/>
      </c>
      <c r="AT10" s="137"/>
      <c r="AU10" s="7" t="str">
        <f t="shared" si="21"/>
        <v/>
      </c>
      <c r="AV10" s="7" t="str">
        <f t="shared" si="22"/>
        <v/>
      </c>
      <c r="AW10" s="7" t="str">
        <f t="shared" si="23"/>
        <v/>
      </c>
      <c r="AX10" s="44" t="b">
        <v>1</v>
      </c>
      <c r="AY10" s="7" t="s">
        <v>154</v>
      </c>
      <c r="AZ10" s="15" t="s">
        <v>121</v>
      </c>
      <c r="BB10" s="33" t="s">
        <v>155</v>
      </c>
      <c r="BD10" s="81" t="s">
        <v>156</v>
      </c>
      <c r="BE10" s="99" t="s">
        <v>157</v>
      </c>
      <c r="BF10" s="24"/>
    </row>
    <row r="11" spans="1:61">
      <c r="A11">
        <v>0</v>
      </c>
      <c r="B11">
        <v>0</v>
      </c>
      <c r="C11">
        <v>1</v>
      </c>
      <c r="D11">
        <f t="shared" si="0"/>
        <v>8</v>
      </c>
      <c r="E11">
        <f t="shared" si="2"/>
        <v>8</v>
      </c>
      <c r="F11">
        <f t="shared" si="1"/>
        <v>0</v>
      </c>
      <c r="G11">
        <f t="shared" si="3"/>
        <v>2</v>
      </c>
      <c r="H11">
        <f t="shared" si="4"/>
        <v>2</v>
      </c>
      <c r="I11">
        <f>IF('Actuarial Science'!gpa_tf, G11*B11, G11*A11)</f>
        <v>0</v>
      </c>
      <c r="J11" s="50">
        <v>2</v>
      </c>
      <c r="K11" s="41" t="s">
        <v>96</v>
      </c>
      <c r="L11" s="51" t="s">
        <v>158</v>
      </c>
      <c r="M11" s="55">
        <v>2</v>
      </c>
      <c r="N11" s="55" t="str">
        <v>GQ</v>
      </c>
      <c r="O11" s="51"/>
      <c r="P11" s="52"/>
      <c r="R11" s="296" t="s">
        <v>159</v>
      </c>
      <c r="S11" s="297"/>
      <c r="T11" s="297"/>
      <c r="U11" s="297"/>
      <c r="V11" s="298"/>
      <c r="W11" s="14">
        <f>MATCH(R11, 'Actuarial Science'!req_course, 0)</f>
        <v>30</v>
      </c>
      <c r="X11" s="33" t="b" cm="1">
        <f t="array" ref="X11">INDEX('Actuarial Science'!req_semester_taken,W11)&lt;etm_semester</f>
        <v>1</v>
      </c>
      <c r="Y11" s="33" t="b" cm="1">
        <f t="array" ref="Y11">OR(INDEX(req_cb_satisfied, W11) = TRUE, INDEX('Actuarial Science'!req_tr_AP_credit, W11) = TRUE)</f>
        <v>1</v>
      </c>
      <c r="Z11" s="33" t="b">
        <f t="shared" si="13"/>
        <v>1</v>
      </c>
      <c r="AB11" s="16"/>
      <c r="AC11" s="123" t="s">
        <v>103</v>
      </c>
      <c r="AD11" s="7" t="b">
        <f t="shared" si="5"/>
        <v>1</v>
      </c>
      <c r="AE11" s="7">
        <f t="shared" si="6"/>
        <v>1</v>
      </c>
      <c r="AF11" s="7">
        <f t="shared" si="7"/>
        <v>4</v>
      </c>
      <c r="AG11" s="7" t="b">
        <f t="shared" si="14"/>
        <v>1</v>
      </c>
      <c r="AH11" s="9"/>
      <c r="AI11" s="7" t="b">
        <f t="shared" si="15"/>
        <v>1</v>
      </c>
      <c r="AJ11" s="7">
        <f t="shared" si="16"/>
        <v>1</v>
      </c>
      <c r="AK11" s="7"/>
      <c r="AL11" s="7" t="str">
        <f t="shared" si="17"/>
        <v/>
      </c>
      <c r="AM11" s="7" t="b">
        <v>1</v>
      </c>
      <c r="AN11" s="7" t="b">
        <f t="shared" si="12"/>
        <v>1</v>
      </c>
      <c r="AO11" s="105">
        <v>4</v>
      </c>
      <c r="AP11" s="137" t="s">
        <v>138</v>
      </c>
      <c r="AQ11" s="7" t="b">
        <f t="shared" si="18"/>
        <v>0</v>
      </c>
      <c r="AR11" s="7">
        <f t="shared" si="19"/>
        <v>0</v>
      </c>
      <c r="AS11" s="7" t="b">
        <f t="shared" si="20"/>
        <v>1</v>
      </c>
      <c r="AT11" s="137"/>
      <c r="AU11" s="7" t="str">
        <f t="shared" si="21"/>
        <v/>
      </c>
      <c r="AV11" s="7" t="str">
        <f t="shared" si="22"/>
        <v/>
      </c>
      <c r="AW11" s="7" t="str">
        <f t="shared" si="23"/>
        <v/>
      </c>
      <c r="AX11" s="44"/>
      <c r="AY11" s="7" t="s">
        <v>154</v>
      </c>
      <c r="AZ11" s="15" t="s">
        <v>121</v>
      </c>
      <c r="BB11" s="33" t="s">
        <v>160</v>
      </c>
      <c r="BD11" s="82" t="s">
        <v>161</v>
      </c>
      <c r="BE11" s="99" t="s">
        <v>162</v>
      </c>
      <c r="BF11" s="24"/>
    </row>
    <row r="12" spans="1:61" ht="46.8">
      <c r="A12">
        <v>0</v>
      </c>
      <c r="B12">
        <v>0</v>
      </c>
      <c r="C12">
        <v>1</v>
      </c>
      <c r="D12">
        <f t="shared" si="0"/>
        <v>8</v>
      </c>
      <c r="E12">
        <f t="shared" si="2"/>
        <v>8</v>
      </c>
      <c r="F12">
        <f t="shared" si="1"/>
        <v>0</v>
      </c>
      <c r="G12">
        <f t="shared" si="3"/>
        <v>2</v>
      </c>
      <c r="H12">
        <f t="shared" si="4"/>
        <v>2</v>
      </c>
      <c r="I12">
        <f>IF('Actuarial Science'!gpa_tf, G12*B12, G12*A12)</f>
        <v>0</v>
      </c>
      <c r="J12" s="46">
        <v>2</v>
      </c>
      <c r="K12" s="41" t="s">
        <v>96</v>
      </c>
      <c r="L12" s="41" t="s">
        <v>163</v>
      </c>
      <c r="M12" s="24">
        <v>2</v>
      </c>
      <c r="N12" s="24" t="str">
        <v/>
      </c>
      <c r="O12" s="41"/>
      <c r="P12" s="48"/>
      <c r="R12" s="296" t="s">
        <v>164</v>
      </c>
      <c r="S12" s="297"/>
      <c r="T12" s="297"/>
      <c r="U12" s="297"/>
      <c r="V12" s="298"/>
      <c r="W12" s="14">
        <f>MATCH(R12, 'Actuarial Science'!req_course, 0)</f>
        <v>12</v>
      </c>
      <c r="X12" s="33" t="b" cm="1">
        <f t="array" ref="X12">INDEX('Actuarial Science'!req_semester_taken,W12)&lt;etm_semester</f>
        <v>1</v>
      </c>
      <c r="Y12" s="33" t="b" cm="1">
        <f t="array" ref="Y12">OR(INDEX(req_cb_satisfied, W12) = TRUE, INDEX('Actuarial Science'!req_tr_AP_credit, W12) = TRUE)</f>
        <v>0</v>
      </c>
      <c r="Z12" s="33" t="b">
        <f t="shared" si="13"/>
        <v>0</v>
      </c>
      <c r="AA12" s="251" t="s">
        <v>165</v>
      </c>
      <c r="AB12" s="202" t="s">
        <v>166</v>
      </c>
      <c r="AC12" s="195" t="s">
        <v>167</v>
      </c>
      <c r="AD12" s="9" t="b">
        <f t="shared" si="5"/>
        <v>1</v>
      </c>
      <c r="AE12" s="7">
        <f t="shared" si="6"/>
        <v>2</v>
      </c>
      <c r="AF12" s="7" t="str">
        <f t="shared" si="7"/>
        <v/>
      </c>
      <c r="AG12" s="7" t="b">
        <f t="shared" si="14"/>
        <v>1</v>
      </c>
      <c r="AH12" s="9"/>
      <c r="AI12" s="7" t="b">
        <f t="shared" si="15"/>
        <v>1</v>
      </c>
      <c r="AJ12" s="7">
        <f t="shared" si="16"/>
        <v>2</v>
      </c>
      <c r="AK12" s="7"/>
      <c r="AL12" s="7" t="str">
        <f t="shared" si="17"/>
        <v/>
      </c>
      <c r="AM12" s="7"/>
      <c r="AN12" s="7" t="str">
        <f t="shared" si="12"/>
        <v/>
      </c>
      <c r="AO12" s="9" cm="1">
        <f t="array" ref="AO12">IFERROR(_xlfn.IFS(AC12="MATH 231", 2, AC12="MATH 230", 4), 0)</f>
        <v>2</v>
      </c>
      <c r="AP12" s="138" t="s">
        <v>103</v>
      </c>
      <c r="AQ12" s="7" t="b">
        <f t="shared" si="18"/>
        <v>1</v>
      </c>
      <c r="AR12" s="7">
        <f t="shared" si="19"/>
        <v>1</v>
      </c>
      <c r="AS12" s="7" t="b">
        <f t="shared" si="20"/>
        <v>1</v>
      </c>
      <c r="AT12" s="137"/>
      <c r="AU12" s="7" t="str">
        <f t="shared" si="21"/>
        <v/>
      </c>
      <c r="AV12" s="7" t="str">
        <f t="shared" si="22"/>
        <v/>
      </c>
      <c r="AW12" s="7" t="str">
        <f t="shared" si="23"/>
        <v/>
      </c>
      <c r="AX12" s="44"/>
      <c r="AY12" s="6" t="s">
        <v>154</v>
      </c>
      <c r="AZ12" s="15" t="s">
        <v>121</v>
      </c>
      <c r="BB12" s="33" t="s">
        <v>168</v>
      </c>
      <c r="BD12" s="84" t="s">
        <v>169</v>
      </c>
      <c r="BE12" s="98" t="s">
        <v>170</v>
      </c>
      <c r="BF12" s="24"/>
    </row>
    <row r="13" spans="1:61">
      <c r="A13">
        <v>0</v>
      </c>
      <c r="B13">
        <v>0</v>
      </c>
      <c r="C13">
        <v>1</v>
      </c>
      <c r="D13">
        <f t="shared" si="0"/>
        <v>12</v>
      </c>
      <c r="E13">
        <f t="shared" si="2"/>
        <v>12</v>
      </c>
      <c r="F13">
        <f t="shared" si="1"/>
        <v>0</v>
      </c>
      <c r="G13">
        <f t="shared" si="3"/>
        <v>3</v>
      </c>
      <c r="H13">
        <f t="shared" si="4"/>
        <v>3</v>
      </c>
      <c r="I13">
        <f>IF('Actuarial Science'!gpa_tf, G13*B13, G13*A13)</f>
        <v>0</v>
      </c>
      <c r="J13" s="46">
        <v>2</v>
      </c>
      <c r="K13" s="41" t="s">
        <v>96</v>
      </c>
      <c r="L13" s="41" t="s">
        <v>171</v>
      </c>
      <c r="M13" s="24">
        <v>3</v>
      </c>
      <c r="N13" s="24" t="str">
        <v/>
      </c>
      <c r="O13" s="41"/>
      <c r="P13" s="48"/>
      <c r="R13" s="296" t="s">
        <v>171</v>
      </c>
      <c r="S13" s="297"/>
      <c r="T13" s="297"/>
      <c r="U13" s="297"/>
      <c r="V13" s="298"/>
      <c r="W13" s="14">
        <f>MATCH(R13, 'Actuarial Science'!req_course, 0)</f>
        <v>10</v>
      </c>
      <c r="X13" s="33" t="b" cm="1">
        <f t="array" ref="X13">INDEX('Actuarial Science'!req_semester_taken,W13)&lt;etm_semester</f>
        <v>1</v>
      </c>
      <c r="Y13" s="33" t="b" cm="1">
        <f t="array" ref="Y13">OR(INDEX(req_cb_satisfied, W13) = TRUE, INDEX('Actuarial Science'!req_tr_AP_credit, W13) = TRUE)</f>
        <v>1</v>
      </c>
      <c r="Z13" s="33" t="b">
        <f t="shared" si="13"/>
        <v>1</v>
      </c>
      <c r="AA13" s="251" t="s">
        <v>167</v>
      </c>
      <c r="AB13" s="14"/>
      <c r="AC13" s="125" t="s">
        <v>171</v>
      </c>
      <c r="AD13" s="9" t="b">
        <f t="shared" si="5"/>
        <v>1</v>
      </c>
      <c r="AE13" s="7">
        <f t="shared" si="6"/>
        <v>2</v>
      </c>
      <c r="AF13" s="7">
        <f t="shared" si="7"/>
        <v>4</v>
      </c>
      <c r="AG13" s="7" t="b">
        <f t="shared" ref="AG13:AG15" si="24">IF(AE13="", "", AE13&lt;AF13)</f>
        <v>1</v>
      </c>
      <c r="AH13" s="9"/>
      <c r="AI13" s="7" t="b">
        <f t="shared" ref="AI13:AI15" si="25">IF(AE13="", "", AE13&gt;=AH13)</f>
        <v>1</v>
      </c>
      <c r="AJ13" s="7">
        <f t="shared" ref="AJ13:AJ15" si="26">IF(AE13="","",IF(MOD(AE13,2)=0,2,1))</f>
        <v>2</v>
      </c>
      <c r="AK13" s="7"/>
      <c r="AL13" s="7" t="str">
        <f t="shared" ref="AL13:AL15" si="27">IF(AK13&lt;&gt;0, AK13&lt;&gt;AJ13, "")</f>
        <v/>
      </c>
      <c r="AM13" s="6" t="b">
        <v>1</v>
      </c>
      <c r="AN13" s="7" t="b">
        <f t="shared" si="12"/>
        <v>1</v>
      </c>
      <c r="AO13" s="105">
        <v>3</v>
      </c>
      <c r="AP13" s="138"/>
      <c r="AQ13" s="7"/>
      <c r="AR13" s="7"/>
      <c r="AS13" s="7"/>
      <c r="AT13" s="137"/>
      <c r="AU13" s="7"/>
      <c r="AV13" s="7"/>
      <c r="AW13" s="7"/>
      <c r="AX13" s="44"/>
      <c r="AY13" s="6"/>
      <c r="AZ13" s="15" t="s">
        <v>121</v>
      </c>
      <c r="BB13" s="33" t="s">
        <v>172</v>
      </c>
      <c r="BD13" s="78" t="s">
        <v>173</v>
      </c>
      <c r="BE13" s="99" t="s">
        <v>174</v>
      </c>
      <c r="BF13" s="24"/>
    </row>
    <row r="14" spans="1:61">
      <c r="A14">
        <v>0</v>
      </c>
      <c r="B14">
        <v>0</v>
      </c>
      <c r="C14">
        <v>1</v>
      </c>
      <c r="D14">
        <f t="shared" si="0"/>
        <v>16</v>
      </c>
      <c r="E14">
        <f t="shared" si="2"/>
        <v>16</v>
      </c>
      <c r="F14">
        <f t="shared" si="1"/>
        <v>0</v>
      </c>
      <c r="G14">
        <f t="shared" si="3"/>
        <v>4</v>
      </c>
      <c r="H14">
        <f t="shared" si="4"/>
        <v>4</v>
      </c>
      <c r="I14">
        <f>IF('Actuarial Science'!gpa_tf, G14*B14, G14*A14)</f>
        <v>0</v>
      </c>
      <c r="J14" s="46">
        <v>2</v>
      </c>
      <c r="K14" s="41" t="s">
        <v>96</v>
      </c>
      <c r="L14" s="41" t="s">
        <v>159</v>
      </c>
      <c r="M14" s="24">
        <v>4</v>
      </c>
      <c r="N14" s="24" t="str">
        <v/>
      </c>
      <c r="O14" s="41"/>
      <c r="P14" s="48"/>
      <c r="R14" s="296" t="s">
        <v>175</v>
      </c>
      <c r="S14" s="297"/>
      <c r="T14" s="297"/>
      <c r="U14" s="297"/>
      <c r="V14" s="298"/>
      <c r="W14" s="14">
        <f>MATCH(R14, 'Actuarial Science'!req_course, 0)</f>
        <v>33</v>
      </c>
      <c r="X14" s="33" t="b" cm="1">
        <f t="array" ref="X14">INDEX('Actuarial Science'!req_semester_taken,W14)&lt;etm_semester</f>
        <v>1</v>
      </c>
      <c r="Y14" s="33" t="b" cm="1">
        <f t="array" ref="Y14">OR(INDEX(req_cb_satisfied, W14) = TRUE, INDEX('Actuarial Science'!req_tr_AP_credit, W14) = TRUE)</f>
        <v>0</v>
      </c>
      <c r="Z14" s="33" t="b">
        <f t="shared" si="13"/>
        <v>0</v>
      </c>
      <c r="AB14" s="14"/>
      <c r="AC14" s="125" t="s">
        <v>176</v>
      </c>
      <c r="AD14" s="9" t="b">
        <f t="shared" si="5"/>
        <v>1</v>
      </c>
      <c r="AE14" s="7">
        <f t="shared" si="6"/>
        <v>4</v>
      </c>
      <c r="AF14" s="7" t="str">
        <f t="shared" si="7"/>
        <v/>
      </c>
      <c r="AG14" s="7" t="b">
        <f t="shared" si="24"/>
        <v>1</v>
      </c>
      <c r="AH14" s="9"/>
      <c r="AI14" s="7" t="b">
        <f t="shared" si="25"/>
        <v>1</v>
      </c>
      <c r="AJ14" s="7">
        <f t="shared" si="26"/>
        <v>2</v>
      </c>
      <c r="AK14" s="7"/>
      <c r="AL14" s="7" t="str">
        <f t="shared" si="27"/>
        <v/>
      </c>
      <c r="AM14" s="7"/>
      <c r="AN14" s="7" t="str">
        <f t="shared" si="12"/>
        <v/>
      </c>
      <c r="AO14" s="105">
        <v>3</v>
      </c>
      <c r="AP14" s="138"/>
      <c r="AQ14" s="7"/>
      <c r="AR14" s="7"/>
      <c r="AS14" s="7"/>
      <c r="AT14" s="137"/>
      <c r="AU14" s="7"/>
      <c r="AV14" s="7"/>
      <c r="AW14" s="7"/>
      <c r="AX14" s="44"/>
      <c r="AY14" s="6"/>
      <c r="AZ14" s="15" t="s">
        <v>121</v>
      </c>
      <c r="BB14" s="34" t="s">
        <v>177</v>
      </c>
      <c r="BD14" s="16" t="s">
        <v>178</v>
      </c>
      <c r="BE14" s="15"/>
      <c r="BF14" s="24"/>
    </row>
    <row r="15" spans="1:61">
      <c r="A15">
        <v>0</v>
      </c>
      <c r="B15">
        <v>0</v>
      </c>
      <c r="C15">
        <v>1</v>
      </c>
      <c r="D15">
        <f t="shared" si="0"/>
        <v>16</v>
      </c>
      <c r="E15">
        <f t="shared" si="2"/>
        <v>16</v>
      </c>
      <c r="F15">
        <f t="shared" si="1"/>
        <v>0</v>
      </c>
      <c r="G15">
        <f t="shared" si="3"/>
        <v>4</v>
      </c>
      <c r="H15">
        <f t="shared" si="4"/>
        <v>4</v>
      </c>
      <c r="I15">
        <f>IF('Actuarial Science'!gpa_tf, G15*B15, G15*A15)</f>
        <v>0</v>
      </c>
      <c r="J15" s="46">
        <v>2</v>
      </c>
      <c r="K15" s="41" t="s">
        <v>96</v>
      </c>
      <c r="L15" s="41" t="s">
        <v>179</v>
      </c>
      <c r="M15" s="24">
        <v>4</v>
      </c>
      <c r="N15" s="24" t="str">
        <v/>
      </c>
      <c r="O15" s="41"/>
      <c r="P15" s="48"/>
      <c r="R15" s="296" t="s">
        <v>180</v>
      </c>
      <c r="S15" s="297"/>
      <c r="T15" s="297"/>
      <c r="U15" s="297"/>
      <c r="V15" s="298"/>
      <c r="W15" s="14"/>
      <c r="X15" s="158" t="s">
        <v>181</v>
      </c>
      <c r="Y15" s="152" cm="1">
        <f t="array" ref="Y15">SUM(IFERROR('Actuarial Science'!schedule_count_cumulative_etm*'Actuarial Science'!schedule_credits,0))</f>
        <v>46.5</v>
      </c>
      <c r="Z15" s="33" t="b">
        <f>AND(Y15&gt;=40, Y15&lt;=59)</f>
        <v>1</v>
      </c>
      <c r="AB15" s="14"/>
      <c r="AC15" s="125" t="s">
        <v>164</v>
      </c>
      <c r="AD15" s="9" t="b">
        <f t="shared" si="5"/>
        <v>1</v>
      </c>
      <c r="AE15" s="7">
        <f t="shared" si="6"/>
        <v>3</v>
      </c>
      <c r="AF15" s="7">
        <f t="shared" si="7"/>
        <v>4</v>
      </c>
      <c r="AG15" s="7" t="b">
        <f t="shared" si="24"/>
        <v>1</v>
      </c>
      <c r="AH15" s="9"/>
      <c r="AI15" s="7" t="b">
        <f t="shared" si="25"/>
        <v>1</v>
      </c>
      <c r="AJ15" s="7">
        <f t="shared" si="26"/>
        <v>1</v>
      </c>
      <c r="AK15" s="7"/>
      <c r="AL15" s="7" t="str">
        <f t="shared" si="27"/>
        <v/>
      </c>
      <c r="AM15" s="7" t="b">
        <v>1</v>
      </c>
      <c r="AN15" s="7" t="str">
        <f t="shared" si="12"/>
        <v/>
      </c>
      <c r="AO15" s="105">
        <v>3</v>
      </c>
      <c r="AP15" s="138"/>
      <c r="AQ15" s="7"/>
      <c r="AR15" s="7"/>
      <c r="AS15" s="7"/>
      <c r="AT15" s="137"/>
      <c r="AU15" s="7"/>
      <c r="AV15" s="7"/>
      <c r="AW15" s="7"/>
      <c r="AX15" s="44"/>
      <c r="AY15" s="6"/>
      <c r="AZ15" s="15" t="s">
        <v>121</v>
      </c>
      <c r="BD15" s="78" t="s">
        <v>142</v>
      </c>
      <c r="BE15" s="98" t="s">
        <v>182</v>
      </c>
      <c r="BF15" s="24"/>
    </row>
    <row r="16" spans="1:61">
      <c r="A16">
        <v>0</v>
      </c>
      <c r="B16">
        <v>0</v>
      </c>
      <c r="C16">
        <v>1</v>
      </c>
      <c r="D16">
        <f t="shared" si="0"/>
        <v>0</v>
      </c>
      <c r="E16">
        <f t="shared" si="2"/>
        <v>0</v>
      </c>
      <c r="F16">
        <f t="shared" si="1"/>
        <v>0</v>
      </c>
      <c r="G16">
        <f t="shared" si="3"/>
        <v>0</v>
      </c>
      <c r="H16">
        <f t="shared" si="4"/>
        <v>0</v>
      </c>
      <c r="I16">
        <f>IF('Actuarial Science'!gpa_tf, G16*B16, G16*A16)</f>
        <v>0</v>
      </c>
      <c r="J16" s="46">
        <v>2</v>
      </c>
      <c r="K16" s="41"/>
      <c r="L16" s="41"/>
      <c r="M16" s="24" t="str">
        <v/>
      </c>
      <c r="N16" s="24" t="str">
        <v/>
      </c>
      <c r="O16" s="41"/>
      <c r="P16" s="48"/>
      <c r="R16" s="299" t="str">
        <f>"Cumulative GPA at Start of Semester " &amp;etm_semester&amp; " &gt;= 3.2"</f>
        <v>Cumulative GPA at Start of Semester 4 &gt;= 3.2</v>
      </c>
      <c r="S16" s="300"/>
      <c r="T16" s="300"/>
      <c r="U16" s="300"/>
      <c r="V16" s="301"/>
      <c r="W16" s="13"/>
      <c r="X16" s="158" t="s">
        <v>183</v>
      </c>
      <c r="Y16" s="166">
        <f>SUM(E2:E82)/SUM(H2:H82)</f>
        <v>2.5593548387096772</v>
      </c>
      <c r="Z16" s="34" t="b">
        <f>gpa&gt;=3.2</f>
        <v>0</v>
      </c>
      <c r="AB16" s="14"/>
      <c r="AC16" s="123" t="s">
        <v>97</v>
      </c>
      <c r="AD16" s="9" t="b">
        <f t="shared" si="5"/>
        <v>1</v>
      </c>
      <c r="AE16" s="7">
        <f t="shared" si="6"/>
        <v>1</v>
      </c>
      <c r="AF16" s="7" t="str">
        <f t="shared" si="7"/>
        <v/>
      </c>
      <c r="AG16" s="7" t="b">
        <f t="shared" ref="AG16:AG24" si="28">IF(AE16="", "", AE16&lt;AF16)</f>
        <v>1</v>
      </c>
      <c r="AH16" s="9"/>
      <c r="AI16" s="7" t="b">
        <f t="shared" ref="AI16:AI24" si="29">IF(AE16="", "", AE16&gt;=AH16)</f>
        <v>1</v>
      </c>
      <c r="AJ16" s="7">
        <f t="shared" ref="AJ16:AJ24" si="30">IF(AE16="","",IF(MOD(AE16,2)=0,2,1))</f>
        <v>1</v>
      </c>
      <c r="AK16" s="7"/>
      <c r="AL16" s="7" t="str">
        <f t="shared" ref="AL16:AL24" si="31">IF(AK16&lt;&gt;0, AK16&lt;&gt;AJ16, "")</f>
        <v/>
      </c>
      <c r="AM16" s="6"/>
      <c r="AN16" s="7" t="str">
        <f t="shared" si="12"/>
        <v/>
      </c>
      <c r="AO16" s="9">
        <v>1</v>
      </c>
      <c r="AP16" s="137"/>
      <c r="AQ16" s="7" t="str">
        <f t="shared" ref="AQ16:AQ24" si="32">IF(AP16=0,"",NOT(ISERROR(MATCH(AP16,schedule_courses,0))))</f>
        <v/>
      </c>
      <c r="AR16" s="7" t="str">
        <f t="shared" ref="AR16:AR24" si="33">IF(IFERROR(INDEX(req_tr_AP_credit, MATCH(AP16, req_course,0)), FALSE),0,IFERROR(INDEX(schedule_semester,MATCH(AP16,schedule_courses,0)), ""))</f>
        <v/>
      </c>
      <c r="AS16" s="7" t="str">
        <f t="shared" ref="AS16:AS24" si="34">IF(AR16&lt;&gt;"", AR16&lt;AE16, "")</f>
        <v/>
      </c>
      <c r="AT16" s="137"/>
      <c r="AU16" s="7" t="str">
        <f t="shared" ref="AU16:AU24" si="35">IF(AT16=0,"",NOT(ISERROR(MATCH(AT16,schedule_courses,0))))</f>
        <v/>
      </c>
      <c r="AV16" s="7" t="str">
        <f t="shared" ref="AV16:AV24" si="36">IF(IFERROR(INDEX(req_tr_AP_credit, MATCH(AT16, req_course)), FALSE),0,IFERROR(INDEX(schedule_semester,MATCH(AT16,schedule_courses,0)), ""))</f>
        <v/>
      </c>
      <c r="AW16" s="7" t="str">
        <f t="shared" ref="AW16:AW24" si="37">IF(AV16&lt;&gt;"", AV16&lt;=AE16, "")</f>
        <v/>
      </c>
      <c r="AX16" s="44"/>
      <c r="AY16" s="7" t="s">
        <v>184</v>
      </c>
      <c r="AZ16" s="15" t="s">
        <v>121</v>
      </c>
      <c r="BD16" s="77" t="s">
        <v>146</v>
      </c>
      <c r="BE16" s="99" t="s">
        <v>185</v>
      </c>
      <c r="BF16" s="24"/>
    </row>
    <row r="17" spans="1:58">
      <c r="A17">
        <v>0</v>
      </c>
      <c r="B17">
        <v>0</v>
      </c>
      <c r="C17">
        <v>1</v>
      </c>
      <c r="D17">
        <f t="shared" si="0"/>
        <v>0</v>
      </c>
      <c r="E17">
        <f t="shared" si="2"/>
        <v>0</v>
      </c>
      <c r="F17">
        <f t="shared" si="1"/>
        <v>0</v>
      </c>
      <c r="G17">
        <f t="shared" si="3"/>
        <v>0</v>
      </c>
      <c r="H17">
        <f t="shared" si="4"/>
        <v>0</v>
      </c>
      <c r="I17">
        <f>IF('Actuarial Science'!gpa_tf, G17*B17, G17*A17)</f>
        <v>0</v>
      </c>
      <c r="J17" s="46">
        <v>2</v>
      </c>
      <c r="K17" s="41"/>
      <c r="L17" s="41"/>
      <c r="M17" s="24" t="str">
        <v/>
      </c>
      <c r="N17" s="24" t="str">
        <v/>
      </c>
      <c r="O17" s="41"/>
      <c r="P17" s="48"/>
      <c r="AB17" s="14"/>
      <c r="AC17" s="123" t="s">
        <v>186</v>
      </c>
      <c r="AD17" s="9" t="b">
        <f t="shared" si="5"/>
        <v>1</v>
      </c>
      <c r="AE17" s="7">
        <f t="shared" si="6"/>
        <v>3</v>
      </c>
      <c r="AF17" s="7" t="str">
        <f t="shared" si="7"/>
        <v/>
      </c>
      <c r="AG17" s="7" t="b">
        <f t="shared" si="28"/>
        <v>1</v>
      </c>
      <c r="AH17" s="9"/>
      <c r="AI17" s="7" t="b">
        <f t="shared" si="29"/>
        <v>1</v>
      </c>
      <c r="AJ17" s="7">
        <f t="shared" si="30"/>
        <v>1</v>
      </c>
      <c r="AK17" s="7"/>
      <c r="AL17" s="7" t="str">
        <f t="shared" si="31"/>
        <v/>
      </c>
      <c r="AM17" s="7"/>
      <c r="AN17" s="7" t="str">
        <f t="shared" si="12"/>
        <v/>
      </c>
      <c r="AO17" s="9">
        <v>1.5</v>
      </c>
      <c r="AP17" s="137"/>
      <c r="AQ17" s="7" t="str">
        <f t="shared" si="32"/>
        <v/>
      </c>
      <c r="AR17" s="7" t="str">
        <f t="shared" si="33"/>
        <v/>
      </c>
      <c r="AS17" s="7" t="str">
        <f t="shared" si="34"/>
        <v/>
      </c>
      <c r="AT17" s="137" t="s">
        <v>187</v>
      </c>
      <c r="AU17" s="7" t="b">
        <f t="shared" si="35"/>
        <v>1</v>
      </c>
      <c r="AV17" s="7">
        <f t="shared" si="36"/>
        <v>3</v>
      </c>
      <c r="AW17" s="7" t="b">
        <f t="shared" si="37"/>
        <v>1</v>
      </c>
      <c r="AX17" s="44"/>
      <c r="AY17" s="7"/>
      <c r="AZ17" s="118" t="s">
        <v>121</v>
      </c>
      <c r="BD17" s="80" t="s">
        <v>150</v>
      </c>
      <c r="BE17" s="100" t="s">
        <v>188</v>
      </c>
      <c r="BF17" s="24"/>
    </row>
    <row r="18" spans="1:58">
      <c r="A18">
        <v>0</v>
      </c>
      <c r="B18">
        <v>0</v>
      </c>
      <c r="C18">
        <v>1</v>
      </c>
      <c r="D18">
        <f t="shared" si="0"/>
        <v>0</v>
      </c>
      <c r="E18">
        <f t="shared" si="2"/>
        <v>0</v>
      </c>
      <c r="F18">
        <f t="shared" si="1"/>
        <v>0</v>
      </c>
      <c r="G18">
        <f t="shared" si="3"/>
        <v>0</v>
      </c>
      <c r="H18">
        <f t="shared" si="4"/>
        <v>0</v>
      </c>
      <c r="I18">
        <f>IF('Actuarial Science'!gpa_tf, G18*B18, G18*A18)</f>
        <v>0</v>
      </c>
      <c r="J18" s="46">
        <v>2</v>
      </c>
      <c r="K18" s="41"/>
      <c r="L18" s="41"/>
      <c r="M18" s="24" t="str">
        <v/>
      </c>
      <c r="N18" s="24" t="str">
        <v/>
      </c>
      <c r="O18" s="41"/>
      <c r="P18" s="48"/>
      <c r="AB18" s="14"/>
      <c r="AC18" s="128" t="s">
        <v>186</v>
      </c>
      <c r="AD18" s="9" t="b">
        <f t="shared" si="5"/>
        <v>1</v>
      </c>
      <c r="AE18" s="7">
        <f t="shared" si="6"/>
        <v>3</v>
      </c>
      <c r="AF18" s="7" t="str">
        <f t="shared" si="7"/>
        <v/>
      </c>
      <c r="AG18" s="7" t="b">
        <f t="shared" si="28"/>
        <v>1</v>
      </c>
      <c r="AH18" s="9"/>
      <c r="AI18" s="7" t="b">
        <f t="shared" si="29"/>
        <v>1</v>
      </c>
      <c r="AJ18" s="7">
        <f t="shared" si="30"/>
        <v>1</v>
      </c>
      <c r="AK18" s="7"/>
      <c r="AL18" s="7" t="str">
        <f t="shared" si="31"/>
        <v/>
      </c>
      <c r="AM18" s="7"/>
      <c r="AN18" s="7" t="str">
        <f t="shared" si="12"/>
        <v/>
      </c>
      <c r="AO18" s="258">
        <v>1.5</v>
      </c>
      <c r="AP18" s="137"/>
      <c r="AQ18" s="7" t="str">
        <f t="shared" si="32"/>
        <v/>
      </c>
      <c r="AR18" s="7" t="str">
        <f t="shared" si="33"/>
        <v/>
      </c>
      <c r="AS18" s="7" t="str">
        <f t="shared" si="34"/>
        <v/>
      </c>
      <c r="AT18" s="137" t="str">
        <f>AC12</f>
        <v>MATH 231</v>
      </c>
      <c r="AU18" s="7" t="b">
        <f t="shared" si="35"/>
        <v>1</v>
      </c>
      <c r="AV18" s="7">
        <f t="shared" si="36"/>
        <v>0</v>
      </c>
      <c r="AW18" s="7" t="b">
        <f t="shared" si="37"/>
        <v>1</v>
      </c>
      <c r="AX18" s="44"/>
      <c r="AY18" s="7"/>
      <c r="AZ18" s="118" t="s">
        <v>121</v>
      </c>
      <c r="BD18" s="78" t="s">
        <v>173</v>
      </c>
      <c r="BE18" s="97" t="s">
        <v>189</v>
      </c>
      <c r="BF18" s="24"/>
    </row>
    <row r="19" spans="1:58">
      <c r="A19">
        <v>0</v>
      </c>
      <c r="B19">
        <v>0</v>
      </c>
      <c r="C19">
        <v>1</v>
      </c>
      <c r="D19">
        <f t="shared" si="0"/>
        <v>0</v>
      </c>
      <c r="E19">
        <f t="shared" si="2"/>
        <v>0</v>
      </c>
      <c r="F19">
        <f t="shared" si="1"/>
        <v>0</v>
      </c>
      <c r="G19">
        <f t="shared" si="3"/>
        <v>0</v>
      </c>
      <c r="H19">
        <f t="shared" si="4"/>
        <v>0</v>
      </c>
      <c r="I19">
        <f>IF('Actuarial Science'!gpa_tf, G19*B19, G19*A19)</f>
        <v>0</v>
      </c>
      <c r="J19" s="47">
        <v>2</v>
      </c>
      <c r="K19" s="43"/>
      <c r="L19" s="43"/>
      <c r="M19" s="10" t="str">
        <v/>
      </c>
      <c r="N19" s="10" t="str">
        <v/>
      </c>
      <c r="O19" s="43"/>
      <c r="P19" s="49"/>
      <c r="R19" s="302" t="s">
        <v>43</v>
      </c>
      <c r="S19" s="303"/>
      <c r="T19" s="303"/>
      <c r="U19" s="303"/>
      <c r="V19" s="304"/>
      <c r="AB19" s="14"/>
      <c r="AC19" s="125" t="s">
        <v>190</v>
      </c>
      <c r="AD19" s="9" t="b">
        <f t="shared" si="5"/>
        <v>1</v>
      </c>
      <c r="AE19" s="7">
        <f t="shared" si="6"/>
        <v>5</v>
      </c>
      <c r="AF19" s="7" t="str">
        <f t="shared" si="7"/>
        <v/>
      </c>
      <c r="AG19" s="7" t="b">
        <f t="shared" si="28"/>
        <v>1</v>
      </c>
      <c r="AH19" s="9">
        <f>MAX('Actuarial Science'!etm_semester, 4)</f>
        <v>4</v>
      </c>
      <c r="AI19" s="7" t="b">
        <f t="shared" si="29"/>
        <v>1</v>
      </c>
      <c r="AJ19" s="7">
        <f t="shared" si="30"/>
        <v>1</v>
      </c>
      <c r="AK19" s="7"/>
      <c r="AL19" s="7" t="str">
        <f t="shared" si="31"/>
        <v/>
      </c>
      <c r="AM19" s="7"/>
      <c r="AN19" s="7" t="str">
        <f t="shared" si="12"/>
        <v/>
      </c>
      <c r="AO19" s="9">
        <v>3</v>
      </c>
      <c r="AP19" s="137"/>
      <c r="AQ19" s="7" t="str">
        <f t="shared" si="32"/>
        <v/>
      </c>
      <c r="AR19" s="7" t="str">
        <f t="shared" si="33"/>
        <v/>
      </c>
      <c r="AS19" s="7" t="str">
        <f t="shared" si="34"/>
        <v/>
      </c>
      <c r="AT19" s="137"/>
      <c r="AU19" s="7" t="str">
        <f t="shared" si="35"/>
        <v/>
      </c>
      <c r="AV19" s="7" t="str">
        <f t="shared" si="36"/>
        <v/>
      </c>
      <c r="AW19" s="7" t="str">
        <f t="shared" si="37"/>
        <v/>
      </c>
      <c r="AX19" s="44"/>
      <c r="AY19" s="7"/>
      <c r="AZ19" s="15" t="s">
        <v>121</v>
      </c>
      <c r="BD19" s="16" t="s">
        <v>43</v>
      </c>
      <c r="BE19" s="15"/>
      <c r="BF19" s="24"/>
    </row>
    <row r="20" spans="1:58">
      <c r="A20">
        <v>0</v>
      </c>
      <c r="B20">
        <v>0</v>
      </c>
      <c r="C20">
        <v>1</v>
      </c>
      <c r="D20">
        <f t="shared" si="0"/>
        <v>0</v>
      </c>
      <c r="E20">
        <f t="shared" si="2"/>
        <v>0</v>
      </c>
      <c r="F20">
        <f t="shared" si="1"/>
        <v>0</v>
      </c>
      <c r="G20">
        <f t="shared" si="3"/>
        <v>1.5</v>
      </c>
      <c r="H20">
        <f t="shared" si="4"/>
        <v>1.5</v>
      </c>
      <c r="I20">
        <f>IF('Actuarial Science'!gpa_tf, G20*B20, G20*A20)</f>
        <v>0</v>
      </c>
      <c r="J20" s="53">
        <v>3</v>
      </c>
      <c r="K20" s="41"/>
      <c r="L20" s="51" t="s">
        <v>186</v>
      </c>
      <c r="M20" s="55">
        <v>1.5</v>
      </c>
      <c r="N20" s="55" t="str">
        <v/>
      </c>
      <c r="O20" s="51"/>
      <c r="P20" s="52"/>
      <c r="R20" s="13" t="s">
        <v>33</v>
      </c>
      <c r="S20" s="27" t="s">
        <v>45</v>
      </c>
      <c r="T20" s="263" t="s">
        <v>47</v>
      </c>
      <c r="U20" s="263" t="s">
        <v>49</v>
      </c>
      <c r="V20" s="32" t="s">
        <v>51</v>
      </c>
      <c r="AB20" s="14"/>
      <c r="AC20" s="127" t="s">
        <v>191</v>
      </c>
      <c r="AD20" s="19" t="b">
        <f t="shared" si="5"/>
        <v>1</v>
      </c>
      <c r="AE20" s="7">
        <f t="shared" si="6"/>
        <v>4</v>
      </c>
      <c r="AF20" s="7" t="str">
        <f t="shared" si="7"/>
        <v/>
      </c>
      <c r="AG20" s="7" t="b">
        <f t="shared" si="28"/>
        <v>1</v>
      </c>
      <c r="AH20" s="9">
        <f xml:space="preserve"> MAX(3,'Actuarial Science'!etm_semester)</f>
        <v>4</v>
      </c>
      <c r="AI20" s="7" t="b">
        <f t="shared" si="29"/>
        <v>1</v>
      </c>
      <c r="AJ20" s="7">
        <f t="shared" si="30"/>
        <v>2</v>
      </c>
      <c r="AK20" s="7"/>
      <c r="AL20" s="7" t="str">
        <f t="shared" si="31"/>
        <v/>
      </c>
      <c r="AM20" s="7" t="b">
        <v>1</v>
      </c>
      <c r="AN20" s="7" t="str">
        <f t="shared" si="12"/>
        <v/>
      </c>
      <c r="AO20" s="105">
        <v>3</v>
      </c>
      <c r="AP20" s="137" t="s">
        <v>187</v>
      </c>
      <c r="AQ20" s="7" t="b">
        <f t="shared" si="32"/>
        <v>1</v>
      </c>
      <c r="AR20" s="7">
        <f t="shared" si="33"/>
        <v>3</v>
      </c>
      <c r="AS20" s="7" t="b">
        <f t="shared" si="34"/>
        <v>1</v>
      </c>
      <c r="AT20" s="137"/>
      <c r="AU20" s="7" t="str">
        <f t="shared" si="35"/>
        <v/>
      </c>
      <c r="AV20" s="7" t="str">
        <f t="shared" si="36"/>
        <v/>
      </c>
      <c r="AW20" s="7" t="str">
        <f t="shared" si="37"/>
        <v/>
      </c>
      <c r="AX20" s="44"/>
      <c r="AY20" s="7"/>
      <c r="AZ20" s="15" t="s">
        <v>121</v>
      </c>
      <c r="BD20" s="77" t="s">
        <v>192</v>
      </c>
      <c r="BE20" s="97" t="s">
        <v>193</v>
      </c>
      <c r="BF20" s="24"/>
    </row>
    <row r="21" spans="1:58">
      <c r="A21">
        <v>0</v>
      </c>
      <c r="B21">
        <v>0</v>
      </c>
      <c r="C21">
        <v>1</v>
      </c>
      <c r="D21">
        <f t="shared" si="0"/>
        <v>0</v>
      </c>
      <c r="E21">
        <f t="shared" si="2"/>
        <v>0</v>
      </c>
      <c r="F21">
        <f t="shared" si="1"/>
        <v>0</v>
      </c>
      <c r="G21">
        <f t="shared" si="3"/>
        <v>3</v>
      </c>
      <c r="H21">
        <f t="shared" si="4"/>
        <v>3</v>
      </c>
      <c r="I21">
        <f>IF('Actuarial Science'!gpa_tf, G21*B21, G21*A21)</f>
        <v>0</v>
      </c>
      <c r="J21" s="45">
        <v>3</v>
      </c>
      <c r="K21" s="41"/>
      <c r="L21" s="41" t="s">
        <v>175</v>
      </c>
      <c r="M21" s="24">
        <v>3</v>
      </c>
      <c r="N21" s="24" t="str">
        <v/>
      </c>
      <c r="O21" s="41"/>
      <c r="P21" s="48"/>
      <c r="R21" s="14" t="s">
        <v>154</v>
      </c>
      <c r="S21" s="24">
        <v>6</v>
      </c>
      <c r="T21" s="24">
        <f>SUMIF(schedule_gecode, R21, schedule_credits)</f>
        <v>10</v>
      </c>
      <c r="U21" s="41">
        <v>0</v>
      </c>
      <c r="V21" s="15" t="b">
        <f>(T21+U21)&gt;=S21</f>
        <v>1</v>
      </c>
      <c r="AB21" s="14"/>
      <c r="AC21" s="128" t="s">
        <v>191</v>
      </c>
      <c r="AD21" s="9" t="b">
        <f t="shared" si="5"/>
        <v>1</v>
      </c>
      <c r="AE21" s="7">
        <f t="shared" si="6"/>
        <v>4</v>
      </c>
      <c r="AF21" s="7" t="str">
        <f t="shared" si="7"/>
        <v/>
      </c>
      <c r="AG21" s="7" t="b">
        <f t="shared" si="28"/>
        <v>1</v>
      </c>
      <c r="AH21" s="9">
        <f xml:space="preserve"> MAX(3,'Actuarial Science'!etm_semester)</f>
        <v>4</v>
      </c>
      <c r="AI21" s="7" t="b">
        <f t="shared" si="29"/>
        <v>1</v>
      </c>
      <c r="AJ21" s="7">
        <f t="shared" si="30"/>
        <v>2</v>
      </c>
      <c r="AK21" s="7"/>
      <c r="AL21" s="7" t="str">
        <f t="shared" si="31"/>
        <v/>
      </c>
      <c r="AM21" s="7" t="b">
        <v>1</v>
      </c>
      <c r="AN21" s="7" t="str">
        <f t="shared" si="12"/>
        <v/>
      </c>
      <c r="AO21" s="105">
        <v>3</v>
      </c>
      <c r="AP21" s="137" t="s">
        <v>167</v>
      </c>
      <c r="AQ21" s="7" t="b">
        <f t="shared" si="32"/>
        <v>1</v>
      </c>
      <c r="AR21" s="7">
        <f t="shared" si="33"/>
        <v>2</v>
      </c>
      <c r="AS21" s="7" t="b">
        <f t="shared" si="34"/>
        <v>1</v>
      </c>
      <c r="AT21" s="137"/>
      <c r="AU21" s="7" t="str">
        <f t="shared" si="35"/>
        <v/>
      </c>
      <c r="AV21" s="7" t="str">
        <f t="shared" si="36"/>
        <v/>
      </c>
      <c r="AW21" s="7" t="str">
        <f t="shared" si="37"/>
        <v/>
      </c>
      <c r="AX21" s="44"/>
      <c r="AY21" s="7"/>
      <c r="AZ21" s="15" t="s">
        <v>121</v>
      </c>
      <c r="BD21" s="78" t="s">
        <v>194</v>
      </c>
      <c r="BE21" s="98" t="s">
        <v>195</v>
      </c>
      <c r="BF21" s="24"/>
    </row>
    <row r="22" spans="1:58">
      <c r="A22">
        <v>0</v>
      </c>
      <c r="B22">
        <v>0</v>
      </c>
      <c r="C22">
        <v>1</v>
      </c>
      <c r="D22">
        <f t="shared" si="0"/>
        <v>0</v>
      </c>
      <c r="E22">
        <f t="shared" si="2"/>
        <v>0</v>
      </c>
      <c r="F22">
        <f t="shared" si="1"/>
        <v>0</v>
      </c>
      <c r="G22">
        <f t="shared" si="3"/>
        <v>3</v>
      </c>
      <c r="H22">
        <f t="shared" si="4"/>
        <v>3</v>
      </c>
      <c r="I22">
        <f>IF('Actuarial Science'!gpa_tf, G22*B22, G22*A22)</f>
        <v>0</v>
      </c>
      <c r="J22" s="45">
        <v>3</v>
      </c>
      <c r="K22" s="41"/>
      <c r="L22" s="41" t="s">
        <v>164</v>
      </c>
      <c r="M22" s="24">
        <v>3</v>
      </c>
      <c r="N22" s="24" t="str">
        <v/>
      </c>
      <c r="O22" s="41"/>
      <c r="P22" s="48"/>
      <c r="R22" s="14" t="s">
        <v>140</v>
      </c>
      <c r="S22" s="24">
        <v>9</v>
      </c>
      <c r="T22" s="24">
        <f t="shared" ref="T22:T27" si="38">SUMIF(schedule_gecode, R22, schedule_credits)</f>
        <v>9</v>
      </c>
      <c r="U22" s="41">
        <v>0</v>
      </c>
      <c r="V22" s="15" t="b">
        <f t="shared" ref="V22:V31" si="39">(T22+U22)&gt;=S22</f>
        <v>1</v>
      </c>
      <c r="AB22" s="14"/>
      <c r="AC22" s="129" t="s">
        <v>196</v>
      </c>
      <c r="AD22" s="19" t="b">
        <f t="shared" si="5"/>
        <v>1</v>
      </c>
      <c r="AE22" s="7">
        <f t="shared" si="6"/>
        <v>6</v>
      </c>
      <c r="AF22" s="7" t="str">
        <f t="shared" si="7"/>
        <v/>
      </c>
      <c r="AG22" s="7" t="b">
        <f t="shared" si="28"/>
        <v>1</v>
      </c>
      <c r="AH22" s="9">
        <f xml:space="preserve"> MAX(4,'Actuarial Science'!etm_semester)</f>
        <v>4</v>
      </c>
      <c r="AI22" s="7" t="b">
        <f t="shared" si="29"/>
        <v>1</v>
      </c>
      <c r="AJ22" s="7">
        <f t="shared" si="30"/>
        <v>2</v>
      </c>
      <c r="AK22" s="7">
        <v>2</v>
      </c>
      <c r="AL22" s="7" t="b">
        <f t="shared" si="31"/>
        <v>0</v>
      </c>
      <c r="AM22" s="7" t="b">
        <v>1</v>
      </c>
      <c r="AN22" s="7" t="str">
        <f t="shared" si="12"/>
        <v/>
      </c>
      <c r="AO22" s="19">
        <v>3</v>
      </c>
      <c r="AP22" s="139" t="s">
        <v>191</v>
      </c>
      <c r="AQ22" s="7" t="b">
        <f t="shared" si="32"/>
        <v>1</v>
      </c>
      <c r="AR22" s="21">
        <f t="shared" si="33"/>
        <v>4</v>
      </c>
      <c r="AS22" s="21" t="b">
        <f t="shared" si="34"/>
        <v>1</v>
      </c>
      <c r="AT22" s="145"/>
      <c r="AU22" s="7" t="str">
        <f t="shared" si="35"/>
        <v/>
      </c>
      <c r="AV22" s="7" t="str">
        <f t="shared" si="36"/>
        <v/>
      </c>
      <c r="AW22" s="7" t="str">
        <f t="shared" si="37"/>
        <v/>
      </c>
      <c r="AX22" s="95"/>
      <c r="AY22" s="22"/>
      <c r="AZ22" s="15" t="s">
        <v>121</v>
      </c>
      <c r="BD22" s="16" t="s">
        <v>53</v>
      </c>
      <c r="BE22" s="15"/>
      <c r="BF22" s="24"/>
    </row>
    <row r="23" spans="1:58">
      <c r="A23">
        <v>0</v>
      </c>
      <c r="B23">
        <v>0</v>
      </c>
      <c r="C23">
        <v>1</v>
      </c>
      <c r="D23">
        <f t="shared" si="0"/>
        <v>0</v>
      </c>
      <c r="E23">
        <f t="shared" si="2"/>
        <v>0</v>
      </c>
      <c r="F23">
        <f t="shared" si="1"/>
        <v>0</v>
      </c>
      <c r="G23">
        <f t="shared" si="3"/>
        <v>3</v>
      </c>
      <c r="H23">
        <f t="shared" si="4"/>
        <v>3</v>
      </c>
      <c r="I23">
        <f>IF('Actuarial Science'!gpa_tf, G23*B23, G23*A23)</f>
        <v>0</v>
      </c>
      <c r="J23" s="45">
        <v>3</v>
      </c>
      <c r="K23" s="41"/>
      <c r="L23" s="41" t="s">
        <v>187</v>
      </c>
      <c r="M23" s="24">
        <v>3</v>
      </c>
      <c r="N23" s="24" t="str">
        <v/>
      </c>
      <c r="O23" s="41"/>
      <c r="P23" s="48"/>
      <c r="R23" s="14" t="s">
        <v>197</v>
      </c>
      <c r="S23" s="24">
        <v>6</v>
      </c>
      <c r="T23" s="24">
        <f t="shared" si="38"/>
        <v>6</v>
      </c>
      <c r="U23" s="41">
        <v>0</v>
      </c>
      <c r="V23" s="15" t="b">
        <f t="shared" si="39"/>
        <v>1</v>
      </c>
      <c r="AB23" s="16"/>
      <c r="AC23" s="127" t="s">
        <v>198</v>
      </c>
      <c r="AD23" s="9" t="b">
        <f t="shared" si="5"/>
        <v>1</v>
      </c>
      <c r="AE23" s="7">
        <f t="shared" si="6"/>
        <v>7</v>
      </c>
      <c r="AF23" s="7" t="str">
        <f t="shared" si="7"/>
        <v/>
      </c>
      <c r="AG23" s="7" t="b">
        <f t="shared" si="28"/>
        <v>1</v>
      </c>
      <c r="AH23" s="9">
        <f xml:space="preserve"> MAX(5,'Actuarial Science'!etm_semester)</f>
        <v>5</v>
      </c>
      <c r="AI23" s="7" t="b">
        <f t="shared" si="29"/>
        <v>1</v>
      </c>
      <c r="AJ23" s="7">
        <f t="shared" si="30"/>
        <v>1</v>
      </c>
      <c r="AK23" s="7">
        <v>1</v>
      </c>
      <c r="AL23" s="7" t="b">
        <f t="shared" si="31"/>
        <v>0</v>
      </c>
      <c r="AM23" s="6" t="b">
        <v>1</v>
      </c>
      <c r="AN23" s="7" t="str">
        <f t="shared" si="12"/>
        <v/>
      </c>
      <c r="AO23" s="105">
        <v>3</v>
      </c>
      <c r="AP23" s="140" t="s">
        <v>196</v>
      </c>
      <c r="AQ23" s="7" t="b">
        <f t="shared" si="32"/>
        <v>1</v>
      </c>
      <c r="AR23" s="21">
        <f t="shared" si="33"/>
        <v>6</v>
      </c>
      <c r="AS23" s="21" t="b">
        <f t="shared" si="34"/>
        <v>1</v>
      </c>
      <c r="AT23" s="137"/>
      <c r="AU23" s="7" t="str">
        <f t="shared" si="35"/>
        <v/>
      </c>
      <c r="AV23" s="7" t="str">
        <f t="shared" si="36"/>
        <v/>
      </c>
      <c r="AW23" s="7" t="str">
        <f t="shared" si="37"/>
        <v/>
      </c>
      <c r="AX23" s="44"/>
      <c r="AY23" s="7"/>
      <c r="AZ23" s="15" t="s">
        <v>121</v>
      </c>
      <c r="BD23" s="77" t="s">
        <v>199</v>
      </c>
      <c r="BE23" s="99" t="s">
        <v>200</v>
      </c>
      <c r="BF23" s="24"/>
    </row>
    <row r="24" spans="1:58" ht="31.2">
      <c r="A24">
        <v>0</v>
      </c>
      <c r="B24">
        <v>0</v>
      </c>
      <c r="C24">
        <v>1</v>
      </c>
      <c r="D24">
        <f t="shared" si="0"/>
        <v>0</v>
      </c>
      <c r="E24">
        <f t="shared" si="2"/>
        <v>0</v>
      </c>
      <c r="F24">
        <f t="shared" si="1"/>
        <v>0</v>
      </c>
      <c r="G24">
        <f t="shared" si="3"/>
        <v>3</v>
      </c>
      <c r="H24">
        <f t="shared" si="4"/>
        <v>3</v>
      </c>
      <c r="I24">
        <f>IF('Actuarial Science'!gpa_tf, G24*B24, G24*A24)</f>
        <v>0</v>
      </c>
      <c r="J24" s="45">
        <v>3</v>
      </c>
      <c r="K24" s="41"/>
      <c r="L24" s="41" t="s">
        <v>201</v>
      </c>
      <c r="M24" s="24">
        <v>3</v>
      </c>
      <c r="N24" s="24" t="str">
        <v>GN</v>
      </c>
      <c r="O24" s="41"/>
      <c r="P24" s="48"/>
      <c r="R24" s="14" t="s">
        <v>202</v>
      </c>
      <c r="S24" s="24">
        <v>3</v>
      </c>
      <c r="T24" s="24">
        <f t="shared" si="38"/>
        <v>3</v>
      </c>
      <c r="U24" s="42">
        <v>0</v>
      </c>
      <c r="V24" s="15" t="b">
        <f t="shared" si="39"/>
        <v>1</v>
      </c>
      <c r="AA24" s="251" t="s">
        <v>203</v>
      </c>
      <c r="AB24" s="202" t="s">
        <v>204</v>
      </c>
      <c r="AC24" s="195" t="s">
        <v>203</v>
      </c>
      <c r="AD24" s="9" t="b">
        <f t="shared" si="5"/>
        <v>1</v>
      </c>
      <c r="AE24" s="7">
        <f t="shared" si="6"/>
        <v>5</v>
      </c>
      <c r="AF24" s="7" t="str">
        <f t="shared" si="7"/>
        <v/>
      </c>
      <c r="AG24" s="7" t="b">
        <f t="shared" si="28"/>
        <v>1</v>
      </c>
      <c r="AH24" s="9"/>
      <c r="AI24" s="7" t="b">
        <f t="shared" si="29"/>
        <v>1</v>
      </c>
      <c r="AJ24" s="7">
        <f t="shared" si="30"/>
        <v>1</v>
      </c>
      <c r="AK24" s="7"/>
      <c r="AL24" s="7" t="str">
        <f t="shared" si="31"/>
        <v/>
      </c>
      <c r="AM24" s="7"/>
      <c r="AN24" s="7" t="str">
        <f t="shared" si="12"/>
        <v/>
      </c>
      <c r="AO24" s="9">
        <v>3</v>
      </c>
      <c r="AP24" s="140" t="str" cm="1">
        <f t="array" ref="AP24">_xlfn.IFS(AC24="RM 415", "RM 410", AC24="STAT 483", 0)</f>
        <v>RM 410</v>
      </c>
      <c r="AQ24" s="7" t="b">
        <f t="shared" si="32"/>
        <v>1</v>
      </c>
      <c r="AR24" s="7">
        <f t="shared" si="33"/>
        <v>4</v>
      </c>
      <c r="AS24" s="7" t="b">
        <f t="shared" si="34"/>
        <v>1</v>
      </c>
      <c r="AT24" s="146"/>
      <c r="AU24" s="7" t="str">
        <f t="shared" si="35"/>
        <v/>
      </c>
      <c r="AV24" s="7" t="str">
        <f t="shared" si="36"/>
        <v/>
      </c>
      <c r="AW24" s="7" t="str">
        <f t="shared" si="37"/>
        <v/>
      </c>
      <c r="AX24" s="41"/>
      <c r="AY24" s="24"/>
      <c r="AZ24" s="118" t="s">
        <v>121</v>
      </c>
      <c r="BD24" s="78" t="s">
        <v>205</v>
      </c>
      <c r="BE24" s="99" t="s">
        <v>206</v>
      </c>
      <c r="BF24" s="24"/>
    </row>
    <row r="25" spans="1:58" ht="31.2">
      <c r="A25">
        <v>0</v>
      </c>
      <c r="B25">
        <v>0</v>
      </c>
      <c r="C25">
        <v>1</v>
      </c>
      <c r="D25">
        <f t="shared" si="0"/>
        <v>0</v>
      </c>
      <c r="E25">
        <f t="shared" si="2"/>
        <v>0</v>
      </c>
      <c r="F25">
        <f t="shared" si="1"/>
        <v>0</v>
      </c>
      <c r="G25">
        <f t="shared" si="3"/>
        <v>3</v>
      </c>
      <c r="H25">
        <f t="shared" si="4"/>
        <v>3</v>
      </c>
      <c r="I25">
        <f>IF('Actuarial Science'!gpa_tf, G25*B25, G25*A25)</f>
        <v>0</v>
      </c>
      <c r="J25" s="45">
        <v>3</v>
      </c>
      <c r="K25" s="41"/>
      <c r="L25" s="41" t="s">
        <v>139</v>
      </c>
      <c r="M25" s="24">
        <v>3</v>
      </c>
      <c r="N25" s="24" t="str">
        <v>GWS</v>
      </c>
      <c r="O25" s="41"/>
      <c r="P25" s="48"/>
      <c r="R25" s="14" t="s">
        <v>207</v>
      </c>
      <c r="S25" s="24">
        <v>6</v>
      </c>
      <c r="T25" s="24">
        <f t="shared" si="38"/>
        <v>3</v>
      </c>
      <c r="U25" s="42">
        <v>3</v>
      </c>
      <c r="V25" s="15" t="b">
        <f t="shared" si="39"/>
        <v>1</v>
      </c>
      <c r="AA25" s="251" t="s">
        <v>208</v>
      </c>
      <c r="AB25" s="200" t="s">
        <v>209</v>
      </c>
      <c r="AC25" s="193" t="s">
        <v>210</v>
      </c>
      <c r="AD25" s="9" t="b">
        <f t="shared" si="5"/>
        <v>1</v>
      </c>
      <c r="AE25" s="7">
        <f t="shared" si="6"/>
        <v>8</v>
      </c>
      <c r="AF25" s="7" t="str">
        <f t="shared" si="7"/>
        <v/>
      </c>
      <c r="AG25" s="7" t="b">
        <f t="shared" ref="AG25:AG26" si="40">IF(AE25="", "", AE25&lt;AF25)</f>
        <v>1</v>
      </c>
      <c r="AH25" s="9"/>
      <c r="AI25" s="7" t="b">
        <f t="shared" ref="AI25:AI26" si="41">IF(AE25="", "", AE25&gt;=AH25)</f>
        <v>1</v>
      </c>
      <c r="AJ25" s="7">
        <f t="shared" ref="AJ25:AJ26" si="42">IF(AE25="","",IF(MOD(AE25,2)=0,2,1))</f>
        <v>2</v>
      </c>
      <c r="AK25" s="7"/>
      <c r="AL25" s="7" t="str">
        <f t="shared" ref="AL25:AL26" si="43">IF(AK25&lt;&gt;0, AK25&lt;&gt;AJ25, "")</f>
        <v/>
      </c>
      <c r="AM25" s="7"/>
      <c r="AN25" s="7" t="str">
        <f t="shared" si="12"/>
        <v/>
      </c>
      <c r="AO25" s="105">
        <v>3</v>
      </c>
      <c r="AP25" s="140" t="s">
        <v>198</v>
      </c>
      <c r="AQ25" s="7" t="b">
        <f t="shared" ref="AQ25:AQ26" si="44">IF(AP25=0,"",NOT(ISERROR(MATCH(AP25,schedule_courses,0))))</f>
        <v>1</v>
      </c>
      <c r="AR25" s="7">
        <f t="shared" ref="AR25:AR26" si="45">IF(IFERROR(INDEX(req_tr_AP_credit, MATCH(AP25, req_course,0)), FALSE),0,IFERROR(INDEX(schedule_semester,MATCH(AP25,schedule_courses,0)), ""))</f>
        <v>7</v>
      </c>
      <c r="AS25" s="7" t="b">
        <f t="shared" ref="AS25:AS26" si="46">IF(AR25&lt;&gt;"", AR25&lt;AE25, "")</f>
        <v>1</v>
      </c>
      <c r="AT25" s="137"/>
      <c r="AU25" s="7"/>
      <c r="AV25" s="7"/>
      <c r="AW25" s="7"/>
      <c r="AX25" s="44"/>
      <c r="AY25" s="7"/>
      <c r="AZ25" s="15" t="s">
        <v>121</v>
      </c>
      <c r="BD25" s="77" t="s">
        <v>211</v>
      </c>
      <c r="BE25" s="98" t="s">
        <v>212</v>
      </c>
      <c r="BF25" s="24"/>
    </row>
    <row r="26" spans="1:58">
      <c r="A26">
        <v>0</v>
      </c>
      <c r="B26">
        <v>0</v>
      </c>
      <c r="C26">
        <v>1</v>
      </c>
      <c r="D26">
        <f t="shared" si="0"/>
        <v>0</v>
      </c>
      <c r="E26">
        <f t="shared" si="2"/>
        <v>0</v>
      </c>
      <c r="F26">
        <f t="shared" si="1"/>
        <v>0</v>
      </c>
      <c r="G26">
        <f t="shared" si="3"/>
        <v>0</v>
      </c>
      <c r="H26">
        <f t="shared" si="4"/>
        <v>0</v>
      </c>
      <c r="I26">
        <f>IF('Actuarial Science'!gpa_tf, G26*B26, G26*A26)</f>
        <v>0</v>
      </c>
      <c r="J26" s="45">
        <v>3</v>
      </c>
      <c r="K26" s="41"/>
      <c r="L26" s="41"/>
      <c r="M26" s="24" t="str">
        <v/>
      </c>
      <c r="N26" s="24" t="str">
        <v/>
      </c>
      <c r="O26" s="41"/>
      <c r="P26" s="48"/>
      <c r="R26" s="14" t="s">
        <v>213</v>
      </c>
      <c r="S26" s="24">
        <v>6</v>
      </c>
      <c r="T26" s="24">
        <f t="shared" si="38"/>
        <v>0</v>
      </c>
      <c r="U26" s="42">
        <v>0</v>
      </c>
      <c r="V26" s="15" t="b">
        <f t="shared" si="39"/>
        <v>0</v>
      </c>
      <c r="AA26" s="251" t="s">
        <v>214</v>
      </c>
      <c r="AB26" s="16"/>
      <c r="AC26" s="201" t="s">
        <v>215</v>
      </c>
      <c r="AD26" s="9" t="b">
        <f t="shared" si="5"/>
        <v>1</v>
      </c>
      <c r="AE26" s="7">
        <f t="shared" si="6"/>
        <v>7</v>
      </c>
      <c r="AF26" s="7" t="str">
        <f t="shared" si="7"/>
        <v/>
      </c>
      <c r="AG26" s="7" t="b">
        <f t="shared" si="40"/>
        <v>1</v>
      </c>
      <c r="AH26" s="9"/>
      <c r="AI26" s="7" t="b">
        <f t="shared" si="41"/>
        <v>1</v>
      </c>
      <c r="AJ26" s="7">
        <f t="shared" si="42"/>
        <v>1</v>
      </c>
      <c r="AK26" s="7"/>
      <c r="AL26" s="7" t="str">
        <f t="shared" si="43"/>
        <v/>
      </c>
      <c r="AM26" s="7"/>
      <c r="AN26" s="7" t="str">
        <f t="shared" si="12"/>
        <v/>
      </c>
      <c r="AO26" s="105">
        <v>3</v>
      </c>
      <c r="AP26" s="140"/>
      <c r="AQ26" s="7" t="str">
        <f t="shared" si="44"/>
        <v/>
      </c>
      <c r="AR26" s="7" t="str">
        <f t="shared" si="45"/>
        <v/>
      </c>
      <c r="AS26" s="7" t="str">
        <f t="shared" si="46"/>
        <v/>
      </c>
      <c r="AT26" s="137"/>
      <c r="AU26" s="7"/>
      <c r="AV26" s="7"/>
      <c r="AW26" s="7"/>
      <c r="AX26" s="44"/>
      <c r="AY26" s="7"/>
      <c r="AZ26" s="15" t="s">
        <v>121</v>
      </c>
      <c r="BD26" s="78" t="s">
        <v>216</v>
      </c>
      <c r="BE26" s="99" t="s">
        <v>217</v>
      </c>
      <c r="BF26" s="24"/>
    </row>
    <row r="27" spans="1:58" ht="46.8">
      <c r="A27">
        <v>0</v>
      </c>
      <c r="B27">
        <v>0</v>
      </c>
      <c r="C27">
        <v>1</v>
      </c>
      <c r="D27">
        <f t="shared" si="0"/>
        <v>0</v>
      </c>
      <c r="E27">
        <f t="shared" si="2"/>
        <v>0</v>
      </c>
      <c r="F27">
        <f t="shared" si="1"/>
        <v>0</v>
      </c>
      <c r="G27">
        <f t="shared" si="3"/>
        <v>0</v>
      </c>
      <c r="H27">
        <f t="shared" si="4"/>
        <v>0</v>
      </c>
      <c r="I27">
        <f>IF('Actuarial Science'!gpa_tf, G27*B27, G27*A27)</f>
        <v>0</v>
      </c>
      <c r="J27" s="45">
        <v>3</v>
      </c>
      <c r="K27" s="41"/>
      <c r="L27" s="41"/>
      <c r="M27" s="24" t="str">
        <v/>
      </c>
      <c r="N27" s="24" t="str">
        <v/>
      </c>
      <c r="O27" s="41"/>
      <c r="P27" s="48"/>
      <c r="R27" s="14" t="s">
        <v>218</v>
      </c>
      <c r="S27" s="24">
        <v>9</v>
      </c>
      <c r="T27" s="24">
        <f t="shared" si="38"/>
        <v>12</v>
      </c>
      <c r="U27" s="42">
        <v>3</v>
      </c>
      <c r="V27" s="15" t="b">
        <f t="shared" si="39"/>
        <v>1</v>
      </c>
      <c r="AA27" s="251" t="s">
        <v>210</v>
      </c>
      <c r="AB27" s="202" t="s">
        <v>219</v>
      </c>
      <c r="AC27" s="197" t="s">
        <v>119</v>
      </c>
      <c r="AD27" s="9" t="b">
        <f t="shared" si="5"/>
        <v>1</v>
      </c>
      <c r="AE27" s="7">
        <f t="shared" si="6"/>
        <v>1</v>
      </c>
      <c r="AF27" s="7">
        <f t="shared" si="7"/>
        <v>4</v>
      </c>
      <c r="AG27" s="7" t="b">
        <f t="shared" ref="AG27:AG39" si="47">IF(AE27="", "", AE27&lt;AF27)</f>
        <v>1</v>
      </c>
      <c r="AH27" s="9"/>
      <c r="AI27" s="7" t="b">
        <f t="shared" ref="AI27:AI39" si="48">IF(AE27="", "", AE27&gt;=AH27)</f>
        <v>1</v>
      </c>
      <c r="AJ27" s="7">
        <f t="shared" ref="AJ27:AJ39" si="49">IF(AE27="","",IF(MOD(AE27,2)=0,2,1))</f>
        <v>1</v>
      </c>
      <c r="AK27" s="7"/>
      <c r="AL27" s="7" t="str">
        <f t="shared" ref="AL27:AL39" si="50">IF(AK27&lt;&gt;0, AK27&lt;&gt;AJ27, "")</f>
        <v/>
      </c>
      <c r="AM27" s="7" t="b">
        <v>1</v>
      </c>
      <c r="AN27" s="7" t="b">
        <f t="shared" si="12"/>
        <v>1</v>
      </c>
      <c r="AO27" s="105">
        <v>4</v>
      </c>
      <c r="AP27" s="137"/>
      <c r="AQ27" s="7" t="str">
        <f t="shared" ref="AQ27:AQ39" si="51">IF(AP27=0,"",NOT(ISERROR(MATCH(AP27,schedule_courses,0))))</f>
        <v/>
      </c>
      <c r="AR27" s="7" t="str">
        <f t="shared" ref="AR27:AR39" si="52">IF(IFERROR(INDEX(req_tr_AP_credit, MATCH(AP27, req_course,0)), FALSE),0,IFERROR(INDEX(schedule_semester,MATCH(AP27,schedule_courses,0)), ""))</f>
        <v/>
      </c>
      <c r="AS27" s="7" t="str">
        <f t="shared" ref="AS27:AS39" si="53">IF(AR27&lt;&gt;"", AR27&lt;AE27, "")</f>
        <v/>
      </c>
      <c r="AT27" s="137"/>
      <c r="AU27" s="7" t="str">
        <f t="shared" ref="AU27:AU39" si="54">IF(AT27=0,"",NOT(ISERROR(MATCH(AT27,schedule_courses,0))))</f>
        <v/>
      </c>
      <c r="AV27" s="7" t="str">
        <f t="shared" ref="AV27:AV39" si="55">IF(IFERROR(INDEX(req_tr_AP_credit, MATCH(AT27, req_course)), FALSE),0,IFERROR(INDEX(schedule_semester,MATCH(AT27,schedule_courses,0)), ""))</f>
        <v/>
      </c>
      <c r="AW27" s="7" t="str">
        <f t="shared" ref="AW27:AW39" si="56">IF(AV27&lt;&gt;"", AV27&lt;=AE27, "")</f>
        <v/>
      </c>
      <c r="AX27" s="44"/>
      <c r="AY27" s="6" t="s">
        <v>154</v>
      </c>
      <c r="AZ27" s="15" t="s">
        <v>121</v>
      </c>
      <c r="BD27" s="77" t="s">
        <v>220</v>
      </c>
      <c r="BE27" s="99" t="s">
        <v>221</v>
      </c>
      <c r="BF27" s="24"/>
    </row>
    <row r="28" spans="1:58">
      <c r="A28">
        <v>0</v>
      </c>
      <c r="B28">
        <v>0</v>
      </c>
      <c r="C28">
        <v>1</v>
      </c>
      <c r="D28">
        <f t="shared" si="0"/>
        <v>0</v>
      </c>
      <c r="E28">
        <f t="shared" si="2"/>
        <v>0</v>
      </c>
      <c r="F28">
        <f t="shared" si="1"/>
        <v>0</v>
      </c>
      <c r="G28">
        <f t="shared" si="3"/>
        <v>0</v>
      </c>
      <c r="H28">
        <f t="shared" si="4"/>
        <v>0</v>
      </c>
      <c r="I28">
        <f>IF('Actuarial Science'!gpa_tf, G28*B28, G28*A28)</f>
        <v>0</v>
      </c>
      <c r="J28" s="54">
        <v>3</v>
      </c>
      <c r="K28" s="41"/>
      <c r="L28" s="43"/>
      <c r="M28" s="10" t="str">
        <v/>
      </c>
      <c r="N28" s="10" t="str">
        <v/>
      </c>
      <c r="O28" s="43"/>
      <c r="P28" s="49"/>
      <c r="R28" s="14" t="s">
        <v>184</v>
      </c>
      <c r="S28" s="29">
        <v>1</v>
      </c>
      <c r="T28" s="24">
        <f>SUMIF(schedule_gecode, R28, schedule_credits)</f>
        <v>1</v>
      </c>
      <c r="U28" s="42"/>
      <c r="V28" s="15" t="b">
        <f t="shared" si="39"/>
        <v>1</v>
      </c>
      <c r="AA28" s="251" t="s">
        <v>222</v>
      </c>
      <c r="AB28" s="172"/>
      <c r="AC28" s="125" t="s">
        <v>187</v>
      </c>
      <c r="AD28" s="9" t="b">
        <f t="shared" si="5"/>
        <v>1</v>
      </c>
      <c r="AE28" s="7">
        <f t="shared" si="6"/>
        <v>3</v>
      </c>
      <c r="AF28" s="7" t="str">
        <f t="shared" si="7"/>
        <v/>
      </c>
      <c r="AG28" s="7" t="b">
        <f t="shared" si="47"/>
        <v>1</v>
      </c>
      <c r="AH28" s="9"/>
      <c r="AI28" s="7" t="b">
        <f t="shared" si="48"/>
        <v>1</v>
      </c>
      <c r="AJ28" s="7">
        <f t="shared" si="49"/>
        <v>1</v>
      </c>
      <c r="AK28" s="7"/>
      <c r="AL28" s="7" t="str">
        <f t="shared" si="50"/>
        <v/>
      </c>
      <c r="AM28" s="7" t="b">
        <v>1</v>
      </c>
      <c r="AN28" s="7" t="str">
        <f t="shared" si="12"/>
        <v/>
      </c>
      <c r="AO28" s="105">
        <v>3</v>
      </c>
      <c r="AP28" s="137"/>
      <c r="AQ28" s="7" t="str">
        <f t="shared" si="51"/>
        <v/>
      </c>
      <c r="AR28" s="7" t="str">
        <f t="shared" si="52"/>
        <v/>
      </c>
      <c r="AS28" s="7" t="str">
        <f t="shared" si="53"/>
        <v/>
      </c>
      <c r="AT28" s="137" t="s">
        <v>186</v>
      </c>
      <c r="AU28" s="7" t="b">
        <f t="shared" si="54"/>
        <v>1</v>
      </c>
      <c r="AV28" s="7">
        <f t="shared" si="55"/>
        <v>0</v>
      </c>
      <c r="AW28" s="7" t="b">
        <f t="shared" si="56"/>
        <v>1</v>
      </c>
      <c r="AX28" s="44"/>
      <c r="AY28" s="7"/>
      <c r="AZ28" s="118" t="s">
        <v>121</v>
      </c>
      <c r="BD28" s="78" t="s">
        <v>223</v>
      </c>
      <c r="BE28" s="99" t="s">
        <v>224</v>
      </c>
      <c r="BF28" s="24"/>
    </row>
    <row r="29" spans="1:58">
      <c r="A29">
        <v>0</v>
      </c>
      <c r="B29">
        <v>0</v>
      </c>
      <c r="C29">
        <v>0</v>
      </c>
      <c r="D29">
        <f t="shared" si="0"/>
        <v>0</v>
      </c>
      <c r="E29">
        <f t="shared" si="2"/>
        <v>0</v>
      </c>
      <c r="F29">
        <f t="shared" si="1"/>
        <v>0</v>
      </c>
      <c r="G29">
        <f t="shared" si="3"/>
        <v>3</v>
      </c>
      <c r="H29">
        <f t="shared" si="4"/>
        <v>0</v>
      </c>
      <c r="I29">
        <f>IF('Actuarial Science'!gpa_tf, G29*B29, G29*A29)</f>
        <v>0</v>
      </c>
      <c r="J29" s="50">
        <v>4</v>
      </c>
      <c r="K29" s="51"/>
      <c r="L29" s="51" t="s">
        <v>191</v>
      </c>
      <c r="M29" s="55">
        <v>3</v>
      </c>
      <c r="N29" s="55" t="str">
        <v/>
      </c>
      <c r="O29" s="51"/>
      <c r="P29" s="52"/>
      <c r="R29" s="14" t="s">
        <v>225</v>
      </c>
      <c r="S29" s="24">
        <v>6</v>
      </c>
      <c r="T29" s="24">
        <f>SUMIF(schedule_n, TRUE, schedule_credits)</f>
        <v>0</v>
      </c>
      <c r="U29" s="42">
        <v>0</v>
      </c>
      <c r="V29" s="15" t="b">
        <f t="shared" si="39"/>
        <v>0</v>
      </c>
      <c r="AA29" s="251" t="s">
        <v>119</v>
      </c>
      <c r="AB29" s="14"/>
      <c r="AC29" s="128" t="s">
        <v>187</v>
      </c>
      <c r="AD29" s="9" t="b">
        <f t="shared" si="5"/>
        <v>1</v>
      </c>
      <c r="AE29" s="7">
        <f t="shared" si="6"/>
        <v>3</v>
      </c>
      <c r="AF29" s="7" t="str">
        <f t="shared" si="7"/>
        <v/>
      </c>
      <c r="AG29" s="7" t="b">
        <f t="shared" si="47"/>
        <v>1</v>
      </c>
      <c r="AH29" s="9"/>
      <c r="AI29" s="7" t="b">
        <f t="shared" si="48"/>
        <v>1</v>
      </c>
      <c r="AJ29" s="7">
        <f t="shared" si="49"/>
        <v>1</v>
      </c>
      <c r="AK29" s="7"/>
      <c r="AL29" s="7" t="str">
        <f t="shared" si="50"/>
        <v/>
      </c>
      <c r="AM29" s="7" t="b">
        <v>1</v>
      </c>
      <c r="AN29" s="7" t="str">
        <f t="shared" si="12"/>
        <v/>
      </c>
      <c r="AO29" s="105">
        <v>3</v>
      </c>
      <c r="AP29" s="137"/>
      <c r="AQ29" s="7" t="str">
        <f t="shared" si="51"/>
        <v/>
      </c>
      <c r="AR29" s="7" t="str">
        <f t="shared" si="52"/>
        <v/>
      </c>
      <c r="AS29" s="7" t="str">
        <f t="shared" si="53"/>
        <v/>
      </c>
      <c r="AT29" s="137"/>
      <c r="AU29" s="7" t="str">
        <f t="shared" si="54"/>
        <v/>
      </c>
      <c r="AV29" s="7" t="str">
        <f t="shared" si="55"/>
        <v/>
      </c>
      <c r="AW29" s="7" t="str">
        <f t="shared" si="56"/>
        <v/>
      </c>
      <c r="AX29" s="44"/>
      <c r="AY29" s="7"/>
      <c r="AZ29" s="15" t="s">
        <v>121</v>
      </c>
      <c r="BD29" s="16" t="s">
        <v>226</v>
      </c>
      <c r="BE29" s="101"/>
      <c r="BF29" s="24"/>
    </row>
    <row r="30" spans="1:58" ht="53.1" customHeight="1">
      <c r="A30">
        <v>0</v>
      </c>
      <c r="B30">
        <v>0</v>
      </c>
      <c r="C30">
        <v>0</v>
      </c>
      <c r="D30">
        <f t="shared" si="0"/>
        <v>0</v>
      </c>
      <c r="E30">
        <f t="shared" si="2"/>
        <v>0</v>
      </c>
      <c r="F30">
        <f t="shared" si="1"/>
        <v>0</v>
      </c>
      <c r="G30">
        <f t="shared" si="3"/>
        <v>3</v>
      </c>
      <c r="H30">
        <f t="shared" si="4"/>
        <v>0</v>
      </c>
      <c r="I30">
        <f>IF('Actuarial Science'!gpa_tf, G30*B30, G30*A30)</f>
        <v>0</v>
      </c>
      <c r="J30" s="46">
        <v>4</v>
      </c>
      <c r="K30" s="41"/>
      <c r="L30" s="41" t="s">
        <v>227</v>
      </c>
      <c r="M30" s="24">
        <v>3</v>
      </c>
      <c r="N30" s="24" t="str">
        <v/>
      </c>
      <c r="O30" s="41"/>
      <c r="P30" s="48"/>
      <c r="R30" s="28" t="s">
        <v>228</v>
      </c>
      <c r="S30" s="29">
        <v>3</v>
      </c>
      <c r="T30" s="24">
        <f>SUMIF(schedule_usil, "US", schedule_credits)</f>
        <v>0</v>
      </c>
      <c r="U30" s="42">
        <v>0</v>
      </c>
      <c r="V30" s="15" t="b">
        <f t="shared" si="39"/>
        <v>0</v>
      </c>
      <c r="AB30" s="313" t="s">
        <v>229</v>
      </c>
      <c r="AC30" s="194" t="s">
        <v>179</v>
      </c>
      <c r="AD30" s="9" t="b">
        <f t="shared" ref="AD30" si="57">NOT(ISERROR(MATCH(AC30,schedule_courses,0)))</f>
        <v>1</v>
      </c>
      <c r="AE30" s="7">
        <f t="shared" ref="AE30" si="58">IF(AX30,0,IFERROR(INDEX(schedule_semester,MATCH(AC30,schedule_courses,0)), ""))</f>
        <v>2</v>
      </c>
      <c r="AF30" s="7" t="str">
        <f t="shared" si="7"/>
        <v/>
      </c>
      <c r="AG30" s="7" t="b">
        <f t="shared" ref="AG30" si="59">IF(AE30="", "", AE30&lt;AF30)</f>
        <v>1</v>
      </c>
      <c r="AH30" s="9"/>
      <c r="AI30" s="7" t="b">
        <f t="shared" ref="AI30" si="60">IF(AE30="", "", AE30&gt;=AH30)</f>
        <v>1</v>
      </c>
      <c r="AJ30" s="7">
        <f t="shared" ref="AJ30" si="61">IF(AE30="","",IF(MOD(AE30,2)=0,2,1))</f>
        <v>2</v>
      </c>
      <c r="AK30" s="7"/>
      <c r="AL30" s="7" t="str">
        <f t="shared" ref="AL30" si="62">IF(AK30&lt;&gt;0, AK30&lt;&gt;AJ30, "")</f>
        <v/>
      </c>
      <c r="AM30" s="7" t="b">
        <v>1</v>
      </c>
      <c r="AN30" s="7" t="b">
        <f t="shared" ref="AN30" si="63">IFERROR(IF(AM30, INDEX(grade_number, MATCH(INDEX(schedule_grades, MATCH(AC30, schedule_courses, 0)), grade_letter, 0))&gt;=2, ""), "")</f>
        <v>1</v>
      </c>
      <c r="AO30" s="150">
        <v>4</v>
      </c>
      <c r="AP30" s="137"/>
      <c r="AQ30" s="7" t="str">
        <f t="shared" ref="AQ30:AQ32" si="64">IF(AP30=0,"",NOT(ISERROR(MATCH(AP30,schedule_courses,0))))</f>
        <v/>
      </c>
      <c r="AR30" s="7" t="str">
        <f t="shared" ref="AR30:AR32" si="65">IF(IFERROR(INDEX(req_tr_AP_credit, MATCH(AP30, req_course,0)), FALSE),0,IFERROR(INDEX(schedule_semester,MATCH(AP30,schedule_courses,0)), ""))</f>
        <v/>
      </c>
      <c r="AS30" s="7" t="str">
        <f t="shared" ref="AS30:AS32" si="66">IF(AR30&lt;&gt;"", AR30&lt;AE30, "")</f>
        <v/>
      </c>
      <c r="AT30" s="137"/>
      <c r="AU30" s="7" t="str">
        <f t="shared" ref="AU30:AU32" si="67">IF(AT30=0,"",NOT(ISERROR(MATCH(AT30,schedule_courses,0))))</f>
        <v/>
      </c>
      <c r="AV30" s="7" t="str">
        <f t="shared" ref="AV30:AV32" si="68">IF(IFERROR(INDEX(req_tr_AP_credit, MATCH(AT30, req_course)), FALSE),0,IFERROR(INDEX(schedule_semester,MATCH(AT30,schedule_courses,0)), ""))</f>
        <v/>
      </c>
      <c r="AW30" s="7" t="str">
        <f t="shared" ref="AW30:AW32" si="69">IF(AV30&lt;&gt;"", AV30&lt;=AE30, "")</f>
        <v/>
      </c>
      <c r="AX30" s="44"/>
      <c r="AY30" s="7"/>
      <c r="AZ30" s="15" t="s">
        <v>121</v>
      </c>
      <c r="BD30" s="85" t="s">
        <v>230</v>
      </c>
      <c r="BE30" s="102" t="s">
        <v>231</v>
      </c>
      <c r="BF30" s="24"/>
    </row>
    <row r="31" spans="1:58" ht="33.9" customHeight="1">
      <c r="A31">
        <v>0</v>
      </c>
      <c r="B31">
        <v>0</v>
      </c>
      <c r="C31">
        <v>0</v>
      </c>
      <c r="D31">
        <f t="shared" si="0"/>
        <v>0</v>
      </c>
      <c r="E31">
        <f t="shared" si="2"/>
        <v>0</v>
      </c>
      <c r="F31">
        <f t="shared" si="1"/>
        <v>0</v>
      </c>
      <c r="G31">
        <f t="shared" si="3"/>
        <v>3</v>
      </c>
      <c r="H31">
        <f t="shared" si="4"/>
        <v>0</v>
      </c>
      <c r="I31">
        <f>IF('Actuarial Science'!gpa_tf, G31*B31, G31*A31)</f>
        <v>0</v>
      </c>
      <c r="J31" s="46">
        <v>4</v>
      </c>
      <c r="K31" s="41"/>
      <c r="L31" s="41" t="s">
        <v>176</v>
      </c>
      <c r="M31" s="24">
        <v>3</v>
      </c>
      <c r="N31" s="24" t="str">
        <v/>
      </c>
      <c r="O31" s="41"/>
      <c r="P31" s="48"/>
      <c r="R31" s="30" t="s">
        <v>232</v>
      </c>
      <c r="S31" s="31">
        <v>3</v>
      </c>
      <c r="T31" s="10">
        <f>SUMIF(schedule_usil, "IL", schedule_credits)</f>
        <v>0</v>
      </c>
      <c r="U31" s="239">
        <v>0</v>
      </c>
      <c r="V31" s="26" t="b">
        <f t="shared" si="39"/>
        <v>0</v>
      </c>
      <c r="AB31" s="308"/>
      <c r="AC31" s="196"/>
      <c r="AD31" s="9" t="b">
        <f t="shared" ref="AD31:AD33" si="70">NOT(ISERROR(MATCH(AC31,schedule_courses,0)))</f>
        <v>0</v>
      </c>
      <c r="AE31" s="7" t="str">
        <f t="shared" ref="AE31:AE33" si="71">IF(AX31,0,IFERROR(INDEX(schedule_semester,MATCH(AC31,schedule_courses,0)), ""))</f>
        <v/>
      </c>
      <c r="AF31" s="7" t="str">
        <f t="shared" si="7"/>
        <v/>
      </c>
      <c r="AG31" s="7" t="str">
        <f t="shared" ref="AG31:AG33" si="72">IF(AE31="", "", AE31&lt;AF31)</f>
        <v/>
      </c>
      <c r="AH31" s="9"/>
      <c r="AI31" s="7" t="str">
        <f t="shared" ref="AI31:AI33" si="73">IF(AE31="", "", AE31&gt;=AH31)</f>
        <v/>
      </c>
      <c r="AJ31" s="7" t="str">
        <f t="shared" ref="AJ31:AJ33" si="74">IF(AE31="","",IF(MOD(AE31,2)=0,2,1))</f>
        <v/>
      </c>
      <c r="AK31" s="7"/>
      <c r="AL31" s="7" t="str">
        <f t="shared" ref="AL31:AL33" si="75">IF(AK31&lt;&gt;0, AK31&lt;&gt;AJ31, "")</f>
        <v/>
      </c>
      <c r="AM31" s="7" t="b">
        <v>1</v>
      </c>
      <c r="AN31" s="7" t="str">
        <f t="shared" ref="AN31:AN33" si="76">IFERROR(IF(AM31, INDEX(grade_number, MATCH(INDEX(schedule_grades, MATCH(AC31, schedule_courses, 0)), grade_letter, 0))&gt;=2, ""), "")</f>
        <v/>
      </c>
      <c r="AO31" s="150"/>
      <c r="AP31" s="137"/>
      <c r="AQ31" s="7" t="str">
        <f t="shared" si="64"/>
        <v/>
      </c>
      <c r="AR31" s="7" t="str">
        <f t="shared" si="65"/>
        <v/>
      </c>
      <c r="AS31" s="7" t="str">
        <f t="shared" si="66"/>
        <v/>
      </c>
      <c r="AT31" s="137"/>
      <c r="AU31" s="7" t="str">
        <f t="shared" si="67"/>
        <v/>
      </c>
      <c r="AV31" s="7" t="str">
        <f t="shared" si="68"/>
        <v/>
      </c>
      <c r="AW31" s="7" t="str">
        <f t="shared" si="69"/>
        <v/>
      </c>
      <c r="AX31" s="44"/>
      <c r="AY31" s="7"/>
      <c r="AZ31" s="15" t="s">
        <v>121</v>
      </c>
      <c r="BD31" s="87" t="s">
        <v>233</v>
      </c>
      <c r="BE31" s="102" t="s">
        <v>234</v>
      </c>
      <c r="BF31" s="24"/>
    </row>
    <row r="32" spans="1:58">
      <c r="A32">
        <v>0</v>
      </c>
      <c r="B32">
        <v>0</v>
      </c>
      <c r="C32">
        <v>0</v>
      </c>
      <c r="D32">
        <f t="shared" si="0"/>
        <v>0</v>
      </c>
      <c r="E32">
        <f t="shared" si="2"/>
        <v>0</v>
      </c>
      <c r="F32">
        <f t="shared" si="1"/>
        <v>0</v>
      </c>
      <c r="G32">
        <f t="shared" si="3"/>
        <v>3</v>
      </c>
      <c r="H32">
        <f t="shared" si="4"/>
        <v>0</v>
      </c>
      <c r="I32">
        <f>IF('Actuarial Science'!gpa_tf, G32*B32, G32*A32)</f>
        <v>0</v>
      </c>
      <c r="J32" s="46">
        <v>4</v>
      </c>
      <c r="K32" s="41"/>
      <c r="L32" s="41" t="s">
        <v>235</v>
      </c>
      <c r="M32" s="24">
        <v>3</v>
      </c>
      <c r="N32" s="24" t="str">
        <v/>
      </c>
      <c r="O32" s="41"/>
      <c r="P32" s="48"/>
      <c r="R32" s="29"/>
      <c r="S32" s="29"/>
      <c r="T32" s="24"/>
      <c r="U32" s="69"/>
      <c r="V32" s="24"/>
      <c r="W32" s="24"/>
      <c r="AB32" s="314"/>
      <c r="AC32" s="197"/>
      <c r="AD32" s="9" t="b">
        <f t="shared" si="70"/>
        <v>0</v>
      </c>
      <c r="AE32" s="7" t="str">
        <f t="shared" si="71"/>
        <v/>
      </c>
      <c r="AF32" s="7" t="str">
        <f t="shared" si="7"/>
        <v/>
      </c>
      <c r="AG32" s="7" t="str">
        <f t="shared" si="72"/>
        <v/>
      </c>
      <c r="AH32" s="9"/>
      <c r="AI32" s="7" t="str">
        <f t="shared" si="73"/>
        <v/>
      </c>
      <c r="AJ32" s="7" t="str">
        <f t="shared" si="74"/>
        <v/>
      </c>
      <c r="AK32" s="7"/>
      <c r="AL32" s="7" t="str">
        <f t="shared" si="75"/>
        <v/>
      </c>
      <c r="AM32" s="7" t="b">
        <v>1</v>
      </c>
      <c r="AN32" s="7" t="str">
        <f t="shared" si="76"/>
        <v/>
      </c>
      <c r="AO32" s="150"/>
      <c r="AP32" s="137"/>
      <c r="AQ32" s="7" t="str">
        <f t="shared" si="64"/>
        <v/>
      </c>
      <c r="AR32" s="7" t="str">
        <f t="shared" si="65"/>
        <v/>
      </c>
      <c r="AS32" s="7" t="str">
        <f t="shared" si="66"/>
        <v/>
      </c>
      <c r="AT32" s="137"/>
      <c r="AU32" s="7" t="str">
        <f t="shared" si="67"/>
        <v/>
      </c>
      <c r="AV32" s="7" t="str">
        <f t="shared" si="68"/>
        <v/>
      </c>
      <c r="AW32" s="7" t="str">
        <f t="shared" si="69"/>
        <v/>
      </c>
      <c r="AX32" s="44"/>
      <c r="AY32" s="7"/>
      <c r="AZ32" s="15" t="s">
        <v>121</v>
      </c>
      <c r="BD32" s="85" t="s">
        <v>236</v>
      </c>
      <c r="BE32" s="102" t="s">
        <v>237</v>
      </c>
      <c r="BF32" s="24"/>
    </row>
    <row r="33" spans="1:58">
      <c r="A33">
        <v>0</v>
      </c>
      <c r="B33">
        <v>0</v>
      </c>
      <c r="C33">
        <v>0</v>
      </c>
      <c r="D33">
        <f t="shared" si="0"/>
        <v>0</v>
      </c>
      <c r="E33">
        <f t="shared" si="2"/>
        <v>0</v>
      </c>
      <c r="F33">
        <f t="shared" si="1"/>
        <v>0</v>
      </c>
      <c r="G33">
        <f t="shared" si="3"/>
        <v>3</v>
      </c>
      <c r="H33">
        <f t="shared" si="4"/>
        <v>0</v>
      </c>
      <c r="I33">
        <f>IF('Actuarial Science'!gpa_tf, G33*B33, G33*A33)</f>
        <v>0</v>
      </c>
      <c r="J33" s="46">
        <v>4</v>
      </c>
      <c r="K33" s="41"/>
      <c r="L33" s="41" t="s">
        <v>238</v>
      </c>
      <c r="M33" s="24">
        <v>3</v>
      </c>
      <c r="N33" s="24" t="str">
        <v>GA</v>
      </c>
      <c r="O33" s="41"/>
      <c r="P33" s="48"/>
      <c r="R33" s="24"/>
      <c r="S33" s="24"/>
      <c r="T33" s="24"/>
      <c r="U33" s="24"/>
      <c r="V33" s="24"/>
      <c r="W33" s="24"/>
      <c r="AB33" s="14"/>
      <c r="AC33" s="125" t="s">
        <v>159</v>
      </c>
      <c r="AD33" s="9" t="b">
        <f t="shared" si="70"/>
        <v>1</v>
      </c>
      <c r="AE33" s="7">
        <f t="shared" si="71"/>
        <v>2</v>
      </c>
      <c r="AF33" s="7">
        <f t="shared" si="7"/>
        <v>4</v>
      </c>
      <c r="AG33" s="7" t="b">
        <f t="shared" si="72"/>
        <v>1</v>
      </c>
      <c r="AH33" s="9"/>
      <c r="AI33" s="7" t="b">
        <f t="shared" si="73"/>
        <v>1</v>
      </c>
      <c r="AJ33" s="7">
        <f t="shared" si="74"/>
        <v>2</v>
      </c>
      <c r="AK33" s="7"/>
      <c r="AL33" s="7" t="str">
        <f t="shared" si="75"/>
        <v/>
      </c>
      <c r="AM33" s="7" t="b">
        <v>1</v>
      </c>
      <c r="AN33" s="7" t="b">
        <f t="shared" si="76"/>
        <v>1</v>
      </c>
      <c r="AO33" s="9">
        <v>4</v>
      </c>
      <c r="AP33" s="137"/>
      <c r="AQ33" s="7" t="str">
        <f t="shared" si="51"/>
        <v/>
      </c>
      <c r="AR33" s="7" t="str">
        <f t="shared" si="52"/>
        <v/>
      </c>
      <c r="AS33" s="7" t="str">
        <f t="shared" si="53"/>
        <v/>
      </c>
      <c r="AT33" s="137"/>
      <c r="AU33" s="7" t="str">
        <f t="shared" si="54"/>
        <v/>
      </c>
      <c r="AV33" s="7" t="str">
        <f t="shared" si="55"/>
        <v/>
      </c>
      <c r="AW33" s="7" t="str">
        <f t="shared" si="56"/>
        <v/>
      </c>
      <c r="AX33" s="44"/>
      <c r="AY33" s="7"/>
      <c r="AZ33" s="165" t="s">
        <v>239</v>
      </c>
      <c r="BD33" s="87" t="s">
        <v>240</v>
      </c>
      <c r="BE33" s="102" t="s">
        <v>241</v>
      </c>
      <c r="BF33" s="24"/>
    </row>
    <row r="34" spans="1:58">
      <c r="A34">
        <v>0</v>
      </c>
      <c r="B34">
        <v>0</v>
      </c>
      <c r="C34">
        <v>0</v>
      </c>
      <c r="D34">
        <f t="shared" ref="D34:D65" si="77">IFERROR(INDEX(grade_number, MATCH(K34, grade_letter, 0))*M34,0)</f>
        <v>0</v>
      </c>
      <c r="E34">
        <f t="shared" si="2"/>
        <v>0</v>
      </c>
      <c r="F34">
        <f t="shared" ref="F34:F65" si="78">IF(gpa_tf, D34*B34, D34*A34)</f>
        <v>0</v>
      </c>
      <c r="G34">
        <f t="shared" si="3"/>
        <v>0</v>
      </c>
      <c r="H34">
        <f t="shared" si="4"/>
        <v>0</v>
      </c>
      <c r="I34">
        <f>IF('Actuarial Science'!gpa_tf, G34*B34, G34*A34)</f>
        <v>0</v>
      </c>
      <c r="J34" s="46">
        <v>4</v>
      </c>
      <c r="K34" s="41"/>
      <c r="L34" s="41"/>
      <c r="M34" s="24" t="str">
        <v/>
      </c>
      <c r="N34" s="24" t="str">
        <v/>
      </c>
      <c r="O34" s="41"/>
      <c r="P34" s="48"/>
      <c r="AB34" s="14"/>
      <c r="AC34" s="125" t="s">
        <v>152</v>
      </c>
      <c r="AD34" s="9" t="b">
        <f t="shared" si="5"/>
        <v>0</v>
      </c>
      <c r="AE34" s="7">
        <f t="shared" si="6"/>
        <v>0</v>
      </c>
      <c r="AF34" s="7">
        <f t="shared" si="7"/>
        <v>4</v>
      </c>
      <c r="AG34" s="7" t="b">
        <f t="shared" si="47"/>
        <v>1</v>
      </c>
      <c r="AH34" s="9"/>
      <c r="AI34" s="7" t="b">
        <f t="shared" si="48"/>
        <v>1</v>
      </c>
      <c r="AJ34" s="7">
        <f t="shared" si="49"/>
        <v>2</v>
      </c>
      <c r="AK34" s="7"/>
      <c r="AL34" s="7" t="str">
        <f t="shared" si="50"/>
        <v/>
      </c>
      <c r="AM34" s="7"/>
      <c r="AN34" s="7" t="str">
        <f t="shared" si="12"/>
        <v/>
      </c>
      <c r="AO34" s="105">
        <v>3</v>
      </c>
      <c r="AP34" s="137"/>
      <c r="AQ34" s="7" t="str">
        <f t="shared" si="51"/>
        <v/>
      </c>
      <c r="AR34" s="7" t="str">
        <f t="shared" si="52"/>
        <v/>
      </c>
      <c r="AS34" s="7" t="str">
        <f t="shared" si="53"/>
        <v/>
      </c>
      <c r="AT34" s="137"/>
      <c r="AU34" s="7" t="str">
        <f t="shared" si="54"/>
        <v/>
      </c>
      <c r="AV34" s="7" t="str">
        <f t="shared" si="55"/>
        <v/>
      </c>
      <c r="AW34" s="7" t="str">
        <f t="shared" si="56"/>
        <v/>
      </c>
      <c r="AX34" s="44" t="b">
        <v>1</v>
      </c>
      <c r="AY34" s="7" t="s">
        <v>213</v>
      </c>
      <c r="AZ34" s="165" t="s">
        <v>239</v>
      </c>
      <c r="BD34" s="85" t="s">
        <v>242</v>
      </c>
      <c r="BE34" s="102" t="s">
        <v>243</v>
      </c>
      <c r="BF34" s="24"/>
    </row>
    <row r="35" spans="1:58">
      <c r="A35">
        <v>0</v>
      </c>
      <c r="B35">
        <v>0</v>
      </c>
      <c r="C35">
        <v>0</v>
      </c>
      <c r="D35">
        <f t="shared" si="77"/>
        <v>0</v>
      </c>
      <c r="E35">
        <f t="shared" si="2"/>
        <v>0</v>
      </c>
      <c r="F35">
        <f t="shared" si="78"/>
        <v>0</v>
      </c>
      <c r="G35">
        <f t="shared" si="3"/>
        <v>0</v>
      </c>
      <c r="H35">
        <f t="shared" si="4"/>
        <v>0</v>
      </c>
      <c r="I35">
        <f>IF('Actuarial Science'!gpa_tf, G35*B35, G35*A35)</f>
        <v>0</v>
      </c>
      <c r="J35" s="46">
        <v>4</v>
      </c>
      <c r="K35" s="41"/>
      <c r="L35" s="41"/>
      <c r="M35" s="24" t="str">
        <v/>
      </c>
      <c r="N35" s="24" t="str">
        <v/>
      </c>
      <c r="O35" s="41"/>
      <c r="P35" s="48"/>
      <c r="R35" s="72" t="s">
        <v>61</v>
      </c>
      <c r="S35" s="262" t="s">
        <v>29</v>
      </c>
      <c r="T35" s="309" t="s">
        <v>244</v>
      </c>
      <c r="U35" s="309"/>
      <c r="V35" s="310"/>
      <c r="AB35" s="14"/>
      <c r="AC35" s="125" t="s">
        <v>245</v>
      </c>
      <c r="AD35" s="9" t="b">
        <f t="shared" si="5"/>
        <v>0</v>
      </c>
      <c r="AE35" s="7">
        <f t="shared" si="6"/>
        <v>0</v>
      </c>
      <c r="AF35" s="7" t="str">
        <f t="shared" si="7"/>
        <v/>
      </c>
      <c r="AG35" s="7" t="b">
        <f t="shared" si="47"/>
        <v>1</v>
      </c>
      <c r="AH35" s="9"/>
      <c r="AI35" s="7" t="b">
        <f t="shared" si="48"/>
        <v>1</v>
      </c>
      <c r="AJ35" s="7">
        <f t="shared" si="49"/>
        <v>2</v>
      </c>
      <c r="AK35" s="7"/>
      <c r="AL35" s="7" t="str">
        <f t="shared" si="50"/>
        <v/>
      </c>
      <c r="AM35" s="7"/>
      <c r="AN35" s="7" t="str">
        <f t="shared" si="12"/>
        <v/>
      </c>
      <c r="AO35" s="9">
        <v>3</v>
      </c>
      <c r="AP35" s="137"/>
      <c r="AQ35" s="7" t="str">
        <f t="shared" si="51"/>
        <v/>
      </c>
      <c r="AR35" s="7" t="str">
        <f t="shared" si="52"/>
        <v/>
      </c>
      <c r="AS35" s="7" t="str">
        <f t="shared" si="53"/>
        <v/>
      </c>
      <c r="AT35" s="137"/>
      <c r="AU35" s="7" t="str">
        <f t="shared" si="54"/>
        <v/>
      </c>
      <c r="AV35" s="7" t="str">
        <f t="shared" si="55"/>
        <v/>
      </c>
      <c r="AW35" s="7" t="str">
        <f t="shared" si="56"/>
        <v/>
      </c>
      <c r="AX35" s="44" t="b">
        <v>1</v>
      </c>
      <c r="AY35" s="7" t="s">
        <v>213</v>
      </c>
      <c r="AZ35" s="165" t="s">
        <v>239</v>
      </c>
      <c r="BD35" s="87" t="s">
        <v>246</v>
      </c>
      <c r="BE35" s="102" t="s">
        <v>247</v>
      </c>
      <c r="BF35" s="24"/>
    </row>
    <row r="36" spans="1:58">
      <c r="A36">
        <v>0</v>
      </c>
      <c r="B36">
        <v>0</v>
      </c>
      <c r="C36">
        <v>0</v>
      </c>
      <c r="D36">
        <f t="shared" si="77"/>
        <v>0</v>
      </c>
      <c r="E36">
        <f t="shared" si="2"/>
        <v>0</v>
      </c>
      <c r="F36">
        <f t="shared" si="78"/>
        <v>0</v>
      </c>
      <c r="G36">
        <f t="shared" si="3"/>
        <v>0</v>
      </c>
      <c r="H36">
        <f t="shared" si="4"/>
        <v>0</v>
      </c>
      <c r="I36">
        <f>IF('Actuarial Science'!gpa_tf, G36*B36, G36*A36)</f>
        <v>0</v>
      </c>
      <c r="J36" s="46">
        <v>4</v>
      </c>
      <c r="K36" s="41"/>
      <c r="L36" s="41"/>
      <c r="M36" s="24" t="str">
        <v/>
      </c>
      <c r="N36" s="24" t="str">
        <v/>
      </c>
      <c r="O36" s="41"/>
      <c r="P36" s="48"/>
      <c r="R36" s="14" t="s">
        <v>248</v>
      </c>
      <c r="S36" s="24" cm="1">
        <f t="array" ref="S36">IFERROR(INDEX(schedule_semester, MAX(MATCH(T36, schedule_courses, 0))), "Take more courses")</f>
        <v>3</v>
      </c>
      <c r="T36" s="24" t="s">
        <v>186</v>
      </c>
      <c r="U36" s="24"/>
      <c r="V36" s="15"/>
      <c r="AB36" s="14"/>
      <c r="AC36" s="125" t="s">
        <v>175</v>
      </c>
      <c r="AD36" s="9" t="b">
        <f t="shared" si="5"/>
        <v>1</v>
      </c>
      <c r="AE36" s="7">
        <f t="shared" si="6"/>
        <v>3</v>
      </c>
      <c r="AF36" s="7">
        <f t="shared" si="7"/>
        <v>4</v>
      </c>
      <c r="AG36" s="7" t="b">
        <f t="shared" si="47"/>
        <v>1</v>
      </c>
      <c r="AH36" s="9"/>
      <c r="AI36" s="7" t="b">
        <f t="shared" si="48"/>
        <v>1</v>
      </c>
      <c r="AJ36" s="7">
        <f t="shared" si="49"/>
        <v>1</v>
      </c>
      <c r="AK36" s="7"/>
      <c r="AL36" s="7" t="str">
        <f t="shared" si="50"/>
        <v/>
      </c>
      <c r="AM36" s="6" t="b">
        <v>1</v>
      </c>
      <c r="AN36" s="7" t="str">
        <f t="shared" si="12"/>
        <v/>
      </c>
      <c r="AO36" s="105">
        <v>3</v>
      </c>
      <c r="AP36" s="137" t="s">
        <v>159</v>
      </c>
      <c r="AQ36" s="7" t="b">
        <f t="shared" si="51"/>
        <v>1</v>
      </c>
      <c r="AR36" s="7">
        <f t="shared" si="52"/>
        <v>2</v>
      </c>
      <c r="AS36" s="7" t="b">
        <f t="shared" si="53"/>
        <v>1</v>
      </c>
      <c r="AT36" s="137"/>
      <c r="AU36" s="7" t="str">
        <f t="shared" si="54"/>
        <v/>
      </c>
      <c r="AV36" s="7" t="str">
        <f t="shared" si="55"/>
        <v/>
      </c>
      <c r="AW36" s="7" t="str">
        <f t="shared" si="56"/>
        <v/>
      </c>
      <c r="AX36" s="44"/>
      <c r="AY36" s="7"/>
      <c r="AZ36" s="165" t="s">
        <v>239</v>
      </c>
      <c r="BD36" s="85" t="s">
        <v>249</v>
      </c>
      <c r="BE36" s="102" t="s">
        <v>250</v>
      </c>
    </row>
    <row r="37" spans="1:58">
      <c r="A37">
        <v>0</v>
      </c>
      <c r="B37">
        <v>0</v>
      </c>
      <c r="C37">
        <v>0</v>
      </c>
      <c r="D37">
        <f t="shared" si="77"/>
        <v>0</v>
      </c>
      <c r="E37">
        <f t="shared" si="2"/>
        <v>0</v>
      </c>
      <c r="F37">
        <f t="shared" si="78"/>
        <v>0</v>
      </c>
      <c r="G37">
        <f t="shared" si="3"/>
        <v>0</v>
      </c>
      <c r="H37">
        <f t="shared" si="4"/>
        <v>0</v>
      </c>
      <c r="I37">
        <f>IF('Actuarial Science'!gpa_tf, G37*B37, G37*A37)</f>
        <v>0</v>
      </c>
      <c r="J37" s="47">
        <v>4</v>
      </c>
      <c r="K37" s="43"/>
      <c r="L37" s="43"/>
      <c r="M37" s="10" t="str">
        <v/>
      </c>
      <c r="N37" s="10" t="str">
        <v/>
      </c>
      <c r="O37" s="43"/>
      <c r="P37" s="49"/>
      <c r="R37" s="14" t="s">
        <v>251</v>
      </c>
      <c r="S37" s="24" cm="1">
        <f t="array" ref="S37">IFERROR(INDEX(schedule_semester, MAX(MATCH(T37, schedule_courses, 0))), "Take more courses")</f>
        <v>4</v>
      </c>
      <c r="T37" s="24" t="s">
        <v>191</v>
      </c>
      <c r="U37" s="24"/>
      <c r="V37" s="15"/>
      <c r="AB37" s="14"/>
      <c r="AC37" s="128" t="s">
        <v>175</v>
      </c>
      <c r="AD37" s="9" t="b">
        <f t="shared" si="5"/>
        <v>1</v>
      </c>
      <c r="AE37" s="7">
        <f t="shared" si="6"/>
        <v>3</v>
      </c>
      <c r="AF37" s="7">
        <f t="shared" si="7"/>
        <v>4</v>
      </c>
      <c r="AG37" s="7" t="b">
        <f t="shared" si="47"/>
        <v>1</v>
      </c>
      <c r="AH37" s="9"/>
      <c r="AI37" s="7" t="b">
        <f t="shared" si="48"/>
        <v>1</v>
      </c>
      <c r="AJ37" s="7">
        <f t="shared" si="49"/>
        <v>1</v>
      </c>
      <c r="AK37" s="7"/>
      <c r="AL37" s="7" t="str">
        <f t="shared" si="50"/>
        <v/>
      </c>
      <c r="AM37" s="6" t="b">
        <v>1</v>
      </c>
      <c r="AN37" s="7" t="str">
        <f t="shared" si="12"/>
        <v/>
      </c>
      <c r="AO37" s="105">
        <v>3</v>
      </c>
      <c r="AP37" s="137" t="str" cm="1">
        <f t="array" ref="AP37">IF(ISNA(MATCH("ECON 102", Statistics!schedule_courses, 0)), IF(ISNA(MATCH("ECON 104", Statistics!schedule_courses, 0)), "ECON 102 OR ECON 104", "ECON 104"), IF(ISNA(MATCH("ECON 104", Statistics!schedule_courses, 0)), "ECON 102", INDEX(Statistics!schedule_courses, MIN(MATCH("ECON 102", Statistics!schedule_courses, 0), MATCH("ECON 104", Statistics!schedule_courses, 0)))))</f>
        <v>ECON 102</v>
      </c>
      <c r="AQ37" s="7" t="b">
        <f t="shared" si="51"/>
        <v>0</v>
      </c>
      <c r="AR37" s="7">
        <f t="shared" si="52"/>
        <v>0</v>
      </c>
      <c r="AS37" s="7" t="b">
        <f t="shared" si="53"/>
        <v>1</v>
      </c>
      <c r="AT37" s="137"/>
      <c r="AU37" s="7" t="str">
        <f t="shared" si="54"/>
        <v/>
      </c>
      <c r="AV37" s="7" t="str">
        <f t="shared" si="55"/>
        <v/>
      </c>
      <c r="AW37" s="7" t="str">
        <f t="shared" si="56"/>
        <v/>
      </c>
      <c r="AX37" s="44"/>
      <c r="AY37" s="7"/>
      <c r="AZ37" s="165" t="s">
        <v>239</v>
      </c>
      <c r="BD37" s="87" t="s">
        <v>252</v>
      </c>
      <c r="BE37" s="102" t="s">
        <v>253</v>
      </c>
    </row>
    <row r="38" spans="1:58">
      <c r="A38">
        <v>0</v>
      </c>
      <c r="B38">
        <v>0</v>
      </c>
      <c r="C38">
        <v>0</v>
      </c>
      <c r="D38">
        <f t="shared" si="77"/>
        <v>0</v>
      </c>
      <c r="E38">
        <f t="shared" si="2"/>
        <v>0</v>
      </c>
      <c r="F38">
        <f t="shared" si="78"/>
        <v>0</v>
      </c>
      <c r="G38">
        <f t="shared" si="3"/>
        <v>3</v>
      </c>
      <c r="H38">
        <f t="shared" si="4"/>
        <v>0</v>
      </c>
      <c r="I38">
        <f>IF('Actuarial Science'!gpa_tf, G38*B38, G38*A38)</f>
        <v>0</v>
      </c>
      <c r="J38" s="53">
        <v>5</v>
      </c>
      <c r="K38" s="51"/>
      <c r="L38" s="51" t="s">
        <v>203</v>
      </c>
      <c r="M38" s="55">
        <v>3</v>
      </c>
      <c r="N38" s="55" t="str">
        <v/>
      </c>
      <c r="O38" s="51"/>
      <c r="P38" s="52"/>
      <c r="R38" s="14" t="s">
        <v>254</v>
      </c>
      <c r="S38" s="24" cm="1">
        <f t="array" ref="S38">IFERROR(INDEX(schedule_semester, MAX(MATCH(T38, schedule_courses, 0))), "Take more courses")</f>
        <v>5</v>
      </c>
      <c r="T38" s="24" t="s">
        <v>203</v>
      </c>
      <c r="U38" s="24"/>
      <c r="V38" s="15"/>
      <c r="AB38" s="14"/>
      <c r="AC38" s="128" t="s">
        <v>175</v>
      </c>
      <c r="AD38" s="9" t="b">
        <f t="shared" si="5"/>
        <v>1</v>
      </c>
      <c r="AE38" s="7">
        <f t="shared" si="6"/>
        <v>3</v>
      </c>
      <c r="AF38" s="7">
        <f t="shared" si="7"/>
        <v>4</v>
      </c>
      <c r="AG38" s="7" t="b">
        <f t="shared" si="47"/>
        <v>1</v>
      </c>
      <c r="AH38" s="9"/>
      <c r="AI38" s="7" t="b">
        <f t="shared" si="48"/>
        <v>1</v>
      </c>
      <c r="AJ38" s="7">
        <f t="shared" si="49"/>
        <v>1</v>
      </c>
      <c r="AK38" s="7"/>
      <c r="AL38" s="7" t="str">
        <f t="shared" si="50"/>
        <v/>
      </c>
      <c r="AM38" s="6" t="b">
        <v>1</v>
      </c>
      <c r="AN38" s="7" t="str">
        <f t="shared" si="12"/>
        <v/>
      </c>
      <c r="AO38" s="105">
        <v>3</v>
      </c>
      <c r="AP38" s="137" t="str">
        <f>engl</f>
        <v>ENGL 15</v>
      </c>
      <c r="AQ38" s="7" t="b">
        <f t="shared" si="51"/>
        <v>1</v>
      </c>
      <c r="AR38" s="7">
        <f t="shared" si="52"/>
        <v>1</v>
      </c>
      <c r="AS38" s="7" t="b">
        <f t="shared" si="53"/>
        <v>1</v>
      </c>
      <c r="AT38" s="137"/>
      <c r="AU38" s="7" t="str">
        <f t="shared" si="54"/>
        <v/>
      </c>
      <c r="AV38" s="7" t="str">
        <f t="shared" si="55"/>
        <v/>
      </c>
      <c r="AW38" s="7" t="str">
        <f t="shared" si="56"/>
        <v/>
      </c>
      <c r="AX38" s="44"/>
      <c r="AY38" s="7"/>
      <c r="AZ38" s="165" t="s">
        <v>239</v>
      </c>
      <c r="BD38" s="85" t="s">
        <v>255</v>
      </c>
      <c r="BE38" s="103" t="s">
        <v>256</v>
      </c>
    </row>
    <row r="39" spans="1:58">
      <c r="A39">
        <v>0</v>
      </c>
      <c r="B39">
        <v>0</v>
      </c>
      <c r="C39">
        <v>0</v>
      </c>
      <c r="D39">
        <f t="shared" si="77"/>
        <v>0</v>
      </c>
      <c r="E39">
        <f t="shared" si="2"/>
        <v>0</v>
      </c>
      <c r="F39">
        <f t="shared" si="78"/>
        <v>0</v>
      </c>
      <c r="G39">
        <f t="shared" si="3"/>
        <v>3</v>
      </c>
      <c r="H39">
        <f t="shared" si="4"/>
        <v>0</v>
      </c>
      <c r="I39">
        <f>IF('Actuarial Science'!gpa_tf, G39*B39, G39*A39)</f>
        <v>0</v>
      </c>
      <c r="J39" s="45">
        <v>5</v>
      </c>
      <c r="K39" s="41"/>
      <c r="L39" s="41" t="s">
        <v>190</v>
      </c>
      <c r="M39" s="24">
        <v>3</v>
      </c>
      <c r="N39" s="24" t="str">
        <v/>
      </c>
      <c r="O39" s="41"/>
      <c r="P39" s="48"/>
      <c r="R39" s="14" t="s">
        <v>257</v>
      </c>
      <c r="S39" s="24" cm="1">
        <f t="array" ref="S39">IFERROR(INDEX(schedule_semester, MAX(MATCH(T39, schedule_courses, 0),MATCH(U39, schedule_courses, 0))), "Take more courses")</f>
        <v>6</v>
      </c>
      <c r="T39" s="24" t="s">
        <v>235</v>
      </c>
      <c r="U39" s="24" t="s">
        <v>258</v>
      </c>
      <c r="V39" s="15"/>
      <c r="AB39" s="116"/>
      <c r="AC39" s="125" t="s">
        <v>227</v>
      </c>
      <c r="AD39" s="9" t="b">
        <f t="shared" si="5"/>
        <v>1</v>
      </c>
      <c r="AE39" s="7">
        <f t="shared" si="6"/>
        <v>4</v>
      </c>
      <c r="AF39" s="7" t="str">
        <f t="shared" si="7"/>
        <v/>
      </c>
      <c r="AG39" s="7" t="b">
        <f t="shared" si="47"/>
        <v>1</v>
      </c>
      <c r="AH39" s="9"/>
      <c r="AI39" s="7" t="b">
        <f t="shared" si="48"/>
        <v>1</v>
      </c>
      <c r="AJ39" s="7">
        <f t="shared" si="49"/>
        <v>2</v>
      </c>
      <c r="AK39" s="7"/>
      <c r="AL39" s="7" t="str">
        <f t="shared" si="50"/>
        <v/>
      </c>
      <c r="AM39" s="7"/>
      <c r="AN39" s="7" t="str">
        <f t="shared" si="12"/>
        <v/>
      </c>
      <c r="AO39" s="105">
        <v>3</v>
      </c>
      <c r="AP39" s="137" t="s">
        <v>187</v>
      </c>
      <c r="AQ39" s="7" t="b">
        <f t="shared" si="51"/>
        <v>1</v>
      </c>
      <c r="AR39" s="7">
        <f t="shared" si="52"/>
        <v>3</v>
      </c>
      <c r="AS39" s="7" t="b">
        <f t="shared" si="53"/>
        <v>1</v>
      </c>
      <c r="AT39" s="137"/>
      <c r="AU39" s="7" t="str">
        <f t="shared" si="54"/>
        <v/>
      </c>
      <c r="AV39" s="7" t="str">
        <f t="shared" si="55"/>
        <v/>
      </c>
      <c r="AW39" s="7" t="str">
        <f t="shared" si="56"/>
        <v/>
      </c>
      <c r="AX39" s="44"/>
      <c r="AY39" s="7"/>
      <c r="AZ39" s="118" t="s">
        <v>259</v>
      </c>
      <c r="BD39" s="86" t="s">
        <v>260</v>
      </c>
      <c r="BE39" s="131" t="s">
        <v>261</v>
      </c>
    </row>
    <row r="40" spans="1:58">
      <c r="A40">
        <v>0</v>
      </c>
      <c r="B40">
        <v>0</v>
      </c>
      <c r="C40">
        <v>0</v>
      </c>
      <c r="D40">
        <f t="shared" si="77"/>
        <v>0</v>
      </c>
      <c r="E40">
        <f t="shared" si="2"/>
        <v>0</v>
      </c>
      <c r="F40">
        <f t="shared" si="78"/>
        <v>0</v>
      </c>
      <c r="G40">
        <f t="shared" si="3"/>
        <v>3</v>
      </c>
      <c r="H40">
        <f t="shared" si="4"/>
        <v>0</v>
      </c>
      <c r="I40">
        <f>IF('Actuarial Science'!gpa_tf, G40*B40, G40*A40)</f>
        <v>0</v>
      </c>
      <c r="J40" s="45">
        <v>5</v>
      </c>
      <c r="K40" s="41"/>
      <c r="L40" s="41" t="s">
        <v>120</v>
      </c>
      <c r="M40" s="24">
        <v>3</v>
      </c>
      <c r="N40" s="24" t="str">
        <v/>
      </c>
      <c r="O40" s="41"/>
      <c r="P40" s="48"/>
      <c r="R40" s="14" t="s">
        <v>262</v>
      </c>
      <c r="S40" s="24" cm="1">
        <f t="array" ref="S40">IFERROR(INDEX(schedule_semester, MAX(MATCH(T40, schedule_courses, 0),MATCH(U40, schedule_courses, 0))), "Take more courses")</f>
        <v>7</v>
      </c>
      <c r="T40" s="24" t="s">
        <v>196</v>
      </c>
      <c r="U40" s="24" t="s">
        <v>198</v>
      </c>
      <c r="V40" s="15"/>
      <c r="AB40" s="14"/>
      <c r="AC40" s="123" t="s">
        <v>163</v>
      </c>
      <c r="AD40" s="9" t="b">
        <f t="shared" ref="AD40" si="79">NOT(ISERROR(MATCH(AC40,schedule_courses,0)))</f>
        <v>1</v>
      </c>
      <c r="AE40" s="7">
        <f t="shared" ref="AE40" si="80">IF(AX40,0,IFERROR(INDEX(schedule_semester,MATCH(AC40,schedule_courses,0)), ""))</f>
        <v>2</v>
      </c>
      <c r="AF40" s="7" t="str">
        <f t="shared" si="7"/>
        <v/>
      </c>
      <c r="AG40" s="7" t="b">
        <f t="shared" ref="AG40" si="81">IF(AE40="", "", AE40&lt;AF40)</f>
        <v>1</v>
      </c>
      <c r="AH40" s="9"/>
      <c r="AI40" s="7" t="b">
        <f t="shared" ref="AI40" si="82">IF(AE40="", "", AE40&gt;=AH40)</f>
        <v>1</v>
      </c>
      <c r="AJ40" s="7">
        <f t="shared" ref="AJ40" si="83">IF(AE40="","",IF(MOD(AE40,2)=0,2,1))</f>
        <v>2</v>
      </c>
      <c r="AK40" s="7"/>
      <c r="AL40" s="7" t="str">
        <f t="shared" ref="AL40" si="84">IF(AK40&lt;&gt;0, AK40&lt;&gt;AJ40, "")</f>
        <v/>
      </c>
      <c r="AM40" s="7"/>
      <c r="AN40" s="7" t="str">
        <f t="shared" ref="AN40" si="85">IFERROR(IF(AM40, INDEX(grade_number, MATCH(INDEX(schedule_grades, MATCH(AC40, schedule_courses, 0)), grade_letter, 0))&gt;=2, ""), "")</f>
        <v/>
      </c>
      <c r="AO40" s="9">
        <v>2</v>
      </c>
      <c r="AP40" s="7"/>
      <c r="AQ40" s="7" t="str">
        <f t="shared" ref="AQ40:AQ58" si="86">IF(AP40=0,"",NOT(ISERROR(MATCH(AP40,schedule_courses,0))))</f>
        <v/>
      </c>
      <c r="AR40" s="7" t="str">
        <f t="shared" ref="AR40:AR58" si="87">IF(IFERROR(INDEX(req_tr_AP_credit, MATCH(AP40, req_course,0)), FALSE),0,IFERROR(INDEX(schedule_semester,MATCH(AP40,schedule_courses,0)), ""))</f>
        <v/>
      </c>
      <c r="AS40" s="7" t="str">
        <f t="shared" ref="AS40:AS58" si="88">IF(AR40&lt;&gt;"", AR40&lt;AE40, "")</f>
        <v/>
      </c>
      <c r="AT40" s="7"/>
      <c r="AU40" s="7" t="str">
        <f t="shared" ref="AU40:AU58" si="89">IF(AT40=0,"",NOT(ISERROR(MATCH(AT40,schedule_courses,0))))</f>
        <v/>
      </c>
      <c r="AV40" s="7" t="str">
        <f t="shared" ref="AV40:AV58" si="90">IF(IFERROR(INDEX(req_tr_AP_credit, MATCH(AT40, req_course)), FALSE),0,IFERROR(INDEX(schedule_semester,MATCH(AT40,schedule_courses,0)), ""))</f>
        <v/>
      </c>
      <c r="AW40" s="7" t="str">
        <f t="shared" ref="AW40:AW58" si="91">IF(AV40&lt;&gt;"", AV40&lt;=AE40, "")</f>
        <v/>
      </c>
      <c r="AX40" s="44"/>
      <c r="AY40" s="7"/>
      <c r="AZ40" s="118" t="s">
        <v>263</v>
      </c>
      <c r="BD40" s="83"/>
      <c r="BE40" s="83"/>
    </row>
    <row r="41" spans="1:58">
      <c r="A41">
        <v>0</v>
      </c>
      <c r="B41">
        <v>0</v>
      </c>
      <c r="C41">
        <v>0</v>
      </c>
      <c r="D41">
        <f t="shared" si="77"/>
        <v>0</v>
      </c>
      <c r="E41">
        <f t="shared" si="2"/>
        <v>0</v>
      </c>
      <c r="F41">
        <f t="shared" si="78"/>
        <v>0</v>
      </c>
      <c r="G41">
        <f t="shared" si="3"/>
        <v>3</v>
      </c>
      <c r="H41">
        <f t="shared" si="4"/>
        <v>0</v>
      </c>
      <c r="I41">
        <f>IF('Actuarial Science'!gpa_tf, G41*B41, G41*A41)</f>
        <v>0</v>
      </c>
      <c r="J41" s="45">
        <v>5</v>
      </c>
      <c r="K41" s="41"/>
      <c r="L41" s="41" t="s">
        <v>264</v>
      </c>
      <c r="M41" s="24">
        <v>3</v>
      </c>
      <c r="N41" s="24" t="str">
        <v>GN</v>
      </c>
      <c r="O41" s="41"/>
      <c r="P41" s="48"/>
      <c r="R41" s="14" t="s">
        <v>265</v>
      </c>
      <c r="S41" s="24" t="str" cm="1">
        <f t="array" ref="S41">IFERROR(INDEX(schedule_semester, MAX(MATCH(T41, schedule_courses, 0))), "Take more courses")</f>
        <v>Take more courses</v>
      </c>
      <c r="T41" s="29" t="s">
        <v>266</v>
      </c>
      <c r="U41" s="24"/>
      <c r="V41" s="15"/>
      <c r="AB41" s="14"/>
      <c r="AC41" s="123" t="s">
        <v>235</v>
      </c>
      <c r="AD41" s="9" t="b">
        <f t="shared" ref="AD41:AD42" si="92">NOT(ISERROR(MATCH(AC41,schedule_courses,0)))</f>
        <v>1</v>
      </c>
      <c r="AE41" s="7">
        <f t="shared" ref="AE41:AE42" si="93">IF(AX41,0,IFERROR(INDEX(schedule_semester,MATCH(AC41,schedule_courses,0)), ""))</f>
        <v>4</v>
      </c>
      <c r="AF41" s="7" t="str">
        <f t="shared" si="7"/>
        <v/>
      </c>
      <c r="AG41" s="7" t="b">
        <f t="shared" ref="AG41:AG42" si="94">IF(AE41="", "", AE41&lt;AF41)</f>
        <v>1</v>
      </c>
      <c r="AH41" s="9"/>
      <c r="AI41" s="7" t="b">
        <f t="shared" ref="AI41:AI42" si="95">IF(AE41="", "", AE41&gt;=AH41)</f>
        <v>1</v>
      </c>
      <c r="AJ41" s="7">
        <f t="shared" ref="AJ41:AJ42" si="96">IF(AE41="","",IF(MOD(AE41,2)=0,2,1))</f>
        <v>2</v>
      </c>
      <c r="AK41" s="7"/>
      <c r="AL41" s="7" t="str">
        <f t="shared" ref="AL41:AL42" si="97">IF(AK41&lt;&gt;0, AK41&lt;&gt;AJ41, "")</f>
        <v/>
      </c>
      <c r="AM41" s="7"/>
      <c r="AN41" s="7" t="str">
        <f t="shared" ref="AN41:AN42" si="98">IFERROR(IF(AM41, INDEX(grade_number, MATCH(INDEX(schedule_grades, MATCH(AC41, schedule_courses, 0)), grade_letter, 0))&gt;=2, ""), "")</f>
        <v/>
      </c>
      <c r="AO41" s="105">
        <v>3</v>
      </c>
      <c r="AP41" s="7"/>
      <c r="AQ41" s="7" t="str">
        <f t="shared" si="86"/>
        <v/>
      </c>
      <c r="AR41" s="7" t="str">
        <f t="shared" si="87"/>
        <v/>
      </c>
      <c r="AS41" s="7" t="str">
        <f t="shared" si="88"/>
        <v/>
      </c>
      <c r="AT41" s="7"/>
      <c r="AU41" s="7" t="str">
        <f t="shared" si="89"/>
        <v/>
      </c>
      <c r="AV41" s="7" t="str">
        <f t="shared" si="90"/>
        <v/>
      </c>
      <c r="AW41" s="7" t="str">
        <f t="shared" si="91"/>
        <v/>
      </c>
      <c r="AX41" s="44"/>
      <c r="AY41" s="7"/>
      <c r="AZ41" s="118" t="s">
        <v>263</v>
      </c>
      <c r="BD41" s="240" t="s">
        <v>267</v>
      </c>
      <c r="BE41" s="245" t="s">
        <v>268</v>
      </c>
      <c r="BF41" s="12" t="s">
        <v>269</v>
      </c>
    </row>
    <row r="42" spans="1:58" ht="93.6">
      <c r="A42">
        <v>0</v>
      </c>
      <c r="B42">
        <v>0</v>
      </c>
      <c r="C42">
        <v>0</v>
      </c>
      <c r="D42">
        <f t="shared" si="77"/>
        <v>0</v>
      </c>
      <c r="E42">
        <f t="shared" si="2"/>
        <v>0</v>
      </c>
      <c r="F42">
        <f t="shared" si="78"/>
        <v>0</v>
      </c>
      <c r="G42">
        <f t="shared" si="3"/>
        <v>0</v>
      </c>
      <c r="H42">
        <f t="shared" si="4"/>
        <v>0</v>
      </c>
      <c r="I42">
        <f>IF('Actuarial Science'!gpa_tf, G42*B42, G42*A42)</f>
        <v>0</v>
      </c>
      <c r="J42" s="45">
        <v>5</v>
      </c>
      <c r="K42" s="41"/>
      <c r="L42" s="41"/>
      <c r="M42" s="24" t="str">
        <v/>
      </c>
      <c r="N42" s="24" t="str">
        <v/>
      </c>
      <c r="O42" s="41"/>
      <c r="P42" s="48"/>
      <c r="R42" s="14" t="s">
        <v>270</v>
      </c>
      <c r="S42" s="24" cm="1">
        <f t="array" ref="S42">IFERROR(INDEX(schedule_semester, MAX(MATCH(T42, schedule_courses, 0),MATCH(U42, schedule_courses, 0))), "Take more courses")</f>
        <v>8</v>
      </c>
      <c r="T42" s="24" t="s">
        <v>227</v>
      </c>
      <c r="U42" s="24" t="s">
        <v>210</v>
      </c>
      <c r="V42" s="15"/>
      <c r="AB42" s="14"/>
      <c r="AC42" s="123" t="s">
        <v>258</v>
      </c>
      <c r="AD42" s="9" t="b">
        <f t="shared" si="92"/>
        <v>1</v>
      </c>
      <c r="AE42" s="7">
        <f t="shared" si="93"/>
        <v>6</v>
      </c>
      <c r="AF42" s="7" t="str">
        <f t="shared" si="7"/>
        <v/>
      </c>
      <c r="AG42" s="7" t="b">
        <f t="shared" si="94"/>
        <v>1</v>
      </c>
      <c r="AH42" s="9"/>
      <c r="AI42" s="7" t="b">
        <f t="shared" si="95"/>
        <v>1</v>
      </c>
      <c r="AJ42" s="7">
        <f t="shared" si="96"/>
        <v>2</v>
      </c>
      <c r="AK42" s="7"/>
      <c r="AL42" s="7" t="str">
        <f t="shared" si="97"/>
        <v/>
      </c>
      <c r="AM42" s="7"/>
      <c r="AN42" s="7" t="str">
        <f t="shared" si="98"/>
        <v/>
      </c>
      <c r="AO42" s="105">
        <v>3</v>
      </c>
      <c r="AP42" s="7"/>
      <c r="AQ42" s="7" t="str">
        <f t="shared" ref="AQ42:AQ48" si="99">IF(AP42=0,"",NOT(ISERROR(MATCH(AP42,schedule_courses,0))))</f>
        <v/>
      </c>
      <c r="AR42" s="7" t="str">
        <f t="shared" ref="AR42:AR48" si="100">IF(IFERROR(INDEX(req_tr_AP_credit, MATCH(AP42, req_course,0)), FALSE),0,IFERROR(INDEX(schedule_semester,MATCH(AP42,schedule_courses,0)), ""))</f>
        <v/>
      </c>
      <c r="AS42" s="7" t="str">
        <f t="shared" ref="AS42:AS48" si="101">IF(AR42&lt;&gt;"", AR42&lt;AE42, "")</f>
        <v/>
      </c>
      <c r="AT42" s="7"/>
      <c r="AU42" s="7" t="str">
        <f t="shared" ref="AU42:AU48" si="102">IF(AT42=0,"",NOT(ISERROR(MATCH(AT42,schedule_courses,0))))</f>
        <v/>
      </c>
      <c r="AV42" s="7" t="str">
        <f t="shared" ref="AV42:AV48" si="103">IF(IFERROR(INDEX(req_tr_AP_credit, MATCH(AT42, req_course)), FALSE),0,IFERROR(INDEX(schedule_semester,MATCH(AT42,schedule_courses,0)), ""))</f>
        <v/>
      </c>
      <c r="AW42" s="7" t="str">
        <f t="shared" ref="AW42:AW48" si="104">IF(AV42&lt;&gt;"", AV42&lt;=AE42, "")</f>
        <v/>
      </c>
      <c r="AX42" s="44"/>
      <c r="AY42" s="7"/>
      <c r="AZ42" s="118" t="s">
        <v>263</v>
      </c>
      <c r="BD42" s="241" t="s">
        <v>271</v>
      </c>
      <c r="BE42" s="243" t="s">
        <v>272</v>
      </c>
      <c r="BF42" s="249" t="s">
        <v>273</v>
      </c>
    </row>
    <row r="43" spans="1:58">
      <c r="A43">
        <v>0</v>
      </c>
      <c r="B43">
        <v>0</v>
      </c>
      <c r="C43">
        <v>0</v>
      </c>
      <c r="D43">
        <f t="shared" si="77"/>
        <v>0</v>
      </c>
      <c r="E43">
        <f t="shared" si="2"/>
        <v>0</v>
      </c>
      <c r="F43">
        <f t="shared" si="78"/>
        <v>0</v>
      </c>
      <c r="G43">
        <f t="shared" si="3"/>
        <v>0</v>
      </c>
      <c r="H43">
        <f t="shared" si="4"/>
        <v>0</v>
      </c>
      <c r="I43">
        <f>IF('Actuarial Science'!gpa_tf, G43*B43, G43*A43)</f>
        <v>0</v>
      </c>
      <c r="J43" s="45">
        <v>5</v>
      </c>
      <c r="K43" s="41"/>
      <c r="L43" s="41"/>
      <c r="M43" s="24" t="str">
        <v/>
      </c>
      <c r="N43" s="24" t="str">
        <v/>
      </c>
      <c r="O43" s="41"/>
      <c r="P43" s="48"/>
      <c r="R43" s="13" t="s">
        <v>274</v>
      </c>
      <c r="S43" s="199" cm="1">
        <f t="array" ref="S43">IFERROR(INDEX(schedule_semester, MAX(MATCH(T43, schedule_courses, 0))), "Take more courses")</f>
        <v>8</v>
      </c>
      <c r="T43" s="10" t="s">
        <v>275</v>
      </c>
      <c r="U43" s="10"/>
      <c r="V43" s="26"/>
      <c r="AB43" s="14"/>
      <c r="AC43" s="123" t="s">
        <v>276</v>
      </c>
      <c r="AD43" s="9" t="b">
        <f t="shared" ref="AD43:AD48" si="105">NOT(ISERROR(MATCH(AC43,schedule_courses,0)))</f>
        <v>0</v>
      </c>
      <c r="AE43" s="7">
        <v>2</v>
      </c>
      <c r="AF43" s="7" t="str">
        <f t="shared" ref="AF43:AF48" si="106">IF(ISNA(MATCH(AC43, $R$6:$R$14, 0)), "", $R$3)</f>
        <v/>
      </c>
      <c r="AG43" s="7" t="b">
        <f t="shared" ref="AG43:AG48" si="107">IF(AE43="", "", AE43&lt;AF43)</f>
        <v>1</v>
      </c>
      <c r="AH43" s="9"/>
      <c r="AI43" s="7" t="b">
        <f t="shared" ref="AI43:AI48" si="108">IF(AE43="", "", AE43&gt;=AH43)</f>
        <v>1</v>
      </c>
      <c r="AJ43" s="7">
        <f t="shared" ref="AJ43:AJ48" si="109">IF(AE43="","",IF(MOD(AE43,2)=0,2,1))</f>
        <v>2</v>
      </c>
      <c r="AK43" s="7"/>
      <c r="AL43" s="7" t="str">
        <f t="shared" ref="AL43:AL48" si="110">IF(AK43&lt;&gt;0, AK43&lt;&gt;AJ43, "")</f>
        <v/>
      </c>
      <c r="AM43" s="7"/>
      <c r="AN43" s="7" t="str">
        <f t="shared" ref="AN43:AN48" si="111">IFERROR(IF(AM43, INDEX(grade_number, MATCH(INDEX(schedule_grades, MATCH(AC43, schedule_courses, 0)), grade_letter, 0))&gt;=2, ""), "")</f>
        <v/>
      </c>
      <c r="AO43" s="105">
        <v>2</v>
      </c>
      <c r="AP43" s="7"/>
      <c r="AQ43" s="7" t="str">
        <f t="shared" si="99"/>
        <v/>
      </c>
      <c r="AR43" s="7" t="str">
        <f t="shared" si="100"/>
        <v/>
      </c>
      <c r="AS43" s="7" t="str">
        <f t="shared" si="101"/>
        <v/>
      </c>
      <c r="AT43" s="7"/>
      <c r="AU43" s="7" t="str">
        <f t="shared" si="102"/>
        <v/>
      </c>
      <c r="AV43" s="7" t="str">
        <f t="shared" si="103"/>
        <v/>
      </c>
      <c r="AW43" s="7" t="str">
        <f t="shared" si="104"/>
        <v/>
      </c>
      <c r="AX43" s="44"/>
      <c r="AY43" s="7"/>
      <c r="AZ43" s="118" t="s">
        <v>263</v>
      </c>
      <c r="BD43" s="116" t="s">
        <v>277</v>
      </c>
      <c r="BE43" s="244" t="s">
        <v>278</v>
      </c>
      <c r="BF43" s="249"/>
    </row>
    <row r="44" spans="1:58">
      <c r="A44">
        <v>0</v>
      </c>
      <c r="B44">
        <v>0</v>
      </c>
      <c r="C44">
        <v>0</v>
      </c>
      <c r="D44">
        <f t="shared" si="77"/>
        <v>0</v>
      </c>
      <c r="E44">
        <f t="shared" si="2"/>
        <v>0</v>
      </c>
      <c r="F44">
        <f t="shared" si="78"/>
        <v>0</v>
      </c>
      <c r="G44">
        <f t="shared" si="3"/>
        <v>0</v>
      </c>
      <c r="H44">
        <f t="shared" si="4"/>
        <v>0</v>
      </c>
      <c r="I44">
        <f>IF('Actuarial Science'!gpa_tf, G44*B44, G44*A44)</f>
        <v>0</v>
      </c>
      <c r="J44" s="45">
        <v>5</v>
      </c>
      <c r="K44" s="41"/>
      <c r="L44" s="41"/>
      <c r="M44" s="24" t="str">
        <v/>
      </c>
      <c r="N44" s="24" t="str">
        <v/>
      </c>
      <c r="O44" s="41"/>
      <c r="P44" s="48"/>
      <c r="AB44" s="14"/>
      <c r="AC44" s="123" t="s">
        <v>279</v>
      </c>
      <c r="AD44" s="9" t="b">
        <f t="shared" si="105"/>
        <v>0</v>
      </c>
      <c r="AE44" s="7">
        <v>3</v>
      </c>
      <c r="AF44" s="7" t="str">
        <f t="shared" si="106"/>
        <v/>
      </c>
      <c r="AG44" s="7" t="b">
        <f t="shared" si="107"/>
        <v>1</v>
      </c>
      <c r="AH44" s="9"/>
      <c r="AI44" s="7" t="b">
        <f t="shared" si="108"/>
        <v>1</v>
      </c>
      <c r="AJ44" s="7">
        <f t="shared" si="109"/>
        <v>1</v>
      </c>
      <c r="AK44" s="7"/>
      <c r="AL44" s="7" t="str">
        <f t="shared" si="110"/>
        <v/>
      </c>
      <c r="AM44" s="7"/>
      <c r="AN44" s="7" t="str">
        <f t="shared" si="111"/>
        <v/>
      </c>
      <c r="AO44" s="105">
        <v>3</v>
      </c>
      <c r="AP44" s="7" t="s">
        <v>119</v>
      </c>
      <c r="AQ44" s="7" t="b">
        <f t="shared" si="99"/>
        <v>1</v>
      </c>
      <c r="AR44" s="7">
        <f t="shared" si="100"/>
        <v>1</v>
      </c>
      <c r="AS44" s="7" t="b">
        <f t="shared" si="101"/>
        <v>1</v>
      </c>
      <c r="AT44" s="7" t="s">
        <v>176</v>
      </c>
      <c r="AU44" s="7" t="b">
        <f t="shared" si="102"/>
        <v>1</v>
      </c>
      <c r="AV44" s="7">
        <f t="shared" si="103"/>
        <v>0</v>
      </c>
      <c r="AW44" s="7" t="b">
        <f t="shared" si="104"/>
        <v>1</v>
      </c>
      <c r="AX44" s="44"/>
      <c r="AY44" s="7"/>
      <c r="AZ44" s="118" t="s">
        <v>263</v>
      </c>
      <c r="BD44" s="116" t="s">
        <v>280</v>
      </c>
      <c r="BE44" s="244" t="s">
        <v>281</v>
      </c>
      <c r="BF44" s="249"/>
    </row>
    <row r="45" spans="1:58">
      <c r="A45">
        <v>0</v>
      </c>
      <c r="B45">
        <v>0</v>
      </c>
      <c r="C45">
        <v>0</v>
      </c>
      <c r="D45">
        <f t="shared" si="77"/>
        <v>0</v>
      </c>
      <c r="E45">
        <f t="shared" si="2"/>
        <v>0</v>
      </c>
      <c r="F45">
        <f t="shared" si="78"/>
        <v>0</v>
      </c>
      <c r="G45">
        <f t="shared" si="3"/>
        <v>0</v>
      </c>
      <c r="H45">
        <f t="shared" si="4"/>
        <v>0</v>
      </c>
      <c r="I45">
        <f>IF('Actuarial Science'!gpa_tf, G45*B45, G45*A45)</f>
        <v>0</v>
      </c>
      <c r="J45" s="45">
        <v>5</v>
      </c>
      <c r="K45" s="41"/>
      <c r="L45" s="198"/>
      <c r="M45" t="str">
        <v/>
      </c>
      <c r="N45" s="24" t="str">
        <v/>
      </c>
      <c r="O45" s="41"/>
      <c r="P45" s="48"/>
      <c r="AB45" s="14"/>
      <c r="AC45" s="123" t="s">
        <v>208</v>
      </c>
      <c r="AD45" s="9" t="b">
        <f t="shared" si="105"/>
        <v>0</v>
      </c>
      <c r="AE45" s="7">
        <v>3</v>
      </c>
      <c r="AF45" s="7" t="str">
        <f t="shared" si="106"/>
        <v/>
      </c>
      <c r="AG45" s="7" t="b">
        <f t="shared" si="107"/>
        <v>1</v>
      </c>
      <c r="AH45" s="9"/>
      <c r="AI45" s="7" t="b">
        <f t="shared" si="108"/>
        <v>1</v>
      </c>
      <c r="AJ45" s="7">
        <f t="shared" si="109"/>
        <v>1</v>
      </c>
      <c r="AK45" s="7"/>
      <c r="AL45" s="7" t="str">
        <f t="shared" si="110"/>
        <v/>
      </c>
      <c r="AM45" s="7"/>
      <c r="AN45" s="7" t="str">
        <f t="shared" si="111"/>
        <v/>
      </c>
      <c r="AO45" s="105">
        <v>3</v>
      </c>
      <c r="AP45" s="7"/>
      <c r="AQ45" s="7" t="str">
        <f t="shared" si="99"/>
        <v/>
      </c>
      <c r="AR45" s="7" t="str">
        <f t="shared" si="100"/>
        <v/>
      </c>
      <c r="AS45" s="7" t="str">
        <f t="shared" si="101"/>
        <v/>
      </c>
      <c r="AT45" s="7" t="s">
        <v>138</v>
      </c>
      <c r="AU45" s="7" t="b">
        <f t="shared" si="102"/>
        <v>0</v>
      </c>
      <c r="AV45" s="7">
        <f t="shared" si="103"/>
        <v>0</v>
      </c>
      <c r="AW45" s="7" t="b">
        <f t="shared" si="104"/>
        <v>1</v>
      </c>
      <c r="AX45" s="44"/>
      <c r="AY45" s="7"/>
      <c r="AZ45" s="118" t="s">
        <v>263</v>
      </c>
      <c r="BD45" s="116" t="s">
        <v>282</v>
      </c>
      <c r="BE45" s="244" t="s">
        <v>283</v>
      </c>
      <c r="BF45" s="249"/>
    </row>
    <row r="46" spans="1:58" ht="31.2">
      <c r="A46">
        <v>0</v>
      </c>
      <c r="B46">
        <v>0</v>
      </c>
      <c r="C46">
        <v>0</v>
      </c>
      <c r="D46">
        <f t="shared" si="77"/>
        <v>0</v>
      </c>
      <c r="E46">
        <f t="shared" si="2"/>
        <v>0</v>
      </c>
      <c r="F46">
        <f t="shared" si="78"/>
        <v>0</v>
      </c>
      <c r="G46">
        <f t="shared" si="3"/>
        <v>0</v>
      </c>
      <c r="H46">
        <f t="shared" si="4"/>
        <v>0</v>
      </c>
      <c r="I46">
        <f>IF('Actuarial Science'!gpa_tf, G46*B46, G46*A46)</f>
        <v>0</v>
      </c>
      <c r="J46" s="54">
        <v>5</v>
      </c>
      <c r="K46" s="43"/>
      <c r="L46" s="43"/>
      <c r="M46" s="10" t="str">
        <v/>
      </c>
      <c r="N46" s="10" t="str">
        <v/>
      </c>
      <c r="O46" s="43"/>
      <c r="P46" s="49"/>
      <c r="R46" s="311" t="s">
        <v>65</v>
      </c>
      <c r="S46" s="312"/>
      <c r="AB46" s="14"/>
      <c r="AC46" s="123"/>
      <c r="AD46" s="9" t="b">
        <f t="shared" si="105"/>
        <v>0</v>
      </c>
      <c r="AE46" s="7" t="str">
        <f t="shared" ref="AE46:AE48" si="112">IF(AX46,0,IFERROR(INDEX(schedule_semester,MATCH(AC46,schedule_courses,0)), ""))</f>
        <v/>
      </c>
      <c r="AF46" s="7" t="str">
        <f t="shared" si="106"/>
        <v/>
      </c>
      <c r="AG46" s="7" t="str">
        <f t="shared" si="107"/>
        <v/>
      </c>
      <c r="AH46" s="9"/>
      <c r="AI46" s="7" t="str">
        <f t="shared" si="108"/>
        <v/>
      </c>
      <c r="AJ46" s="7" t="str">
        <f t="shared" si="109"/>
        <v/>
      </c>
      <c r="AK46" s="7"/>
      <c r="AL46" s="7" t="str">
        <f t="shared" si="110"/>
        <v/>
      </c>
      <c r="AM46" s="7"/>
      <c r="AN46" s="7" t="str">
        <f t="shared" si="111"/>
        <v/>
      </c>
      <c r="AO46" s="105"/>
      <c r="AP46" s="7"/>
      <c r="AQ46" s="7" t="str">
        <f t="shared" si="99"/>
        <v/>
      </c>
      <c r="AR46" s="7" t="str">
        <f t="shared" si="100"/>
        <v/>
      </c>
      <c r="AS46" s="7" t="str">
        <f t="shared" si="101"/>
        <v/>
      </c>
      <c r="AT46" s="7"/>
      <c r="AU46" s="7" t="str">
        <f t="shared" si="102"/>
        <v/>
      </c>
      <c r="AV46" s="7" t="str">
        <f t="shared" si="103"/>
        <v/>
      </c>
      <c r="AW46" s="7" t="str">
        <f t="shared" si="104"/>
        <v/>
      </c>
      <c r="AX46" s="44"/>
      <c r="AY46" s="7"/>
      <c r="AZ46" s="118" t="s">
        <v>263</v>
      </c>
      <c r="BD46" s="116" t="s">
        <v>284</v>
      </c>
      <c r="BE46" s="244" t="s">
        <v>285</v>
      </c>
      <c r="BF46" s="249" t="s">
        <v>286</v>
      </c>
    </row>
    <row r="47" spans="1:58" ht="31.2">
      <c r="A47">
        <v>0</v>
      </c>
      <c r="B47">
        <v>0</v>
      </c>
      <c r="C47">
        <v>0</v>
      </c>
      <c r="D47">
        <f t="shared" si="77"/>
        <v>0</v>
      </c>
      <c r="E47">
        <f t="shared" si="2"/>
        <v>0</v>
      </c>
      <c r="F47">
        <f t="shared" si="78"/>
        <v>0</v>
      </c>
      <c r="G47">
        <f t="shared" si="3"/>
        <v>3</v>
      </c>
      <c r="H47">
        <f t="shared" si="4"/>
        <v>0</v>
      </c>
      <c r="I47">
        <f>IF('Actuarial Science'!gpa_tf, G47*B47, G47*A47)</f>
        <v>0</v>
      </c>
      <c r="J47" s="50">
        <v>6</v>
      </c>
      <c r="K47" s="51"/>
      <c r="L47" s="51" t="s">
        <v>196</v>
      </c>
      <c r="M47" s="55">
        <v>3</v>
      </c>
      <c r="N47" s="55" t="str">
        <v/>
      </c>
      <c r="O47" s="51"/>
      <c r="P47" s="52"/>
      <c r="R47" s="28" t="s">
        <v>287</v>
      </c>
      <c r="S47" s="48">
        <v>1</v>
      </c>
      <c r="AB47" s="14"/>
      <c r="AC47" s="123"/>
      <c r="AD47" s="9" t="b">
        <f t="shared" si="105"/>
        <v>0</v>
      </c>
      <c r="AE47" s="7" t="str">
        <f t="shared" si="112"/>
        <v/>
      </c>
      <c r="AF47" s="7" t="str">
        <f t="shared" si="106"/>
        <v/>
      </c>
      <c r="AG47" s="7" t="str">
        <f t="shared" si="107"/>
        <v/>
      </c>
      <c r="AH47" s="9"/>
      <c r="AI47" s="7" t="str">
        <f t="shared" si="108"/>
        <v/>
      </c>
      <c r="AJ47" s="7" t="str">
        <f t="shared" si="109"/>
        <v/>
      </c>
      <c r="AK47" s="7"/>
      <c r="AL47" s="7" t="str">
        <f t="shared" si="110"/>
        <v/>
      </c>
      <c r="AM47" s="7"/>
      <c r="AN47" s="7" t="str">
        <f t="shared" si="111"/>
        <v/>
      </c>
      <c r="AO47" s="105"/>
      <c r="AP47" s="7"/>
      <c r="AQ47" s="7" t="str">
        <f t="shared" si="99"/>
        <v/>
      </c>
      <c r="AR47" s="7" t="str">
        <f t="shared" si="100"/>
        <v/>
      </c>
      <c r="AS47" s="7" t="str">
        <f t="shared" si="101"/>
        <v/>
      </c>
      <c r="AT47" s="7"/>
      <c r="AU47" s="7" t="str">
        <f t="shared" si="102"/>
        <v/>
      </c>
      <c r="AV47" s="7" t="str">
        <f t="shared" si="103"/>
        <v/>
      </c>
      <c r="AW47" s="7" t="str">
        <f t="shared" si="104"/>
        <v/>
      </c>
      <c r="AX47" s="44"/>
      <c r="AY47" s="7"/>
      <c r="AZ47" s="118"/>
      <c r="BD47" s="116" t="s">
        <v>288</v>
      </c>
      <c r="BE47" s="244" t="s">
        <v>289</v>
      </c>
      <c r="BF47" s="249" t="s">
        <v>290</v>
      </c>
    </row>
    <row r="48" spans="1:58" ht="31.2">
      <c r="A48">
        <v>0</v>
      </c>
      <c r="B48">
        <v>0</v>
      </c>
      <c r="C48">
        <v>0</v>
      </c>
      <c r="D48">
        <f t="shared" si="77"/>
        <v>0</v>
      </c>
      <c r="E48">
        <f t="shared" si="2"/>
        <v>0</v>
      </c>
      <c r="F48">
        <f t="shared" si="78"/>
        <v>0</v>
      </c>
      <c r="G48">
        <f t="shared" si="3"/>
        <v>3</v>
      </c>
      <c r="H48">
        <f t="shared" si="4"/>
        <v>0</v>
      </c>
      <c r="I48">
        <f>IF('Actuarial Science'!gpa_tf, G48*B48, G48*A48)</f>
        <v>0</v>
      </c>
      <c r="J48" s="46">
        <v>6</v>
      </c>
      <c r="K48" s="41"/>
      <c r="L48" s="41" t="s">
        <v>258</v>
      </c>
      <c r="M48" s="24">
        <v>3</v>
      </c>
      <c r="N48" s="24" t="str">
        <v/>
      </c>
      <c r="O48" s="41"/>
      <c r="P48" s="48"/>
      <c r="R48" s="28" t="s">
        <v>291</v>
      </c>
      <c r="S48" s="48" t="b">
        <v>1</v>
      </c>
      <c r="AB48" s="14"/>
      <c r="AC48" s="123"/>
      <c r="AD48" s="9" t="b">
        <f t="shared" si="105"/>
        <v>0</v>
      </c>
      <c r="AE48" s="7" t="str">
        <f t="shared" si="112"/>
        <v/>
      </c>
      <c r="AF48" s="7" t="str">
        <f t="shared" si="106"/>
        <v/>
      </c>
      <c r="AG48" s="7" t="str">
        <f t="shared" si="107"/>
        <v/>
      </c>
      <c r="AH48" s="9"/>
      <c r="AI48" s="7" t="str">
        <f t="shared" si="108"/>
        <v/>
      </c>
      <c r="AJ48" s="7" t="str">
        <f t="shared" si="109"/>
        <v/>
      </c>
      <c r="AK48" s="7"/>
      <c r="AL48" s="7" t="str">
        <f t="shared" si="110"/>
        <v/>
      </c>
      <c r="AM48" s="7"/>
      <c r="AN48" s="7" t="str">
        <f t="shared" si="111"/>
        <v/>
      </c>
      <c r="AO48" s="105"/>
      <c r="AP48" s="7"/>
      <c r="AQ48" s="7" t="str">
        <f t="shared" si="99"/>
        <v/>
      </c>
      <c r="AR48" s="7" t="str">
        <f t="shared" si="100"/>
        <v/>
      </c>
      <c r="AS48" s="7" t="str">
        <f t="shared" si="101"/>
        <v/>
      </c>
      <c r="AT48" s="7"/>
      <c r="AU48" s="7" t="str">
        <f t="shared" si="102"/>
        <v/>
      </c>
      <c r="AV48" s="7" t="str">
        <f t="shared" si="103"/>
        <v/>
      </c>
      <c r="AW48" s="7" t="str">
        <f t="shared" si="104"/>
        <v/>
      </c>
      <c r="AX48" s="147"/>
      <c r="AY48" s="7"/>
      <c r="AZ48" s="118"/>
      <c r="BD48" s="116" t="s">
        <v>292</v>
      </c>
      <c r="BE48" s="244" t="s">
        <v>293</v>
      </c>
      <c r="BF48" s="249" t="s">
        <v>294</v>
      </c>
    </row>
    <row r="49" spans="1:58" ht="62.4">
      <c r="A49">
        <v>0</v>
      </c>
      <c r="B49">
        <v>0</v>
      </c>
      <c r="C49">
        <v>0</v>
      </c>
      <c r="D49">
        <f t="shared" si="77"/>
        <v>0</v>
      </c>
      <c r="E49">
        <f t="shared" si="2"/>
        <v>0</v>
      </c>
      <c r="F49">
        <f t="shared" si="78"/>
        <v>0</v>
      </c>
      <c r="G49">
        <f t="shared" si="3"/>
        <v>3</v>
      </c>
      <c r="H49">
        <f t="shared" si="4"/>
        <v>0</v>
      </c>
      <c r="I49">
        <f>IF('Actuarial Science'!gpa_tf, G49*B49, G49*A49)</f>
        <v>0</v>
      </c>
      <c r="J49" s="46">
        <v>6</v>
      </c>
      <c r="K49" s="41"/>
      <c r="L49" s="41" t="s">
        <v>149</v>
      </c>
      <c r="M49" s="24">
        <v>3</v>
      </c>
      <c r="N49" s="24" t="str">
        <v>GWS</v>
      </c>
      <c r="O49" s="41"/>
      <c r="P49" s="48"/>
      <c r="R49" s="76" t="s">
        <v>183</v>
      </c>
      <c r="S49" s="167">
        <f>SUM(F2:F82)/SUM(I2:I82)</f>
        <v>3.9339999999999997</v>
      </c>
      <c r="AB49" s="180" t="s">
        <v>295</v>
      </c>
      <c r="AC49" s="177" t="s">
        <v>137</v>
      </c>
      <c r="AD49" s="192" t="b">
        <f t="shared" ref="AD49:AD58" si="113">NOT(ISERROR(MATCH(AC49,schedule_courses,0)))</f>
        <v>1</v>
      </c>
      <c r="AE49" s="175">
        <f t="shared" ref="AE49:AE58" si="114">IF(AX49,0,IFERROR(INDEX(schedule_semester,MATCH(AC49,schedule_courses,0)), ""))</f>
        <v>1</v>
      </c>
      <c r="AF49" s="175" t="str">
        <f t="shared" ref="AF49:AF58" si="115">IF(ISNA(MATCH(AC49, $R$6:$R$14, 0)), "", $R$3)</f>
        <v/>
      </c>
      <c r="AG49" s="175" t="b">
        <f t="shared" ref="AG49:AG58" si="116">IF(AE49="", "", AE49&lt;AF49)</f>
        <v>1</v>
      </c>
      <c r="AH49" s="192"/>
      <c r="AI49" s="175" t="b">
        <f t="shared" ref="AI49:AI58" si="117">IF(AE49="", "", AE49&gt;=AH49)</f>
        <v>1</v>
      </c>
      <c r="AJ49" s="175">
        <f t="shared" ref="AJ49:AJ58" si="118">IF(AE49="","",IF(MOD(AE49,2)=0,2,1))</f>
        <v>1</v>
      </c>
      <c r="AK49" s="175"/>
      <c r="AL49" s="175" t="str">
        <f t="shared" ref="AL49:AL58" si="119">IF(AK49&lt;&gt;0, AK49&lt;&gt;AJ49, "")</f>
        <v/>
      </c>
      <c r="AM49" s="175"/>
      <c r="AN49" s="175" t="str">
        <f t="shared" ref="AN49:AN58" si="120">IFERROR(IF(AM49, INDEX(grade_number, MATCH(INDEX(schedule_grades, MATCH(AC49, schedule_courses, 0)), grade_letter, 0))&gt;=2, ""), "")</f>
        <v/>
      </c>
      <c r="AO49" s="179">
        <v>3</v>
      </c>
      <c r="AP49" s="174"/>
      <c r="AQ49" s="174" t="str">
        <f t="shared" si="86"/>
        <v/>
      </c>
      <c r="AR49" s="174" t="str">
        <f t="shared" si="87"/>
        <v/>
      </c>
      <c r="AS49" s="174" t="str">
        <f t="shared" si="88"/>
        <v/>
      </c>
      <c r="AT49" s="174"/>
      <c r="AU49" s="174" t="str">
        <f t="shared" si="89"/>
        <v/>
      </c>
      <c r="AV49" s="174" t="str">
        <f t="shared" si="90"/>
        <v/>
      </c>
      <c r="AW49" s="174" t="str">
        <f t="shared" si="91"/>
        <v/>
      </c>
      <c r="AX49" s="178" t="b">
        <v>0</v>
      </c>
      <c r="AY49" s="178" t="s">
        <v>218</v>
      </c>
      <c r="AZ49" s="176"/>
      <c r="BD49" s="116" t="s">
        <v>296</v>
      </c>
      <c r="BE49" s="244" t="s">
        <v>281</v>
      </c>
      <c r="BF49" s="249"/>
    </row>
    <row r="50" spans="1:58" ht="31.2">
      <c r="A50">
        <v>0</v>
      </c>
      <c r="B50">
        <v>0</v>
      </c>
      <c r="C50">
        <v>0</v>
      </c>
      <c r="D50">
        <f t="shared" si="77"/>
        <v>0</v>
      </c>
      <c r="E50">
        <f t="shared" si="2"/>
        <v>0</v>
      </c>
      <c r="F50">
        <f t="shared" si="78"/>
        <v>0</v>
      </c>
      <c r="G50">
        <f t="shared" si="3"/>
        <v>3</v>
      </c>
      <c r="H50">
        <f t="shared" si="4"/>
        <v>0</v>
      </c>
      <c r="I50">
        <f>IF('Actuarial Science'!gpa_tf, G50*B50, G50*A50)</f>
        <v>0</v>
      </c>
      <c r="J50" s="46">
        <v>6</v>
      </c>
      <c r="K50" s="41"/>
      <c r="L50" s="41" t="s">
        <v>134</v>
      </c>
      <c r="M50" s="24">
        <v>3</v>
      </c>
      <c r="N50" s="24" t="str">
        <v/>
      </c>
      <c r="O50" s="41"/>
      <c r="P50" s="48"/>
      <c r="Q50" s="11"/>
      <c r="AB50" s="14"/>
      <c r="AC50" s="124" t="s">
        <v>201</v>
      </c>
      <c r="AD50" s="189" t="b">
        <f t="shared" si="113"/>
        <v>1</v>
      </c>
      <c r="AE50" s="147">
        <f t="shared" si="114"/>
        <v>3</v>
      </c>
      <c r="AF50" s="147" t="str">
        <f t="shared" si="115"/>
        <v/>
      </c>
      <c r="AG50" s="147" t="b">
        <f t="shared" si="116"/>
        <v>1</v>
      </c>
      <c r="AH50" s="189"/>
      <c r="AI50" s="147" t="b">
        <f t="shared" si="117"/>
        <v>1</v>
      </c>
      <c r="AJ50" s="147">
        <f t="shared" si="118"/>
        <v>1</v>
      </c>
      <c r="AK50" s="147"/>
      <c r="AL50" s="147" t="str">
        <f t="shared" si="119"/>
        <v/>
      </c>
      <c r="AM50" s="147"/>
      <c r="AN50" s="147" t="str">
        <f t="shared" si="120"/>
        <v/>
      </c>
      <c r="AO50" s="150">
        <v>3</v>
      </c>
      <c r="AP50" s="7"/>
      <c r="AQ50" s="7" t="str">
        <f t="shared" si="86"/>
        <v/>
      </c>
      <c r="AR50" s="7" t="str">
        <f t="shared" si="87"/>
        <v/>
      </c>
      <c r="AS50" s="7" t="str">
        <f t="shared" si="88"/>
        <v/>
      </c>
      <c r="AT50" s="7"/>
      <c r="AU50" s="7" t="str">
        <f t="shared" si="89"/>
        <v/>
      </c>
      <c r="AV50" s="7" t="str">
        <f t="shared" si="90"/>
        <v/>
      </c>
      <c r="AW50" s="7" t="str">
        <f t="shared" si="91"/>
        <v/>
      </c>
      <c r="AX50" s="44" t="b">
        <v>0</v>
      </c>
      <c r="AY50" s="44" t="s">
        <v>218</v>
      </c>
      <c r="AZ50" s="118"/>
      <c r="BD50" s="116" t="s">
        <v>297</v>
      </c>
      <c r="BE50" s="244" t="s">
        <v>285</v>
      </c>
      <c r="BF50" s="249" t="s">
        <v>298</v>
      </c>
    </row>
    <row r="51" spans="1:58" ht="31.2">
      <c r="A51">
        <v>0</v>
      </c>
      <c r="B51">
        <v>0</v>
      </c>
      <c r="C51">
        <v>0</v>
      </c>
      <c r="D51">
        <f t="shared" si="77"/>
        <v>0</v>
      </c>
      <c r="E51">
        <f t="shared" si="2"/>
        <v>0</v>
      </c>
      <c r="F51">
        <f t="shared" si="78"/>
        <v>0</v>
      </c>
      <c r="G51">
        <f t="shared" si="3"/>
        <v>1.5</v>
      </c>
      <c r="H51">
        <f t="shared" si="4"/>
        <v>0</v>
      </c>
      <c r="I51">
        <f>IF('Actuarial Science'!gpa_tf, G51*B51, G51*A51)</f>
        <v>0</v>
      </c>
      <c r="J51" s="46">
        <v>6</v>
      </c>
      <c r="K51" s="41"/>
      <c r="L51" s="41" t="s">
        <v>299</v>
      </c>
      <c r="M51" s="24">
        <v>1.5</v>
      </c>
      <c r="N51" s="24" t="str">
        <v>GHW</v>
      </c>
      <c r="O51" s="41"/>
      <c r="P51" s="48"/>
      <c r="AB51" s="14"/>
      <c r="AC51" s="124"/>
      <c r="AD51" s="189" t="b">
        <f t="shared" si="113"/>
        <v>0</v>
      </c>
      <c r="AE51" s="147" t="str">
        <f t="shared" si="114"/>
        <v/>
      </c>
      <c r="AF51" s="147" t="str">
        <f t="shared" si="115"/>
        <v/>
      </c>
      <c r="AG51" s="147" t="str">
        <f t="shared" si="116"/>
        <v/>
      </c>
      <c r="AH51" s="189"/>
      <c r="AI51" s="147" t="str">
        <f t="shared" si="117"/>
        <v/>
      </c>
      <c r="AJ51" s="147" t="str">
        <f t="shared" si="118"/>
        <v/>
      </c>
      <c r="AK51" s="147"/>
      <c r="AL51" s="147" t="str">
        <f t="shared" si="119"/>
        <v/>
      </c>
      <c r="AM51" s="147"/>
      <c r="AN51" s="147" t="str">
        <f t="shared" si="120"/>
        <v/>
      </c>
      <c r="AO51" s="150"/>
      <c r="AP51" s="7"/>
      <c r="AQ51" s="7" t="str">
        <f t="shared" si="86"/>
        <v/>
      </c>
      <c r="AR51" s="7" t="str">
        <f t="shared" si="87"/>
        <v/>
      </c>
      <c r="AS51" s="7" t="str">
        <f t="shared" si="88"/>
        <v/>
      </c>
      <c r="AT51" s="7"/>
      <c r="AU51" s="7" t="str">
        <f t="shared" si="89"/>
        <v/>
      </c>
      <c r="AV51" s="7" t="str">
        <f t="shared" si="90"/>
        <v/>
      </c>
      <c r="AW51" s="7" t="str">
        <f t="shared" si="91"/>
        <v/>
      </c>
      <c r="AX51" s="44"/>
      <c r="AY51" s="44"/>
      <c r="AZ51" s="118"/>
      <c r="BD51" s="116" t="s">
        <v>300</v>
      </c>
      <c r="BE51" s="244" t="s">
        <v>301</v>
      </c>
      <c r="BF51" s="249" t="s">
        <v>302</v>
      </c>
    </row>
    <row r="52" spans="1:58">
      <c r="A52">
        <v>0</v>
      </c>
      <c r="B52">
        <v>0</v>
      </c>
      <c r="C52">
        <v>0</v>
      </c>
      <c r="D52">
        <f t="shared" si="77"/>
        <v>0</v>
      </c>
      <c r="E52">
        <f t="shared" si="2"/>
        <v>0</v>
      </c>
      <c r="F52">
        <f t="shared" si="78"/>
        <v>0</v>
      </c>
      <c r="G52">
        <f t="shared" si="3"/>
        <v>0</v>
      </c>
      <c r="H52">
        <f t="shared" si="4"/>
        <v>0</v>
      </c>
      <c r="I52">
        <f>IF('Actuarial Science'!gpa_tf, G52*B52, G52*A52)</f>
        <v>0</v>
      </c>
      <c r="J52" s="46">
        <v>6</v>
      </c>
      <c r="K52" s="41"/>
      <c r="L52" s="41"/>
      <c r="M52" s="24" t="str">
        <v/>
      </c>
      <c r="N52" s="24" t="str">
        <v/>
      </c>
      <c r="O52" s="41"/>
      <c r="P52" s="48"/>
      <c r="AB52" s="14"/>
      <c r="AC52" s="124"/>
      <c r="AD52" s="189" t="b">
        <f t="shared" si="113"/>
        <v>0</v>
      </c>
      <c r="AE52" s="147" t="str">
        <f t="shared" si="114"/>
        <v/>
      </c>
      <c r="AF52" s="147" t="str">
        <f t="shared" si="115"/>
        <v/>
      </c>
      <c r="AG52" s="147" t="str">
        <f t="shared" si="116"/>
        <v/>
      </c>
      <c r="AH52" s="189"/>
      <c r="AI52" s="147" t="str">
        <f t="shared" si="117"/>
        <v/>
      </c>
      <c r="AJ52" s="147" t="str">
        <f t="shared" si="118"/>
        <v/>
      </c>
      <c r="AK52" s="147"/>
      <c r="AL52" s="147" t="str">
        <f t="shared" si="119"/>
        <v/>
      </c>
      <c r="AM52" s="147"/>
      <c r="AN52" s="147" t="str">
        <f t="shared" si="120"/>
        <v/>
      </c>
      <c r="AO52" s="150"/>
      <c r="AP52" s="7"/>
      <c r="AQ52" s="7" t="str">
        <f t="shared" si="86"/>
        <v/>
      </c>
      <c r="AR52" s="7" t="str">
        <f t="shared" si="87"/>
        <v/>
      </c>
      <c r="AS52" s="7" t="str">
        <f t="shared" si="88"/>
        <v/>
      </c>
      <c r="AT52" s="7"/>
      <c r="AU52" s="7" t="str">
        <f t="shared" si="89"/>
        <v/>
      </c>
      <c r="AV52" s="7" t="str">
        <f t="shared" si="90"/>
        <v/>
      </c>
      <c r="AW52" s="7" t="str">
        <f t="shared" si="91"/>
        <v/>
      </c>
      <c r="AX52" s="44"/>
      <c r="AY52" s="44"/>
      <c r="AZ52" s="118"/>
      <c r="BD52" s="116" t="s">
        <v>303</v>
      </c>
      <c r="BE52" s="244" t="s">
        <v>281</v>
      </c>
      <c r="BF52" s="249"/>
    </row>
    <row r="53" spans="1:58">
      <c r="A53">
        <v>0</v>
      </c>
      <c r="B53">
        <v>0</v>
      </c>
      <c r="C53">
        <v>0</v>
      </c>
      <c r="D53">
        <f t="shared" si="77"/>
        <v>0</v>
      </c>
      <c r="E53">
        <f t="shared" si="2"/>
        <v>0</v>
      </c>
      <c r="F53">
        <f t="shared" si="78"/>
        <v>0</v>
      </c>
      <c r="G53">
        <f t="shared" si="3"/>
        <v>0</v>
      </c>
      <c r="H53">
        <f t="shared" si="4"/>
        <v>0</v>
      </c>
      <c r="I53">
        <f>IF('Actuarial Science'!gpa_tf, G53*B53, G53*A53)</f>
        <v>0</v>
      </c>
      <c r="J53" s="46">
        <v>6</v>
      </c>
      <c r="K53" s="41"/>
      <c r="L53" s="41"/>
      <c r="M53" s="24" t="str">
        <v/>
      </c>
      <c r="N53" s="24" t="str">
        <v/>
      </c>
      <c r="O53" s="41"/>
      <c r="P53" s="48"/>
      <c r="AB53" s="14"/>
      <c r="AC53" s="124"/>
      <c r="AD53" s="189" t="b">
        <f t="shared" si="113"/>
        <v>0</v>
      </c>
      <c r="AE53" s="147" t="str">
        <f t="shared" si="114"/>
        <v/>
      </c>
      <c r="AF53" s="147" t="str">
        <f t="shared" si="115"/>
        <v/>
      </c>
      <c r="AG53" s="147" t="str">
        <f t="shared" si="116"/>
        <v/>
      </c>
      <c r="AH53" s="189"/>
      <c r="AI53" s="147" t="str">
        <f t="shared" si="117"/>
        <v/>
      </c>
      <c r="AJ53" s="147" t="str">
        <f t="shared" si="118"/>
        <v/>
      </c>
      <c r="AK53" s="147"/>
      <c r="AL53" s="147" t="str">
        <f t="shared" si="119"/>
        <v/>
      </c>
      <c r="AM53" s="147"/>
      <c r="AN53" s="147" t="str">
        <f t="shared" si="120"/>
        <v/>
      </c>
      <c r="AO53" s="150"/>
      <c r="AP53" s="7"/>
      <c r="AQ53" s="7" t="str">
        <f t="shared" si="86"/>
        <v/>
      </c>
      <c r="AR53" s="7" t="str">
        <f t="shared" si="87"/>
        <v/>
      </c>
      <c r="AS53" s="7" t="str">
        <f t="shared" si="88"/>
        <v/>
      </c>
      <c r="AT53" s="7"/>
      <c r="AU53" s="7" t="str">
        <f t="shared" si="89"/>
        <v/>
      </c>
      <c r="AV53" s="7" t="str">
        <f t="shared" si="90"/>
        <v/>
      </c>
      <c r="AW53" s="7" t="str">
        <f t="shared" si="91"/>
        <v/>
      </c>
      <c r="AX53" s="44"/>
      <c r="AY53" s="44"/>
      <c r="AZ53" s="118"/>
      <c r="BD53" s="242" t="s">
        <v>304</v>
      </c>
      <c r="BE53" s="246" t="s">
        <v>305</v>
      </c>
      <c r="BF53" s="250"/>
    </row>
    <row r="54" spans="1:58">
      <c r="A54">
        <v>0</v>
      </c>
      <c r="B54">
        <v>0</v>
      </c>
      <c r="C54">
        <v>0</v>
      </c>
      <c r="D54">
        <f t="shared" si="77"/>
        <v>0</v>
      </c>
      <c r="E54">
        <f t="shared" si="2"/>
        <v>0</v>
      </c>
      <c r="F54">
        <f t="shared" si="78"/>
        <v>0</v>
      </c>
      <c r="G54">
        <f t="shared" si="3"/>
        <v>0</v>
      </c>
      <c r="H54">
        <f t="shared" si="4"/>
        <v>0</v>
      </c>
      <c r="I54">
        <f>IF('Actuarial Science'!gpa_tf, G54*B54, G54*A54)</f>
        <v>0</v>
      </c>
      <c r="J54" s="46">
        <v>6</v>
      </c>
      <c r="K54" s="41"/>
      <c r="L54" s="41"/>
      <c r="M54" s="24" t="str">
        <v/>
      </c>
      <c r="N54" s="24" t="str">
        <v/>
      </c>
      <c r="O54" s="41"/>
      <c r="P54" s="48"/>
      <c r="AB54" s="14"/>
      <c r="AC54" s="124"/>
      <c r="AD54" s="189" t="b">
        <f t="shared" si="113"/>
        <v>0</v>
      </c>
      <c r="AE54" s="147" t="str">
        <f t="shared" si="114"/>
        <v/>
      </c>
      <c r="AF54" s="147" t="str">
        <f t="shared" si="115"/>
        <v/>
      </c>
      <c r="AG54" s="147" t="str">
        <f t="shared" si="116"/>
        <v/>
      </c>
      <c r="AH54" s="189"/>
      <c r="AI54" s="147" t="str">
        <f t="shared" si="117"/>
        <v/>
      </c>
      <c r="AJ54" s="147" t="str">
        <f t="shared" si="118"/>
        <v/>
      </c>
      <c r="AK54" s="147"/>
      <c r="AL54" s="147" t="str">
        <f t="shared" si="119"/>
        <v/>
      </c>
      <c r="AM54" s="147"/>
      <c r="AN54" s="147" t="str">
        <f t="shared" si="120"/>
        <v/>
      </c>
      <c r="AO54" s="150"/>
      <c r="AP54" s="7"/>
      <c r="AQ54" s="7" t="str">
        <f t="shared" si="86"/>
        <v/>
      </c>
      <c r="AR54" s="7" t="str">
        <f t="shared" si="87"/>
        <v/>
      </c>
      <c r="AS54" s="7" t="str">
        <f t="shared" si="88"/>
        <v/>
      </c>
      <c r="AT54" s="7"/>
      <c r="AU54" s="7" t="str">
        <f t="shared" si="89"/>
        <v/>
      </c>
      <c r="AV54" s="7" t="str">
        <f t="shared" si="90"/>
        <v/>
      </c>
      <c r="AW54" s="7" t="str">
        <f t="shared" si="91"/>
        <v/>
      </c>
      <c r="AX54" s="44"/>
      <c r="AY54" s="44"/>
      <c r="AZ54" s="118"/>
      <c r="BD54" s="83"/>
      <c r="BE54" s="83"/>
    </row>
    <row r="55" spans="1:58">
      <c r="A55">
        <v>0</v>
      </c>
      <c r="B55">
        <v>0</v>
      </c>
      <c r="C55">
        <v>0</v>
      </c>
      <c r="D55">
        <f t="shared" si="77"/>
        <v>0</v>
      </c>
      <c r="E55">
        <f t="shared" si="2"/>
        <v>0</v>
      </c>
      <c r="F55">
        <f t="shared" si="78"/>
        <v>0</v>
      </c>
      <c r="G55">
        <f t="shared" si="3"/>
        <v>0</v>
      </c>
      <c r="H55">
        <f t="shared" si="4"/>
        <v>0</v>
      </c>
      <c r="I55">
        <f>IF('Actuarial Science'!gpa_tf, G55*B55, G55*A55)</f>
        <v>0</v>
      </c>
      <c r="J55" s="47">
        <v>6</v>
      </c>
      <c r="K55" s="43"/>
      <c r="L55" s="43"/>
      <c r="M55" s="10" t="str">
        <v/>
      </c>
      <c r="N55" s="10" t="str">
        <v/>
      </c>
      <c r="O55" s="43"/>
      <c r="P55" s="49"/>
      <c r="R55" t="s">
        <v>306</v>
      </c>
      <c r="W55" s="11"/>
      <c r="X55" s="11"/>
      <c r="Y55" s="11"/>
      <c r="Z55" s="11"/>
      <c r="AB55" s="14"/>
      <c r="AC55" s="124"/>
      <c r="AD55" s="189" t="b">
        <f t="shared" si="113"/>
        <v>0</v>
      </c>
      <c r="AE55" s="147" t="str">
        <f t="shared" si="114"/>
        <v/>
      </c>
      <c r="AF55" s="147" t="str">
        <f t="shared" si="115"/>
        <v/>
      </c>
      <c r="AG55" s="147" t="str">
        <f t="shared" si="116"/>
        <v/>
      </c>
      <c r="AH55" s="189"/>
      <c r="AI55" s="147" t="str">
        <f t="shared" si="117"/>
        <v/>
      </c>
      <c r="AJ55" s="147" t="str">
        <f t="shared" si="118"/>
        <v/>
      </c>
      <c r="AK55" s="147"/>
      <c r="AL55" s="147" t="str">
        <f t="shared" si="119"/>
        <v/>
      </c>
      <c r="AM55" s="147"/>
      <c r="AN55" s="147" t="str">
        <f t="shared" si="120"/>
        <v/>
      </c>
      <c r="AO55" s="150"/>
      <c r="AP55" s="7"/>
      <c r="AQ55" s="7" t="str">
        <f t="shared" si="86"/>
        <v/>
      </c>
      <c r="AR55" s="7" t="str">
        <f t="shared" si="87"/>
        <v/>
      </c>
      <c r="AS55" s="7" t="str">
        <f t="shared" si="88"/>
        <v/>
      </c>
      <c r="AT55" s="7"/>
      <c r="AU55" s="7" t="str">
        <f t="shared" si="89"/>
        <v/>
      </c>
      <c r="AV55" s="7" t="str">
        <f t="shared" si="90"/>
        <v/>
      </c>
      <c r="AW55" s="7" t="str">
        <f t="shared" si="91"/>
        <v/>
      </c>
      <c r="AX55" s="44"/>
      <c r="AY55" s="44"/>
      <c r="AZ55" s="118"/>
      <c r="BD55" s="83"/>
      <c r="BE55" s="83"/>
    </row>
    <row r="56" spans="1:58">
      <c r="A56">
        <v>0</v>
      </c>
      <c r="B56">
        <v>0</v>
      </c>
      <c r="C56">
        <v>0</v>
      </c>
      <c r="D56">
        <f t="shared" si="77"/>
        <v>0</v>
      </c>
      <c r="E56">
        <f t="shared" si="2"/>
        <v>0</v>
      </c>
      <c r="F56">
        <f t="shared" si="78"/>
        <v>0</v>
      </c>
      <c r="G56">
        <f t="shared" si="3"/>
        <v>3</v>
      </c>
      <c r="H56">
        <f t="shared" si="4"/>
        <v>0</v>
      </c>
      <c r="I56">
        <f>IF('Actuarial Science'!gpa_tf, G56*B56, G56*A56)</f>
        <v>0</v>
      </c>
      <c r="J56" s="53">
        <v>7</v>
      </c>
      <c r="K56" s="51"/>
      <c r="L56" s="51" t="s">
        <v>198</v>
      </c>
      <c r="M56" s="55">
        <v>3</v>
      </c>
      <c r="N56" s="55" t="str">
        <v/>
      </c>
      <c r="O56" s="51"/>
      <c r="P56" s="52"/>
      <c r="AB56" s="14"/>
      <c r="AC56" s="124"/>
      <c r="AD56" s="189" t="b">
        <f t="shared" si="113"/>
        <v>0</v>
      </c>
      <c r="AE56" s="147" t="str">
        <f t="shared" si="114"/>
        <v/>
      </c>
      <c r="AF56" s="147" t="str">
        <f t="shared" si="115"/>
        <v/>
      </c>
      <c r="AG56" s="147" t="str">
        <f t="shared" si="116"/>
        <v/>
      </c>
      <c r="AH56" s="189"/>
      <c r="AI56" s="147" t="str">
        <f t="shared" si="117"/>
        <v/>
      </c>
      <c r="AJ56" s="147" t="str">
        <f t="shared" si="118"/>
        <v/>
      </c>
      <c r="AK56" s="147"/>
      <c r="AL56" s="147" t="str">
        <f t="shared" si="119"/>
        <v/>
      </c>
      <c r="AM56" s="147"/>
      <c r="AN56" s="147" t="str">
        <f t="shared" si="120"/>
        <v/>
      </c>
      <c r="AO56" s="150"/>
      <c r="AP56" s="7"/>
      <c r="AQ56" s="7" t="str">
        <f t="shared" si="86"/>
        <v/>
      </c>
      <c r="AR56" s="7" t="str">
        <f t="shared" si="87"/>
        <v/>
      </c>
      <c r="AS56" s="7" t="str">
        <f t="shared" si="88"/>
        <v/>
      </c>
      <c r="AT56" s="7"/>
      <c r="AU56" s="7" t="str">
        <f t="shared" si="89"/>
        <v/>
      </c>
      <c r="AV56" s="7" t="str">
        <f t="shared" si="90"/>
        <v/>
      </c>
      <c r="AW56" s="7" t="str">
        <f t="shared" si="91"/>
        <v/>
      </c>
      <c r="AX56" s="44"/>
      <c r="AY56" s="44"/>
      <c r="AZ56" s="118"/>
      <c r="BD56" s="238" t="s">
        <v>307</v>
      </c>
      <c r="BE56" s="83"/>
    </row>
    <row r="57" spans="1:58">
      <c r="A57">
        <v>0</v>
      </c>
      <c r="B57">
        <v>0</v>
      </c>
      <c r="C57">
        <v>0</v>
      </c>
      <c r="D57">
        <f t="shared" si="77"/>
        <v>0</v>
      </c>
      <c r="E57">
        <f t="shared" si="2"/>
        <v>0</v>
      </c>
      <c r="F57">
        <f t="shared" si="78"/>
        <v>0</v>
      </c>
      <c r="G57">
        <f t="shared" si="3"/>
        <v>3</v>
      </c>
      <c r="H57">
        <f t="shared" si="4"/>
        <v>0</v>
      </c>
      <c r="I57">
        <f>IF('Actuarial Science'!gpa_tf, G57*B57, G57*A57)</f>
        <v>0</v>
      </c>
      <c r="J57" s="45">
        <v>7</v>
      </c>
      <c r="K57" s="41"/>
      <c r="L57" s="41" t="s">
        <v>215</v>
      </c>
      <c r="M57" s="24">
        <v>3</v>
      </c>
      <c r="N57" s="24" t="str">
        <v/>
      </c>
      <c r="O57" s="41"/>
      <c r="P57" s="48"/>
      <c r="R57" s="11"/>
      <c r="S57" s="11"/>
      <c r="T57" s="11"/>
      <c r="U57" s="11"/>
      <c r="V57" s="11"/>
      <c r="AB57" s="14"/>
      <c r="AC57" s="124"/>
      <c r="AD57" s="189" t="b">
        <f t="shared" si="113"/>
        <v>0</v>
      </c>
      <c r="AE57" s="147" t="str">
        <f t="shared" si="114"/>
        <v/>
      </c>
      <c r="AF57" s="147" t="str">
        <f t="shared" si="115"/>
        <v/>
      </c>
      <c r="AG57" s="147" t="str">
        <f t="shared" si="116"/>
        <v/>
      </c>
      <c r="AH57" s="189"/>
      <c r="AI57" s="147" t="str">
        <f t="shared" si="117"/>
        <v/>
      </c>
      <c r="AJ57" s="147" t="str">
        <f t="shared" si="118"/>
        <v/>
      </c>
      <c r="AK57" s="147"/>
      <c r="AL57" s="147" t="str">
        <f t="shared" si="119"/>
        <v/>
      </c>
      <c r="AM57" s="147"/>
      <c r="AN57" s="147" t="str">
        <f t="shared" si="120"/>
        <v/>
      </c>
      <c r="AO57" s="150"/>
      <c r="AP57" s="7"/>
      <c r="AQ57" s="7" t="str">
        <f t="shared" si="86"/>
        <v/>
      </c>
      <c r="AR57" s="7" t="str">
        <f t="shared" si="87"/>
        <v/>
      </c>
      <c r="AS57" s="7" t="str">
        <f t="shared" si="88"/>
        <v/>
      </c>
      <c r="AT57" s="7"/>
      <c r="AU57" s="7" t="str">
        <f t="shared" si="89"/>
        <v/>
      </c>
      <c r="AV57" s="7" t="str">
        <f t="shared" si="90"/>
        <v/>
      </c>
      <c r="AW57" s="7" t="str">
        <f t="shared" si="91"/>
        <v/>
      </c>
      <c r="AX57" s="44"/>
      <c r="AY57" s="44"/>
      <c r="AZ57" s="118"/>
      <c r="BD57" s="74" t="s">
        <v>31</v>
      </c>
      <c r="BE57" s="12"/>
    </row>
    <row r="58" spans="1:58">
      <c r="A58">
        <v>0</v>
      </c>
      <c r="B58">
        <v>0</v>
      </c>
      <c r="C58">
        <v>0</v>
      </c>
      <c r="D58">
        <f t="shared" si="77"/>
        <v>0</v>
      </c>
      <c r="E58">
        <f t="shared" si="2"/>
        <v>0</v>
      </c>
      <c r="F58">
        <f t="shared" si="78"/>
        <v>0</v>
      </c>
      <c r="G58">
        <f t="shared" si="3"/>
        <v>1</v>
      </c>
      <c r="H58">
        <f t="shared" si="4"/>
        <v>0</v>
      </c>
      <c r="I58">
        <f>IF('Actuarial Science'!gpa_tf, G58*B58, G58*A58)</f>
        <v>0</v>
      </c>
      <c r="J58" s="45">
        <v>7</v>
      </c>
      <c r="K58" s="41"/>
      <c r="L58" s="41" t="s">
        <v>308</v>
      </c>
      <c r="M58" s="24">
        <v>1</v>
      </c>
      <c r="N58" s="24" t="str">
        <v/>
      </c>
      <c r="O58" s="41"/>
      <c r="P58" s="48"/>
      <c r="AB58" s="14"/>
      <c r="AC58" s="124"/>
      <c r="AD58" s="189" t="b">
        <f t="shared" si="113"/>
        <v>0</v>
      </c>
      <c r="AE58" s="147" t="str">
        <f t="shared" si="114"/>
        <v/>
      </c>
      <c r="AF58" s="147" t="str">
        <f t="shared" si="115"/>
        <v/>
      </c>
      <c r="AG58" s="147" t="str">
        <f t="shared" si="116"/>
        <v/>
      </c>
      <c r="AH58" s="189"/>
      <c r="AI58" s="147" t="str">
        <f t="shared" si="117"/>
        <v/>
      </c>
      <c r="AJ58" s="147" t="str">
        <f t="shared" si="118"/>
        <v/>
      </c>
      <c r="AK58" s="147"/>
      <c r="AL58" s="147" t="str">
        <f t="shared" si="119"/>
        <v/>
      </c>
      <c r="AM58" s="147"/>
      <c r="AN58" s="147" t="str">
        <f t="shared" si="120"/>
        <v/>
      </c>
      <c r="AO58" s="150"/>
      <c r="AP58" s="7"/>
      <c r="AQ58" s="7" t="str">
        <f t="shared" si="86"/>
        <v/>
      </c>
      <c r="AR58" s="7" t="str">
        <f t="shared" si="87"/>
        <v/>
      </c>
      <c r="AS58" s="7" t="str">
        <f t="shared" si="88"/>
        <v/>
      </c>
      <c r="AT58" s="7"/>
      <c r="AU58" s="7" t="str">
        <f t="shared" si="89"/>
        <v/>
      </c>
      <c r="AV58" s="7" t="str">
        <f t="shared" si="90"/>
        <v/>
      </c>
      <c r="AW58" s="7" t="str">
        <f t="shared" si="91"/>
        <v/>
      </c>
      <c r="AX58" s="44"/>
      <c r="AY58" s="44"/>
      <c r="AZ58" s="118"/>
      <c r="BD58" s="14" t="s">
        <v>96</v>
      </c>
      <c r="BE58" s="15">
        <v>4</v>
      </c>
    </row>
    <row r="59" spans="1:58">
      <c r="A59">
        <v>0</v>
      </c>
      <c r="B59">
        <v>0</v>
      </c>
      <c r="C59">
        <v>0</v>
      </c>
      <c r="D59">
        <f t="shared" si="77"/>
        <v>0</v>
      </c>
      <c r="E59">
        <f t="shared" si="2"/>
        <v>0</v>
      </c>
      <c r="F59">
        <f t="shared" si="78"/>
        <v>0</v>
      </c>
      <c r="G59">
        <f t="shared" si="3"/>
        <v>3</v>
      </c>
      <c r="H59">
        <f t="shared" si="4"/>
        <v>0</v>
      </c>
      <c r="I59">
        <f>IF('Actuarial Science'!gpa_tf, G59*B59, G59*A59)</f>
        <v>0</v>
      </c>
      <c r="J59" s="45">
        <v>7</v>
      </c>
      <c r="K59" s="41"/>
      <c r="L59" s="41" t="s">
        <v>128</v>
      </c>
      <c r="M59" s="24">
        <v>3</v>
      </c>
      <c r="N59" s="24" t="str">
        <v/>
      </c>
      <c r="O59" s="41"/>
      <c r="P59" s="48"/>
      <c r="AB59" s="14"/>
      <c r="AC59" s="123"/>
      <c r="AD59" s="9"/>
      <c r="AE59" s="7"/>
      <c r="AF59" s="7"/>
      <c r="AG59" s="7"/>
      <c r="AH59" s="9"/>
      <c r="AI59" s="7"/>
      <c r="AJ59" s="7"/>
      <c r="AK59" s="7"/>
      <c r="AL59" s="7"/>
      <c r="AM59" s="7"/>
      <c r="AN59" s="7"/>
      <c r="AO59" s="7"/>
      <c r="AP59" s="7"/>
      <c r="AQ59" s="7"/>
      <c r="AR59" s="7"/>
      <c r="AS59" s="7"/>
      <c r="AT59" s="7"/>
      <c r="AU59" s="7"/>
      <c r="AV59" s="7"/>
      <c r="AW59" s="7"/>
      <c r="AX59" s="147"/>
      <c r="AY59" s="7"/>
      <c r="AZ59" s="118"/>
      <c r="BD59" s="14" t="s">
        <v>132</v>
      </c>
      <c r="BE59" s="15">
        <v>3.67</v>
      </c>
    </row>
    <row r="60" spans="1:58">
      <c r="A60">
        <v>0</v>
      </c>
      <c r="B60">
        <v>0</v>
      </c>
      <c r="C60">
        <v>0</v>
      </c>
      <c r="D60">
        <f t="shared" si="77"/>
        <v>0</v>
      </c>
      <c r="E60">
        <f t="shared" si="2"/>
        <v>0</v>
      </c>
      <c r="F60">
        <f t="shared" si="78"/>
        <v>0</v>
      </c>
      <c r="G60">
        <f t="shared" si="3"/>
        <v>3</v>
      </c>
      <c r="H60">
        <f t="shared" si="4"/>
        <v>0</v>
      </c>
      <c r="I60">
        <f>IF('Actuarial Science'!gpa_tf, G60*B60, G60*A60)</f>
        <v>0</v>
      </c>
      <c r="J60" s="45">
        <v>7</v>
      </c>
      <c r="K60" s="41"/>
      <c r="L60" s="41" t="s">
        <v>264</v>
      </c>
      <c r="M60" s="24">
        <v>3</v>
      </c>
      <c r="N60" s="24" t="str">
        <v>GN</v>
      </c>
      <c r="O60" s="41"/>
      <c r="P60" s="48"/>
      <c r="AB60" s="151"/>
      <c r="AC60" s="123"/>
      <c r="AD60" s="9"/>
      <c r="AE60" s="7"/>
      <c r="AF60" s="7"/>
      <c r="AG60" s="7"/>
      <c r="AH60" s="9"/>
      <c r="AI60" s="7"/>
      <c r="AJ60" s="7"/>
      <c r="AK60" s="7"/>
      <c r="AL60" s="7"/>
      <c r="AM60" s="7"/>
      <c r="AN60" s="7"/>
      <c r="AO60" s="7"/>
      <c r="AP60" s="7"/>
      <c r="AQ60" s="7"/>
      <c r="AR60" s="7"/>
      <c r="AS60" s="7"/>
      <c r="AT60" s="7"/>
      <c r="AU60" s="7"/>
      <c r="AV60" s="7"/>
      <c r="AW60" s="7"/>
      <c r="AX60" s="147"/>
      <c r="AY60" s="7"/>
      <c r="AZ60" s="118"/>
      <c r="BD60" s="14" t="s">
        <v>309</v>
      </c>
      <c r="BE60" s="15">
        <v>3.33</v>
      </c>
    </row>
    <row r="61" spans="1:58" ht="55.2">
      <c r="A61">
        <v>0</v>
      </c>
      <c r="B61">
        <v>0</v>
      </c>
      <c r="C61">
        <v>0</v>
      </c>
      <c r="D61">
        <f t="shared" si="77"/>
        <v>0</v>
      </c>
      <c r="E61">
        <f t="shared" si="2"/>
        <v>0</v>
      </c>
      <c r="F61">
        <f t="shared" si="78"/>
        <v>0</v>
      </c>
      <c r="G61">
        <f t="shared" si="3"/>
        <v>1.5</v>
      </c>
      <c r="H61">
        <f t="shared" si="4"/>
        <v>0</v>
      </c>
      <c r="I61">
        <f>IF('Actuarial Science'!gpa_tf, G61*B61, G61*A61)</f>
        <v>0</v>
      </c>
      <c r="J61" s="45">
        <v>7</v>
      </c>
      <c r="K61" s="41"/>
      <c r="L61" s="41" t="s">
        <v>299</v>
      </c>
      <c r="M61" s="24">
        <v>1.5</v>
      </c>
      <c r="N61" s="24" t="str">
        <v>GHW</v>
      </c>
      <c r="O61" s="41"/>
      <c r="P61" s="48"/>
      <c r="AB61" s="164" t="s">
        <v>310</v>
      </c>
      <c r="AC61" s="130"/>
      <c r="AD61" s="104"/>
      <c r="AE61" s="5"/>
      <c r="AF61" s="5"/>
      <c r="AG61" s="5"/>
      <c r="AH61" s="5"/>
      <c r="AI61" s="5"/>
      <c r="AJ61" s="5"/>
      <c r="AK61" s="5"/>
      <c r="AL61" s="5"/>
      <c r="AM61" s="5"/>
      <c r="AN61" s="5"/>
      <c r="AO61" s="5">
        <v>13</v>
      </c>
      <c r="AP61" s="10"/>
      <c r="AQ61" s="5"/>
      <c r="AR61" s="10"/>
      <c r="AS61" s="10"/>
      <c r="AT61" s="10"/>
      <c r="AU61" s="5"/>
      <c r="AV61" s="5"/>
      <c r="AW61" s="5"/>
      <c r="AX61" s="148"/>
      <c r="AY61" s="10"/>
      <c r="AZ61" s="119"/>
      <c r="BD61" s="14" t="s">
        <v>311</v>
      </c>
      <c r="BE61" s="15">
        <v>3</v>
      </c>
    </row>
    <row r="62" spans="1:58">
      <c r="A62">
        <v>0</v>
      </c>
      <c r="B62">
        <v>0</v>
      </c>
      <c r="C62">
        <v>0</v>
      </c>
      <c r="D62">
        <f t="shared" si="77"/>
        <v>0</v>
      </c>
      <c r="E62">
        <f t="shared" si="2"/>
        <v>0</v>
      </c>
      <c r="F62">
        <f t="shared" si="78"/>
        <v>0</v>
      </c>
      <c r="G62">
        <f t="shared" si="3"/>
        <v>0</v>
      </c>
      <c r="H62">
        <f t="shared" si="4"/>
        <v>0</v>
      </c>
      <c r="I62">
        <f>IF('Actuarial Science'!gpa_tf, G62*B62, G62*A62)</f>
        <v>0</v>
      </c>
      <c r="J62" s="45">
        <v>7</v>
      </c>
      <c r="K62" s="41"/>
      <c r="L62" s="41"/>
      <c r="M62" s="24" t="str">
        <v/>
      </c>
      <c r="N62" s="24" t="str">
        <v/>
      </c>
      <c r="O62" s="41"/>
      <c r="P62" s="48"/>
      <c r="AT62" s="3"/>
      <c r="AU62" s="3"/>
      <c r="AV62" s="3"/>
      <c r="AW62" s="3"/>
      <c r="AX62" s="4"/>
      <c r="AY62" s="4"/>
      <c r="AZ62" s="4"/>
      <c r="BD62" s="14" t="s">
        <v>312</v>
      </c>
      <c r="BE62" s="15">
        <v>2.67</v>
      </c>
    </row>
    <row r="63" spans="1:58">
      <c r="A63">
        <v>0</v>
      </c>
      <c r="B63">
        <v>0</v>
      </c>
      <c r="C63">
        <v>0</v>
      </c>
      <c r="D63">
        <f t="shared" si="77"/>
        <v>0</v>
      </c>
      <c r="E63">
        <f t="shared" si="2"/>
        <v>0</v>
      </c>
      <c r="F63">
        <f t="shared" si="78"/>
        <v>0</v>
      </c>
      <c r="G63">
        <f t="shared" si="3"/>
        <v>0</v>
      </c>
      <c r="H63">
        <f t="shared" si="4"/>
        <v>0</v>
      </c>
      <c r="I63">
        <f>IF('Actuarial Science'!gpa_tf, G63*B63, G63*A63)</f>
        <v>0</v>
      </c>
      <c r="J63" s="45">
        <v>7</v>
      </c>
      <c r="K63" s="41"/>
      <c r="L63" s="41"/>
      <c r="M63" s="24" t="str">
        <v/>
      </c>
      <c r="N63" s="24" t="str">
        <v/>
      </c>
      <c r="O63" s="41"/>
      <c r="P63" s="48"/>
      <c r="AB63" s="93" t="s">
        <v>313</v>
      </c>
      <c r="AC63" s="92"/>
      <c r="AD63" s="92"/>
      <c r="AE63" s="92"/>
      <c r="AF63" s="92"/>
      <c r="AG63" s="92"/>
      <c r="AH63" s="92"/>
      <c r="AI63" s="92"/>
      <c r="AJ63" s="92"/>
      <c r="AK63" s="92"/>
      <c r="AL63" s="92"/>
      <c r="AM63" s="92"/>
      <c r="AN63" s="92"/>
      <c r="AO63" s="92"/>
      <c r="AP63" s="92"/>
      <c r="AQ63" s="92"/>
      <c r="AR63" s="92"/>
      <c r="AS63" s="92"/>
      <c r="AT63" s="92"/>
      <c r="AU63" s="92"/>
      <c r="AV63" s="92"/>
      <c r="AW63" s="92"/>
      <c r="AX63" s="92"/>
      <c r="AY63" s="92"/>
      <c r="AZ63" s="94"/>
      <c r="BD63" s="14" t="s">
        <v>314</v>
      </c>
      <c r="BE63" s="15">
        <v>2.33</v>
      </c>
    </row>
    <row r="64" spans="1:58">
      <c r="A64">
        <v>0</v>
      </c>
      <c r="B64">
        <v>0</v>
      </c>
      <c r="C64">
        <v>0</v>
      </c>
      <c r="D64">
        <f t="shared" si="77"/>
        <v>0</v>
      </c>
      <c r="E64">
        <f t="shared" si="2"/>
        <v>0</v>
      </c>
      <c r="F64">
        <f t="shared" si="78"/>
        <v>0</v>
      </c>
      <c r="G64">
        <f t="shared" si="3"/>
        <v>0</v>
      </c>
      <c r="H64">
        <f t="shared" si="4"/>
        <v>0</v>
      </c>
      <c r="I64">
        <f>IF('Actuarial Science'!gpa_tf, G64*B64, G64*A64)</f>
        <v>0</v>
      </c>
      <c r="J64" s="54">
        <v>7</v>
      </c>
      <c r="K64" s="43"/>
      <c r="L64" s="43"/>
      <c r="M64" s="10" t="str">
        <v/>
      </c>
      <c r="N64" s="10" t="str">
        <v/>
      </c>
      <c r="O64" s="43"/>
      <c r="P64" s="49"/>
      <c r="AB64" s="89" t="s">
        <v>73</v>
      </c>
      <c r="AC64" s="88" t="s">
        <v>33</v>
      </c>
      <c r="AD64" s="5" t="s">
        <v>104</v>
      </c>
      <c r="AE64" s="5" t="s">
        <v>105</v>
      </c>
      <c r="AF64" s="5" t="s">
        <v>106</v>
      </c>
      <c r="AG64" s="5" t="s">
        <v>107</v>
      </c>
      <c r="AH64" s="5" t="s">
        <v>108</v>
      </c>
      <c r="AI64" s="5" t="s">
        <v>109</v>
      </c>
      <c r="AJ64" s="5" t="s">
        <v>110</v>
      </c>
      <c r="AK64" s="5" t="s">
        <v>111</v>
      </c>
      <c r="AL64" s="5" t="s">
        <v>112</v>
      </c>
      <c r="AM64" s="5" t="s">
        <v>113</v>
      </c>
      <c r="AN64" s="5" t="s">
        <v>114</v>
      </c>
      <c r="AO64" s="88" t="s">
        <v>35</v>
      </c>
      <c r="AP64" s="88" t="s">
        <v>77</v>
      </c>
      <c r="AQ64" s="91" t="s">
        <v>104</v>
      </c>
      <c r="AR64" s="5" t="s">
        <v>105</v>
      </c>
      <c r="AS64" s="5" t="s">
        <v>115</v>
      </c>
      <c r="AT64" s="88" t="s">
        <v>79</v>
      </c>
      <c r="AU64" s="91" t="s">
        <v>104</v>
      </c>
      <c r="AV64" s="91" t="s">
        <v>105</v>
      </c>
      <c r="AW64" s="5" t="s">
        <v>116</v>
      </c>
      <c r="AX64" s="88" t="s">
        <v>80</v>
      </c>
      <c r="AY64" s="88" t="s">
        <v>37</v>
      </c>
      <c r="AZ64" s="90" t="s">
        <v>83</v>
      </c>
      <c r="BD64" s="14" t="s">
        <v>315</v>
      </c>
      <c r="BE64" s="15">
        <v>2</v>
      </c>
    </row>
    <row r="65" spans="1:57">
      <c r="A65">
        <v>0</v>
      </c>
      <c r="B65">
        <v>0</v>
      </c>
      <c r="C65">
        <v>0</v>
      </c>
      <c r="D65">
        <f t="shared" si="77"/>
        <v>0</v>
      </c>
      <c r="E65">
        <f t="shared" si="2"/>
        <v>0</v>
      </c>
      <c r="F65">
        <f t="shared" si="78"/>
        <v>0</v>
      </c>
      <c r="G65">
        <f t="shared" si="3"/>
        <v>3</v>
      </c>
      <c r="H65">
        <f t="shared" si="4"/>
        <v>0</v>
      </c>
      <c r="I65">
        <f>IF('Actuarial Science'!gpa_tf, G65*B65, G65*A65)</f>
        <v>0</v>
      </c>
      <c r="J65" s="50">
        <v>8</v>
      </c>
      <c r="K65" s="51"/>
      <c r="L65" s="51" t="s">
        <v>210</v>
      </c>
      <c r="M65" s="55">
        <v>3</v>
      </c>
      <c r="N65" s="55" t="str">
        <v/>
      </c>
      <c r="O65" s="51"/>
      <c r="P65" s="52"/>
      <c r="AB65" s="14"/>
      <c r="AC65" s="24" t="s">
        <v>138</v>
      </c>
      <c r="AD65" s="7" t="b">
        <f>NOT(ISERROR(MATCH(AC65,schedule_courses,0)))</f>
        <v>0</v>
      </c>
      <c r="AE65" s="7">
        <f>IF(AX65,0,IFERROR(INDEX(schedule_semester,MATCH(AC65,schedule_courses,0)), ""))</f>
        <v>0</v>
      </c>
      <c r="AF65" s="7">
        <f>IF(ISNA(MATCH(AC65, $R$6:$R$7, 0)), "", $R$3)</f>
        <v>4</v>
      </c>
      <c r="AG65" s="7" t="b">
        <f>IF(AE65="", "", AE65&lt;AF65)</f>
        <v>1</v>
      </c>
      <c r="AH65" s="7"/>
      <c r="AI65" s="7" t="b">
        <f>IF(AE65="", "", AE65&gt;=AH65)</f>
        <v>1</v>
      </c>
      <c r="AJ65" s="7">
        <f>IF(AE65="","",IF(MOD(AE65,2)=0,2,1))</f>
        <v>2</v>
      </c>
      <c r="AK65" s="7"/>
      <c r="AL65" s="7" t="str">
        <f>IF(AK65&lt;&gt;0, AK65&lt;&gt;AJ65, "")</f>
        <v/>
      </c>
      <c r="AM65" s="7"/>
      <c r="AN65" s="7" t="str">
        <f>IFERROR(IF(AM65, INDEX(grade_number, MATCH(INDEX(schedule_grades, MATCH(AC65, schedule_courses, 0)), grade_letter, 0))&gt;=2, ""), "")</f>
        <v/>
      </c>
      <c r="AO65" s="24">
        <v>3</v>
      </c>
      <c r="AP65" s="24"/>
      <c r="AQ65" s="7" t="str">
        <f t="shared" ref="AQ65:AQ74" si="121">IF(AP65=0,"",NOT(ISERROR(MATCH(AP65,schedule_courses,0))))</f>
        <v/>
      </c>
      <c r="AR65" s="7" t="str">
        <f t="shared" ref="AR65:AR74" si="122">IF(IFERROR(INDEX(req_tr_AP_credit, MATCH(AP65, req_course,0)), FALSE),0,IFERROR(INDEX(schedule_semester,MATCH(AP65,schedule_courses,0)), ""))</f>
        <v/>
      </c>
      <c r="AS65" s="7" t="str">
        <f>IF(AR65&lt;&gt;"", AR65&lt;AE65, "")</f>
        <v/>
      </c>
      <c r="AT65" s="24"/>
      <c r="AU65" s="7" t="str">
        <f t="shared" ref="AU65:AU74" si="123">IF(AT65=0,"",NOT(ISERROR(MATCH(AT65,schedule_courses,0))))</f>
        <v/>
      </c>
      <c r="AV65" s="7" t="str">
        <f t="shared" ref="AV65:AV74" si="124">IF(IFERROR(INDEX(req_tr_AP_credit, MATCH(AT65, req_course)), FALSE),0,IFERROR(INDEX(schedule_semester,MATCH(AT65,schedule_courses,0)), ""))</f>
        <v/>
      </c>
      <c r="AW65" s="7" t="str">
        <f>IF(AV65&lt;&gt;"", AV65&lt;=AE65, "")</f>
        <v/>
      </c>
      <c r="AX65" s="41" t="b">
        <v>1</v>
      </c>
      <c r="AY65" s="24" t="s">
        <v>154</v>
      </c>
      <c r="AZ65" s="15"/>
      <c r="BD65" s="14" t="s">
        <v>316</v>
      </c>
      <c r="BE65" s="15">
        <v>1</v>
      </c>
    </row>
    <row r="66" spans="1:57">
      <c r="A66">
        <v>0</v>
      </c>
      <c r="B66">
        <v>0</v>
      </c>
      <c r="C66">
        <v>0</v>
      </c>
      <c r="D66">
        <f t="shared" ref="D66:D82" si="125">IFERROR(INDEX(grade_number, MATCH(K66, grade_letter, 0))*M66,0)</f>
        <v>0</v>
      </c>
      <c r="E66">
        <f t="shared" si="2"/>
        <v>0</v>
      </c>
      <c r="F66">
        <f t="shared" ref="F66:F82" si="126">IF(gpa_tf, D66*B66, D66*A66)</f>
        <v>0</v>
      </c>
      <c r="G66">
        <f t="shared" si="3"/>
        <v>3</v>
      </c>
      <c r="H66">
        <f t="shared" si="4"/>
        <v>0</v>
      </c>
      <c r="I66">
        <f>IF('Actuarial Science'!gpa_tf, G66*B66, G66*A66)</f>
        <v>0</v>
      </c>
      <c r="J66" s="46">
        <v>8</v>
      </c>
      <c r="K66" s="41"/>
      <c r="L66" s="41" t="s">
        <v>275</v>
      </c>
      <c r="M66" s="24">
        <v>3</v>
      </c>
      <c r="N66" s="24" t="str">
        <v/>
      </c>
      <c r="O66" s="41"/>
      <c r="P66" s="48"/>
      <c r="AB66" s="14"/>
      <c r="AC66" s="24" t="s">
        <v>103</v>
      </c>
      <c r="AD66" s="24" t="b">
        <f>NOT(ISERROR(MATCH(AC66,schedule_courses,0)))</f>
        <v>1</v>
      </c>
      <c r="AE66" s="24">
        <f>IF(AX66,0,IFERROR(INDEX(schedule_semester,MATCH(AC66,schedule_courses,0)), ""))</f>
        <v>0</v>
      </c>
      <c r="AF66" s="24" t="str">
        <f>IF(ISNA(MATCH(AC66, $R$6:$R$7, 0)), "", $R$3)</f>
        <v/>
      </c>
      <c r="AG66" s="24" t="b">
        <f t="shared" ref="AG66:AG73" si="127">IF(AE66="", "", AE66&lt;AF66)</f>
        <v>1</v>
      </c>
      <c r="AH66" s="24"/>
      <c r="AI66" s="7" t="b">
        <f t="shared" ref="AI66:AI73" si="128">IF(AE66="", "", AE66&gt;=AH66)</f>
        <v>1</v>
      </c>
      <c r="AJ66" s="24">
        <f t="shared" ref="AJ66:AJ73" si="129">IF(AE66="","",IF(MOD(AE66,2)=0,2,1))</f>
        <v>2</v>
      </c>
      <c r="AK66" s="24"/>
      <c r="AL66" s="24" t="str">
        <f t="shared" ref="AL66:AL73" si="130">IF(AK66&lt;&gt;0, AK66&lt;&gt;AJ66, "")</f>
        <v/>
      </c>
      <c r="AM66" s="24"/>
      <c r="AN66" s="24" t="str">
        <f>IFERROR(IF(AM66, INDEX(grade_number, MATCH(INDEX(schedule_grades, MATCH(AC66, schedule_courses, 0)), grade_letter, 0))&gt;=2, ""), "")</f>
        <v/>
      </c>
      <c r="AO66" s="24">
        <v>3</v>
      </c>
      <c r="AP66" s="24" t="s">
        <v>138</v>
      </c>
      <c r="AQ66" s="24" t="b">
        <f t="shared" si="121"/>
        <v>0</v>
      </c>
      <c r="AR66" s="24">
        <f t="shared" si="122"/>
        <v>0</v>
      </c>
      <c r="AS66" s="24" t="b">
        <f t="shared" ref="AS66:AS99" si="131">IF(AR66&lt;&gt;"", AR66&lt;AE66, "")</f>
        <v>0</v>
      </c>
      <c r="AT66" s="24"/>
      <c r="AU66" s="24" t="str">
        <f t="shared" si="123"/>
        <v/>
      </c>
      <c r="AV66" s="24" t="str">
        <f t="shared" si="124"/>
        <v/>
      </c>
      <c r="AW66" s="24" t="str">
        <f t="shared" ref="AW66:AW99" si="132">IF(AV66&lt;&gt;"", AV66&lt;=AE66, "")</f>
        <v/>
      </c>
      <c r="AX66" s="41" t="b">
        <v>1</v>
      </c>
      <c r="AY66" s="24" t="s">
        <v>154</v>
      </c>
      <c r="AZ66" s="15"/>
      <c r="BD66" s="14" t="s">
        <v>317</v>
      </c>
      <c r="BE66" s="26">
        <v>0</v>
      </c>
    </row>
    <row r="67" spans="1:57">
      <c r="A67">
        <v>0</v>
      </c>
      <c r="B67">
        <v>0</v>
      </c>
      <c r="C67">
        <v>0</v>
      </c>
      <c r="D67">
        <f t="shared" si="125"/>
        <v>0</v>
      </c>
      <c r="E67">
        <f t="shared" ref="E67:E82" si="133">IFERROR(D67*C67,0)</f>
        <v>0</v>
      </c>
      <c r="F67">
        <f t="shared" si="126"/>
        <v>0</v>
      </c>
      <c r="G67">
        <f t="shared" ref="G67:G82" si="134">IF(M67="",0,M67)</f>
        <v>3</v>
      </c>
      <c r="H67">
        <f t="shared" ref="H67:H82" si="135">G67*C67</f>
        <v>0</v>
      </c>
      <c r="I67">
        <f>IF('Actuarial Science'!gpa_tf, G67*B67, G67*A67)</f>
        <v>0</v>
      </c>
      <c r="J67" s="46">
        <v>8</v>
      </c>
      <c r="K67" s="41"/>
      <c r="L67" s="41" t="s">
        <v>238</v>
      </c>
      <c r="M67" s="24">
        <v>3</v>
      </c>
      <c r="N67" s="24" t="str">
        <v>GA</v>
      </c>
      <c r="O67" s="41"/>
      <c r="P67" s="48"/>
      <c r="AB67" s="16"/>
      <c r="AC67" s="24"/>
      <c r="AD67" s="24"/>
      <c r="AE67" s="24"/>
      <c r="AF67" s="24"/>
      <c r="AG67" s="24"/>
      <c r="AH67" s="24"/>
      <c r="AI67" s="7"/>
      <c r="AJ67" s="24"/>
      <c r="AK67" s="24"/>
      <c r="AL67" s="24"/>
      <c r="AM67" s="24"/>
      <c r="AN67" s="24"/>
      <c r="AO67" s="24"/>
      <c r="AP67" s="24"/>
      <c r="AQ67" s="24" t="str">
        <f t="shared" si="121"/>
        <v/>
      </c>
      <c r="AR67" s="24" t="str">
        <f t="shared" si="122"/>
        <v/>
      </c>
      <c r="AS67" s="24" t="str">
        <f t="shared" si="131"/>
        <v/>
      </c>
      <c r="AT67" s="24"/>
      <c r="AU67" s="24" t="str">
        <f t="shared" si="123"/>
        <v/>
      </c>
      <c r="AV67" s="24" t="str">
        <f t="shared" si="124"/>
        <v/>
      </c>
      <c r="AW67" s="24" t="str">
        <f t="shared" si="132"/>
        <v/>
      </c>
      <c r="AX67" s="41"/>
      <c r="AY67" s="24"/>
      <c r="AZ67" s="15"/>
      <c r="BD67" s="55"/>
    </row>
    <row r="68" spans="1:57" ht="31.2">
      <c r="A68">
        <v>0</v>
      </c>
      <c r="B68">
        <v>0</v>
      </c>
      <c r="C68">
        <v>0</v>
      </c>
      <c r="D68">
        <f t="shared" si="125"/>
        <v>0</v>
      </c>
      <c r="E68">
        <f t="shared" si="133"/>
        <v>0</v>
      </c>
      <c r="F68">
        <f t="shared" si="126"/>
        <v>0</v>
      </c>
      <c r="G68">
        <f t="shared" si="134"/>
        <v>3</v>
      </c>
      <c r="H68">
        <f t="shared" si="135"/>
        <v>0</v>
      </c>
      <c r="I68">
        <f>IF('Actuarial Science'!gpa_tf, G68*B68, G68*A68)</f>
        <v>0</v>
      </c>
      <c r="J68" s="46">
        <v>8</v>
      </c>
      <c r="K68" s="41"/>
      <c r="L68" s="41" t="s">
        <v>318</v>
      </c>
      <c r="M68" s="24">
        <v>3</v>
      </c>
      <c r="N68" s="24" t="str">
        <v>GH</v>
      </c>
      <c r="O68" s="41"/>
      <c r="P68" s="48"/>
      <c r="AB68" s="120" t="s">
        <v>319</v>
      </c>
      <c r="AC68" s="38" t="s">
        <v>320</v>
      </c>
      <c r="AD68" s="24" t="b">
        <f t="shared" ref="AD68:AD73" si="136">NOT(ISERROR(MATCH(AC68,schedule_courses,0)))</f>
        <v>0</v>
      </c>
      <c r="AE68" s="24" t="str">
        <f t="shared" ref="AE68:AE73" si="137">IF(AX68,0,IFERROR(INDEX(schedule_semester,MATCH(AC68,schedule_courses,0)), ""))</f>
        <v/>
      </c>
      <c r="AF68" s="24" t="str">
        <f t="shared" ref="AF68:AF73" si="138">IF(ISNA(MATCH(AC68, $R$6:$R$7, 0)), "", $R$3)</f>
        <v/>
      </c>
      <c r="AG68" s="24" t="str">
        <f t="shared" si="127"/>
        <v/>
      </c>
      <c r="AH68" s="24"/>
      <c r="AI68" s="7" t="str">
        <f t="shared" si="128"/>
        <v/>
      </c>
      <c r="AJ68" s="24" t="str">
        <f t="shared" si="129"/>
        <v/>
      </c>
      <c r="AK68" s="24"/>
      <c r="AL68" s="24" t="str">
        <f t="shared" si="130"/>
        <v/>
      </c>
      <c r="AM68" s="24"/>
      <c r="AN68" s="24" t="str">
        <f t="shared" ref="AN68:AN73" si="139">IFERROR(IF(AM68, INDEX(grade_number, MATCH(INDEX(schedule_grades, MATCH(AC68, schedule_courses, 0)), grade_letter, 0))&gt;=2, ""), "")</f>
        <v/>
      </c>
      <c r="AO68" s="24">
        <v>3</v>
      </c>
      <c r="AP68" s="24"/>
      <c r="AQ68" s="24" t="str">
        <f t="shared" si="121"/>
        <v/>
      </c>
      <c r="AR68" s="24" t="str">
        <f t="shared" si="122"/>
        <v/>
      </c>
      <c r="AS68" s="24" t="str">
        <f t="shared" si="131"/>
        <v/>
      </c>
      <c r="AT68" s="24"/>
      <c r="AU68" s="24" t="str">
        <f t="shared" si="123"/>
        <v/>
      </c>
      <c r="AV68" s="24" t="str">
        <f t="shared" si="124"/>
        <v/>
      </c>
      <c r="AW68" s="24" t="str">
        <f t="shared" si="132"/>
        <v/>
      </c>
      <c r="AX68" s="41"/>
      <c r="AY68" s="24" t="s">
        <v>154</v>
      </c>
      <c r="AZ68" s="15"/>
      <c r="BD68" s="237" t="s">
        <v>321</v>
      </c>
    </row>
    <row r="69" spans="1:57">
      <c r="A69">
        <v>0</v>
      </c>
      <c r="B69">
        <v>0</v>
      </c>
      <c r="C69">
        <v>0</v>
      </c>
      <c r="D69">
        <f t="shared" si="125"/>
        <v>0</v>
      </c>
      <c r="E69">
        <f t="shared" si="133"/>
        <v>0</v>
      </c>
      <c r="F69">
        <f t="shared" si="126"/>
        <v>0</v>
      </c>
      <c r="G69">
        <f t="shared" si="134"/>
        <v>0</v>
      </c>
      <c r="H69">
        <f t="shared" si="135"/>
        <v>0</v>
      </c>
      <c r="I69">
        <f>IF('Actuarial Science'!gpa_tf, G69*B69, G69*A69)</f>
        <v>0</v>
      </c>
      <c r="J69" s="46">
        <v>8</v>
      </c>
      <c r="K69" s="41"/>
      <c r="L69" s="41"/>
      <c r="M69" s="24" t="str">
        <v/>
      </c>
      <c r="N69" s="24" t="str">
        <v/>
      </c>
      <c r="O69" s="41"/>
      <c r="P69" s="48"/>
      <c r="AB69" s="70">
        <v>2</v>
      </c>
      <c r="AC69" s="33" t="s">
        <v>322</v>
      </c>
      <c r="AD69" s="24" t="b">
        <f t="shared" si="136"/>
        <v>0</v>
      </c>
      <c r="AE69" s="24" t="str">
        <f t="shared" si="137"/>
        <v/>
      </c>
      <c r="AF69" s="24" t="str">
        <f t="shared" si="138"/>
        <v/>
      </c>
      <c r="AG69" s="24" t="str">
        <f t="shared" si="127"/>
        <v/>
      </c>
      <c r="AH69" s="24"/>
      <c r="AI69" s="7" t="str">
        <f t="shared" si="128"/>
        <v/>
      </c>
      <c r="AJ69" s="24" t="str">
        <f t="shared" si="129"/>
        <v/>
      </c>
      <c r="AK69" s="24"/>
      <c r="AL69" s="24" t="str">
        <f t="shared" si="130"/>
        <v/>
      </c>
      <c r="AM69" s="24"/>
      <c r="AN69" s="24" t="str">
        <f t="shared" si="139"/>
        <v/>
      </c>
      <c r="AO69" s="29">
        <v>3</v>
      </c>
      <c r="AP69" s="24" t="s">
        <v>103</v>
      </c>
      <c r="AQ69" s="24" t="b">
        <f t="shared" si="121"/>
        <v>1</v>
      </c>
      <c r="AR69" s="24">
        <f t="shared" si="122"/>
        <v>1</v>
      </c>
      <c r="AS69" s="24" t="b">
        <f t="shared" si="131"/>
        <v>1</v>
      </c>
      <c r="AT69" s="24"/>
      <c r="AU69" s="24" t="str">
        <f t="shared" si="123"/>
        <v/>
      </c>
      <c r="AV69" s="24" t="str">
        <f t="shared" si="124"/>
        <v/>
      </c>
      <c r="AW69" s="24" t="str">
        <f t="shared" si="132"/>
        <v/>
      </c>
      <c r="AX69" s="41"/>
      <c r="AY69" s="24"/>
      <c r="AZ69" s="15"/>
      <c r="BD69" s="33" t="b">
        <v>1</v>
      </c>
    </row>
    <row r="70" spans="1:57">
      <c r="A70">
        <v>0</v>
      </c>
      <c r="B70">
        <v>0</v>
      </c>
      <c r="C70">
        <v>0</v>
      </c>
      <c r="D70">
        <f t="shared" si="125"/>
        <v>0</v>
      </c>
      <c r="E70">
        <f t="shared" si="133"/>
        <v>0</v>
      </c>
      <c r="F70">
        <f t="shared" si="126"/>
        <v>0</v>
      </c>
      <c r="G70">
        <f t="shared" si="134"/>
        <v>0</v>
      </c>
      <c r="H70">
        <f t="shared" si="135"/>
        <v>0</v>
      </c>
      <c r="I70">
        <f>IF('Actuarial Science'!gpa_tf, G70*B70, G70*A70)</f>
        <v>0</v>
      </c>
      <c r="J70" s="46">
        <v>8</v>
      </c>
      <c r="K70" s="41"/>
      <c r="L70" s="41"/>
      <c r="M70" s="24" t="str">
        <v/>
      </c>
      <c r="N70" s="24" t="str">
        <v/>
      </c>
      <c r="O70" s="41"/>
      <c r="P70" s="48"/>
      <c r="AB70" s="14"/>
      <c r="AC70" s="33" t="s">
        <v>323</v>
      </c>
      <c r="AD70" s="24" t="b">
        <f t="shared" si="136"/>
        <v>0</v>
      </c>
      <c r="AE70" s="24" t="str">
        <f t="shared" si="137"/>
        <v/>
      </c>
      <c r="AF70" s="24" t="str">
        <f t="shared" si="138"/>
        <v/>
      </c>
      <c r="AG70" s="24" t="str">
        <f t="shared" si="127"/>
        <v/>
      </c>
      <c r="AH70" s="24"/>
      <c r="AI70" s="7" t="str">
        <f t="shared" si="128"/>
        <v/>
      </c>
      <c r="AJ70" s="24" t="str">
        <f t="shared" si="129"/>
        <v/>
      </c>
      <c r="AK70" s="24"/>
      <c r="AL70" s="24" t="str">
        <f t="shared" si="130"/>
        <v/>
      </c>
      <c r="AM70" s="24"/>
      <c r="AN70" s="24" t="str">
        <f t="shared" si="139"/>
        <v/>
      </c>
      <c r="AO70" s="29">
        <v>3</v>
      </c>
      <c r="AP70" s="24" t="s">
        <v>187</v>
      </c>
      <c r="AQ70" s="24" t="b">
        <f t="shared" si="121"/>
        <v>1</v>
      </c>
      <c r="AR70" s="24">
        <f t="shared" si="122"/>
        <v>3</v>
      </c>
      <c r="AS70" s="24" t="b">
        <f t="shared" si="131"/>
        <v>1</v>
      </c>
      <c r="AT70" s="24"/>
      <c r="AU70" s="24" t="str">
        <f t="shared" si="123"/>
        <v/>
      </c>
      <c r="AV70" s="24" t="str">
        <f t="shared" si="124"/>
        <v/>
      </c>
      <c r="AW70" s="24" t="str">
        <f t="shared" si="132"/>
        <v/>
      </c>
      <c r="AX70" s="41"/>
      <c r="AY70" s="24"/>
      <c r="AZ70" s="15"/>
      <c r="BD70" s="34" t="b">
        <v>0</v>
      </c>
    </row>
    <row r="71" spans="1:57">
      <c r="A71">
        <v>0</v>
      </c>
      <c r="B71">
        <v>0</v>
      </c>
      <c r="C71">
        <v>0</v>
      </c>
      <c r="D71">
        <f t="shared" si="125"/>
        <v>0</v>
      </c>
      <c r="E71">
        <f t="shared" si="133"/>
        <v>0</v>
      </c>
      <c r="F71">
        <f t="shared" si="126"/>
        <v>0</v>
      </c>
      <c r="G71">
        <f t="shared" si="134"/>
        <v>0</v>
      </c>
      <c r="H71">
        <f t="shared" si="135"/>
        <v>0</v>
      </c>
      <c r="I71">
        <f>IF('Actuarial Science'!gpa_tf, G71*B71, G71*A71)</f>
        <v>0</v>
      </c>
      <c r="J71" s="46">
        <v>8</v>
      </c>
      <c r="K71" s="41"/>
      <c r="L71" s="41"/>
      <c r="M71" s="24" t="str">
        <v/>
      </c>
      <c r="N71" s="24" t="str">
        <v/>
      </c>
      <c r="O71" s="41"/>
      <c r="P71" s="48"/>
      <c r="AB71" s="14"/>
      <c r="AC71" s="33" t="s">
        <v>324</v>
      </c>
      <c r="AD71" s="24" t="b">
        <f t="shared" si="136"/>
        <v>0</v>
      </c>
      <c r="AE71" s="24" t="str">
        <f t="shared" si="137"/>
        <v/>
      </c>
      <c r="AF71" s="24" t="str">
        <f t="shared" si="138"/>
        <v/>
      </c>
      <c r="AG71" s="24" t="str">
        <f t="shared" si="127"/>
        <v/>
      </c>
      <c r="AH71" s="24"/>
      <c r="AI71" s="7" t="str">
        <f t="shared" si="128"/>
        <v/>
      </c>
      <c r="AJ71" s="24" t="str">
        <f t="shared" si="129"/>
        <v/>
      </c>
      <c r="AK71" s="24"/>
      <c r="AL71" s="24" t="str">
        <f t="shared" si="130"/>
        <v/>
      </c>
      <c r="AM71" s="24"/>
      <c r="AN71" s="24" t="str">
        <f t="shared" si="139"/>
        <v/>
      </c>
      <c r="AO71" s="29">
        <v>3</v>
      </c>
      <c r="AP71" s="29" t="s">
        <v>103</v>
      </c>
      <c r="AQ71" s="29" t="b">
        <f t="shared" si="121"/>
        <v>1</v>
      </c>
      <c r="AR71" s="29">
        <f t="shared" si="122"/>
        <v>1</v>
      </c>
      <c r="AS71" s="29" t="b">
        <f t="shared" si="131"/>
        <v>1</v>
      </c>
      <c r="AT71" s="24"/>
      <c r="AU71" s="24" t="str">
        <f t="shared" si="123"/>
        <v/>
      </c>
      <c r="AV71" s="24" t="str">
        <f t="shared" si="124"/>
        <v/>
      </c>
      <c r="AW71" s="24" t="str">
        <f t="shared" si="132"/>
        <v/>
      </c>
      <c r="AX71" s="41"/>
      <c r="AY71" s="24"/>
      <c r="AZ71" s="15"/>
      <c r="BD71" s="24"/>
    </row>
    <row r="72" spans="1:57">
      <c r="A72">
        <v>0</v>
      </c>
      <c r="B72">
        <v>0</v>
      </c>
      <c r="C72">
        <v>0</v>
      </c>
      <c r="D72">
        <f t="shared" si="125"/>
        <v>0</v>
      </c>
      <c r="E72">
        <f t="shared" si="133"/>
        <v>0</v>
      </c>
      <c r="F72">
        <f t="shared" si="126"/>
        <v>0</v>
      </c>
      <c r="G72">
        <f t="shared" si="134"/>
        <v>0</v>
      </c>
      <c r="H72">
        <f t="shared" si="135"/>
        <v>0</v>
      </c>
      <c r="I72">
        <f>IF('Actuarial Science'!gpa_tf, G72*B72, G72*A72)</f>
        <v>0</v>
      </c>
      <c r="J72" s="46">
        <v>8</v>
      </c>
      <c r="K72" s="41"/>
      <c r="L72" s="41"/>
      <c r="M72" s="24" t="str">
        <v/>
      </c>
      <c r="N72" s="24" t="str">
        <v/>
      </c>
      <c r="O72" s="41"/>
      <c r="P72" s="48"/>
      <c r="AB72" s="14"/>
      <c r="AC72" s="33" t="s">
        <v>187</v>
      </c>
      <c r="AD72" s="24" t="b">
        <f t="shared" si="136"/>
        <v>1</v>
      </c>
      <c r="AE72" s="24">
        <f t="shared" si="137"/>
        <v>3</v>
      </c>
      <c r="AF72" s="24" t="str">
        <f t="shared" si="138"/>
        <v/>
      </c>
      <c r="AG72" s="24" t="b">
        <f t="shared" si="127"/>
        <v>1</v>
      </c>
      <c r="AH72" s="24"/>
      <c r="AI72" s="7" t="b">
        <f t="shared" si="128"/>
        <v>1</v>
      </c>
      <c r="AJ72" s="24">
        <f t="shared" si="129"/>
        <v>1</v>
      </c>
      <c r="AK72" s="24"/>
      <c r="AL72" s="24" t="str">
        <f t="shared" si="130"/>
        <v/>
      </c>
      <c r="AM72" s="24"/>
      <c r="AN72" s="24" t="str">
        <f t="shared" si="139"/>
        <v/>
      </c>
      <c r="AO72" s="29">
        <v>3</v>
      </c>
      <c r="AP72" s="24"/>
      <c r="AQ72" s="24" t="str">
        <f t="shared" si="121"/>
        <v/>
      </c>
      <c r="AR72" s="24" t="str">
        <f t="shared" si="122"/>
        <v/>
      </c>
      <c r="AS72" s="24" t="str">
        <f t="shared" si="131"/>
        <v/>
      </c>
      <c r="AT72" s="24" t="s">
        <v>167</v>
      </c>
      <c r="AU72" s="24" t="b">
        <f t="shared" si="123"/>
        <v>1</v>
      </c>
      <c r="AV72" s="24">
        <f t="shared" si="124"/>
        <v>0</v>
      </c>
      <c r="AW72" s="24" t="b">
        <f t="shared" si="132"/>
        <v>1</v>
      </c>
      <c r="AX72" s="41"/>
      <c r="AY72" s="24"/>
      <c r="AZ72" s="15"/>
      <c r="BD72" s="36" t="s">
        <v>325</v>
      </c>
    </row>
    <row r="73" spans="1:57">
      <c r="A73">
        <v>0</v>
      </c>
      <c r="B73">
        <v>0</v>
      </c>
      <c r="C73">
        <v>0</v>
      </c>
      <c r="D73">
        <f t="shared" si="125"/>
        <v>0</v>
      </c>
      <c r="E73">
        <f t="shared" si="133"/>
        <v>0</v>
      </c>
      <c r="F73">
        <f t="shared" si="126"/>
        <v>0</v>
      </c>
      <c r="G73">
        <f t="shared" si="134"/>
        <v>0</v>
      </c>
      <c r="H73">
        <f t="shared" si="135"/>
        <v>0</v>
      </c>
      <c r="I73">
        <f>IF('Actuarial Science'!gpa_tf, G73*B73, G73*A73)</f>
        <v>0</v>
      </c>
      <c r="J73" s="47">
        <v>8</v>
      </c>
      <c r="K73" s="43"/>
      <c r="L73" s="43"/>
      <c r="M73" s="10" t="str">
        <v/>
      </c>
      <c r="N73" s="10" t="str">
        <v/>
      </c>
      <c r="O73" s="43"/>
      <c r="P73" s="49"/>
      <c r="AB73" s="14"/>
      <c r="AC73" s="34" t="s">
        <v>227</v>
      </c>
      <c r="AD73" s="24" t="b">
        <f t="shared" si="136"/>
        <v>1</v>
      </c>
      <c r="AE73" s="24">
        <f t="shared" si="137"/>
        <v>4</v>
      </c>
      <c r="AF73" s="24" t="str">
        <f t="shared" si="138"/>
        <v/>
      </c>
      <c r="AG73" s="24" t="b">
        <f t="shared" si="127"/>
        <v>1</v>
      </c>
      <c r="AH73" s="24"/>
      <c r="AI73" s="7" t="b">
        <f t="shared" si="128"/>
        <v>1</v>
      </c>
      <c r="AJ73" s="24">
        <f t="shared" si="129"/>
        <v>2</v>
      </c>
      <c r="AK73" s="24"/>
      <c r="AL73" s="24" t="str">
        <f t="shared" si="130"/>
        <v/>
      </c>
      <c r="AM73" s="24"/>
      <c r="AN73" s="24" t="str">
        <f t="shared" si="139"/>
        <v/>
      </c>
      <c r="AO73" s="29">
        <v>3</v>
      </c>
      <c r="AP73" s="29" t="s">
        <v>187</v>
      </c>
      <c r="AQ73" s="29" t="b">
        <f t="shared" si="121"/>
        <v>1</v>
      </c>
      <c r="AR73" s="29">
        <f t="shared" si="122"/>
        <v>3</v>
      </c>
      <c r="AS73" s="29" t="b">
        <f t="shared" si="131"/>
        <v>1</v>
      </c>
      <c r="AT73" s="24"/>
      <c r="AU73" s="24" t="str">
        <f t="shared" si="123"/>
        <v/>
      </c>
      <c r="AV73" s="24" t="str">
        <f t="shared" si="124"/>
        <v/>
      </c>
      <c r="AW73" s="24" t="str">
        <f t="shared" si="132"/>
        <v/>
      </c>
      <c r="AX73" s="41"/>
      <c r="AY73" s="24"/>
      <c r="AZ73" s="15"/>
      <c r="BD73" s="33" t="s">
        <v>228</v>
      </c>
    </row>
    <row r="74" spans="1:57">
      <c r="A74">
        <v>0</v>
      </c>
      <c r="B74">
        <v>1</v>
      </c>
      <c r="C74">
        <v>1</v>
      </c>
      <c r="D74">
        <f t="shared" si="125"/>
        <v>0</v>
      </c>
      <c r="E74">
        <f t="shared" si="133"/>
        <v>0</v>
      </c>
      <c r="F74">
        <f t="shared" si="126"/>
        <v>0</v>
      </c>
      <c r="G74">
        <f t="shared" si="134"/>
        <v>0</v>
      </c>
      <c r="H74">
        <f t="shared" si="135"/>
        <v>0</v>
      </c>
      <c r="I74">
        <f>IF('Actuarial Science'!gpa_tf, G74*B74, G74*A74)</f>
        <v>0</v>
      </c>
      <c r="J74" s="169"/>
      <c r="K74" s="51"/>
      <c r="L74" s="51"/>
      <c r="M74" s="55" t="str">
        <v/>
      </c>
      <c r="N74" s="55" t="str">
        <v/>
      </c>
      <c r="O74" s="51"/>
      <c r="P74" s="52"/>
      <c r="AB74" s="16" t="s">
        <v>326</v>
      </c>
      <c r="AC74" s="29"/>
      <c r="AD74" s="29"/>
      <c r="AE74" s="24"/>
      <c r="AF74" s="24"/>
      <c r="AG74" s="24"/>
      <c r="AH74" s="24"/>
      <c r="AI74" s="7"/>
      <c r="AJ74" s="24"/>
      <c r="AK74" s="24"/>
      <c r="AL74" s="24"/>
      <c r="AM74" s="24"/>
      <c r="AN74" s="24"/>
      <c r="AO74" s="29"/>
      <c r="AP74" s="24"/>
      <c r="AQ74" s="24" t="str">
        <f t="shared" si="121"/>
        <v/>
      </c>
      <c r="AR74" s="24" t="str">
        <f t="shared" si="122"/>
        <v/>
      </c>
      <c r="AS74" s="24" t="str">
        <f t="shared" si="131"/>
        <v/>
      </c>
      <c r="AT74" s="24"/>
      <c r="AU74" s="24" t="str">
        <f t="shared" si="123"/>
        <v/>
      </c>
      <c r="AV74" s="24" t="str">
        <f t="shared" si="124"/>
        <v/>
      </c>
      <c r="AW74" s="24" t="str">
        <f t="shared" si="132"/>
        <v/>
      </c>
      <c r="AX74" s="41"/>
      <c r="AY74" s="24"/>
      <c r="AZ74" s="15"/>
      <c r="BD74" s="34" t="s">
        <v>232</v>
      </c>
    </row>
    <row r="75" spans="1:57">
      <c r="A75">
        <v>0</v>
      </c>
      <c r="B75">
        <v>1</v>
      </c>
      <c r="C75">
        <v>1</v>
      </c>
      <c r="D75">
        <f t="shared" si="125"/>
        <v>0</v>
      </c>
      <c r="E75">
        <f t="shared" si="133"/>
        <v>0</v>
      </c>
      <c r="F75">
        <f t="shared" si="126"/>
        <v>0</v>
      </c>
      <c r="G75">
        <f t="shared" si="134"/>
        <v>0</v>
      </c>
      <c r="H75">
        <f t="shared" si="135"/>
        <v>0</v>
      </c>
      <c r="I75">
        <f>IF('Actuarial Science'!gpa_tf, G75*B75, G75*A75)</f>
        <v>0</v>
      </c>
      <c r="J75" s="170"/>
      <c r="K75" s="41"/>
      <c r="L75" s="41"/>
      <c r="M75" s="24" t="str">
        <v/>
      </c>
      <c r="N75" s="24" t="str">
        <v/>
      </c>
      <c r="O75" s="41"/>
      <c r="P75" s="48"/>
      <c r="AB75" s="63" cm="1">
        <f t="array" ref="AB75">SUM(IF(ISNA(MATCH(AC68:AC73,'Actuarial Science'!schedule_courses,0)),0,1))</f>
        <v>2</v>
      </c>
      <c r="AC75" s="29"/>
      <c r="AD75" s="29"/>
      <c r="AE75" s="24"/>
      <c r="AF75" s="24"/>
      <c r="AG75" s="24"/>
      <c r="AH75" s="24"/>
      <c r="AI75" s="7"/>
      <c r="AJ75" s="24"/>
      <c r="AK75" s="24"/>
      <c r="AL75" s="24"/>
      <c r="AM75" s="24"/>
      <c r="AN75" s="24"/>
      <c r="AO75" s="29"/>
      <c r="AP75" s="24"/>
      <c r="AQ75" s="24" t="str">
        <f t="shared" ref="AQ75:AQ97" si="140">IF(AP75=0,"",NOT(ISERROR(MATCH(AP75,schedule_courses,0))))</f>
        <v/>
      </c>
      <c r="AR75" s="24" t="str">
        <f t="shared" ref="AR75:AR97" si="141">IF(IFERROR(INDEX(req_tr_AP_credit, MATCH(AP75, req_course,0)), FALSE),0,IFERROR(INDEX(schedule_semester,MATCH(AP75,schedule_courses,0)), ""))</f>
        <v/>
      </c>
      <c r="AS75" s="24" t="str">
        <f t="shared" si="131"/>
        <v/>
      </c>
      <c r="AT75" s="24"/>
      <c r="AU75" s="24" t="str">
        <f t="shared" ref="AU75:AU97" si="142">IF(AT75=0,"",NOT(ISERROR(MATCH(AT75,schedule_courses,0))))</f>
        <v/>
      </c>
      <c r="AV75" s="24" t="str">
        <f t="shared" ref="AV75:AV97" si="143">IF(IFERROR(INDEX(req_tr_AP_credit, MATCH(AT75, req_course)), FALSE),0,IFERROR(INDEX(schedule_semester,MATCH(AT75,schedule_courses,0)), ""))</f>
        <v/>
      </c>
      <c r="AW75" s="24" t="str">
        <f t="shared" si="132"/>
        <v/>
      </c>
      <c r="AX75" s="41"/>
      <c r="AY75" s="24"/>
      <c r="AZ75" s="15"/>
      <c r="BD75" s="24"/>
    </row>
    <row r="76" spans="1:57">
      <c r="A76">
        <v>0</v>
      </c>
      <c r="B76">
        <v>1</v>
      </c>
      <c r="C76">
        <v>1</v>
      </c>
      <c r="D76">
        <f t="shared" si="125"/>
        <v>0</v>
      </c>
      <c r="E76">
        <f t="shared" si="133"/>
        <v>0</v>
      </c>
      <c r="F76">
        <f t="shared" si="126"/>
        <v>0</v>
      </c>
      <c r="G76">
        <f t="shared" si="134"/>
        <v>0</v>
      </c>
      <c r="H76">
        <f t="shared" si="135"/>
        <v>0</v>
      </c>
      <c r="I76">
        <f>IF('Actuarial Science'!gpa_tf, G76*B76, G76*A76)</f>
        <v>0</v>
      </c>
      <c r="J76" s="170"/>
      <c r="K76" s="41"/>
      <c r="L76" s="41"/>
      <c r="M76" s="24" t="str">
        <v/>
      </c>
      <c r="N76" s="24" t="str">
        <v/>
      </c>
      <c r="O76" s="41"/>
      <c r="P76" s="48"/>
      <c r="AB76" s="64" t="str">
        <f>IF(AB75&gt;=2, "Satisfied", "Not Satisfied")</f>
        <v>Satisfied</v>
      </c>
      <c r="AC76" s="29"/>
      <c r="AD76" s="29"/>
      <c r="AE76" s="24"/>
      <c r="AF76" s="24"/>
      <c r="AG76" s="24"/>
      <c r="AH76" s="24"/>
      <c r="AI76" s="7"/>
      <c r="AJ76" s="24"/>
      <c r="AK76" s="24"/>
      <c r="AL76" s="24"/>
      <c r="AM76" s="24"/>
      <c r="AN76" s="24"/>
      <c r="AO76" s="29"/>
      <c r="AP76" s="24"/>
      <c r="AQ76" s="24" t="str">
        <f t="shared" si="140"/>
        <v/>
      </c>
      <c r="AR76" s="24" t="str">
        <f t="shared" si="141"/>
        <v/>
      </c>
      <c r="AS76" s="24" t="str">
        <f t="shared" si="131"/>
        <v/>
      </c>
      <c r="AT76" s="24"/>
      <c r="AU76" s="24" t="str">
        <f t="shared" si="142"/>
        <v/>
      </c>
      <c r="AV76" s="24" t="str">
        <f t="shared" si="143"/>
        <v/>
      </c>
      <c r="AW76" s="24" t="str">
        <f t="shared" si="132"/>
        <v/>
      </c>
      <c r="AX76" s="41"/>
      <c r="AY76" s="24"/>
      <c r="AZ76" s="15"/>
      <c r="BD76" s="24"/>
    </row>
    <row r="77" spans="1:57">
      <c r="A77">
        <v>0</v>
      </c>
      <c r="B77">
        <v>1</v>
      </c>
      <c r="C77">
        <v>1</v>
      </c>
      <c r="D77">
        <f t="shared" si="125"/>
        <v>0</v>
      </c>
      <c r="E77">
        <f t="shared" si="133"/>
        <v>0</v>
      </c>
      <c r="F77">
        <f t="shared" si="126"/>
        <v>0</v>
      </c>
      <c r="G77">
        <f t="shared" si="134"/>
        <v>0</v>
      </c>
      <c r="H77">
        <f t="shared" si="135"/>
        <v>0</v>
      </c>
      <c r="I77">
        <f>IF('Actuarial Science'!gpa_tf, G77*B77, G77*A77)</f>
        <v>0</v>
      </c>
      <c r="J77" s="170"/>
      <c r="K77" s="41"/>
      <c r="L77" s="41"/>
      <c r="M77" s="24" t="str">
        <v/>
      </c>
      <c r="N77" s="24" t="str">
        <v/>
      </c>
      <c r="O77" s="41"/>
      <c r="P77" s="48"/>
      <c r="AB77" s="16"/>
      <c r="AC77" s="29"/>
      <c r="AD77" s="29"/>
      <c r="AE77" s="24"/>
      <c r="AF77" s="24"/>
      <c r="AG77" s="24"/>
      <c r="AH77" s="24"/>
      <c r="AI77" s="7"/>
      <c r="AJ77" s="24"/>
      <c r="AK77" s="24"/>
      <c r="AL77" s="24"/>
      <c r="AM77" s="24"/>
      <c r="AN77" s="24"/>
      <c r="AO77" s="29"/>
      <c r="AP77" s="24"/>
      <c r="AQ77" s="24" t="str">
        <f t="shared" si="140"/>
        <v/>
      </c>
      <c r="AR77" s="24" t="str">
        <f t="shared" si="141"/>
        <v/>
      </c>
      <c r="AS77" s="24" t="str">
        <f t="shared" si="131"/>
        <v/>
      </c>
      <c r="AT77" s="24"/>
      <c r="AU77" s="24" t="str">
        <f t="shared" si="142"/>
        <v/>
      </c>
      <c r="AV77" s="24" t="str">
        <f t="shared" si="143"/>
        <v/>
      </c>
      <c r="AW77" s="24" t="str">
        <f t="shared" si="132"/>
        <v/>
      </c>
      <c r="AX77" s="41"/>
      <c r="AY77" s="24"/>
      <c r="AZ77" s="15"/>
      <c r="BD77" s="24"/>
    </row>
    <row r="78" spans="1:57" ht="31.2">
      <c r="A78">
        <v>0</v>
      </c>
      <c r="B78">
        <v>1</v>
      </c>
      <c r="C78">
        <v>1</v>
      </c>
      <c r="D78">
        <f t="shared" si="125"/>
        <v>0</v>
      </c>
      <c r="E78">
        <f t="shared" si="133"/>
        <v>0</v>
      </c>
      <c r="F78">
        <f t="shared" si="126"/>
        <v>0</v>
      </c>
      <c r="G78">
        <f t="shared" si="134"/>
        <v>0</v>
      </c>
      <c r="H78">
        <f t="shared" si="135"/>
        <v>0</v>
      </c>
      <c r="I78">
        <f>IF('Actuarial Science'!gpa_tf, G78*B78, G78*A78)</f>
        <v>0</v>
      </c>
      <c r="J78" s="170"/>
      <c r="K78" s="41"/>
      <c r="L78" s="41"/>
      <c r="M78" s="24" t="str">
        <v/>
      </c>
      <c r="N78" s="24" t="str">
        <v/>
      </c>
      <c r="O78" s="41"/>
      <c r="P78" s="48"/>
      <c r="AB78" s="120" t="s">
        <v>327</v>
      </c>
      <c r="AC78" s="62" t="s">
        <v>266</v>
      </c>
      <c r="AD78" s="29" t="b">
        <f t="shared" ref="AD78:AD96" si="144">NOT(ISERROR(MATCH(AC78,schedule_courses,0)))</f>
        <v>0</v>
      </c>
      <c r="AE78" s="24" t="str">
        <f t="shared" ref="AE78:AE96" si="145">IF(AX78,0,IFERROR(INDEX(schedule_semester,MATCH(AC78,schedule_courses,0)), ""))</f>
        <v/>
      </c>
      <c r="AF78" s="24" t="str">
        <f t="shared" ref="AF78:AF96" si="146">IF(ISNA(MATCH(AC78, $R$6:$R$7, 0)), "", $R$3)</f>
        <v/>
      </c>
      <c r="AG78" s="24" t="str">
        <f t="shared" ref="AG78:AG96" si="147">IF(AE78="", "", AE78&lt;AF78)</f>
        <v/>
      </c>
      <c r="AH78" s="24"/>
      <c r="AI78" s="7" t="str">
        <f t="shared" ref="AI78:AI96" si="148">IF(AE78="", "", AE78&gt;=AH78)</f>
        <v/>
      </c>
      <c r="AJ78" s="24" t="str">
        <f t="shared" ref="AJ78:AJ96" si="149">IF(AE78="","",IF(MOD(AE78,2)=0,2,1))</f>
        <v/>
      </c>
      <c r="AK78" s="24"/>
      <c r="AL78" s="24" t="str">
        <f t="shared" ref="AL78:AL96" si="150">IF(AK78&lt;&gt;0, AK78&lt;&gt;AJ78, "")</f>
        <v/>
      </c>
      <c r="AM78" s="24"/>
      <c r="AN78" s="24" t="str">
        <f t="shared" ref="AN78:AN96" si="151">IFERROR(IF(AM78, INDEX(grade_number, MATCH(INDEX(schedule_grades, MATCH(AC78, schedule_courses, 0)), grade_letter, 0))&gt;=2, ""), "")</f>
        <v/>
      </c>
      <c r="AO78" s="29">
        <v>3</v>
      </c>
      <c r="AP78" s="24" t="s">
        <v>167</v>
      </c>
      <c r="AQ78" s="24" t="b">
        <f t="shared" si="140"/>
        <v>1</v>
      </c>
      <c r="AR78" s="24">
        <f t="shared" si="141"/>
        <v>2</v>
      </c>
      <c r="AS78" s="24" t="b">
        <f t="shared" si="131"/>
        <v>1</v>
      </c>
      <c r="AT78" s="24"/>
      <c r="AU78" s="24" t="str">
        <f t="shared" si="142"/>
        <v/>
      </c>
      <c r="AV78" s="24" t="str">
        <f t="shared" si="143"/>
        <v/>
      </c>
      <c r="AW78" s="24" t="str">
        <f t="shared" si="132"/>
        <v/>
      </c>
      <c r="AX78" s="41"/>
      <c r="AY78" s="24"/>
      <c r="AZ78" s="15"/>
      <c r="BD78" s="24"/>
    </row>
    <row r="79" spans="1:57">
      <c r="A79">
        <v>0</v>
      </c>
      <c r="B79">
        <v>1</v>
      </c>
      <c r="C79">
        <v>1</v>
      </c>
      <c r="D79">
        <f t="shared" si="125"/>
        <v>0</v>
      </c>
      <c r="E79">
        <f t="shared" si="133"/>
        <v>0</v>
      </c>
      <c r="F79">
        <f t="shared" si="126"/>
        <v>0</v>
      </c>
      <c r="G79">
        <f t="shared" si="134"/>
        <v>0</v>
      </c>
      <c r="H79">
        <f t="shared" si="135"/>
        <v>0</v>
      </c>
      <c r="I79">
        <f>IF('Actuarial Science'!gpa_tf, G79*B79, G79*A79)</f>
        <v>0</v>
      </c>
      <c r="J79" s="170"/>
      <c r="K79" s="41"/>
      <c r="L79" s="41"/>
      <c r="M79" s="24" t="str">
        <v/>
      </c>
      <c r="N79" s="24" t="str">
        <v/>
      </c>
      <c r="O79" s="41"/>
      <c r="P79" s="48"/>
      <c r="AB79" s="70">
        <v>10</v>
      </c>
      <c r="AC79" s="66" t="s">
        <v>266</v>
      </c>
      <c r="AD79" s="29" t="b">
        <f t="shared" ref="AD79:AD89" si="152">NOT(ISERROR(MATCH(AC79,schedule_courses,0)))</f>
        <v>0</v>
      </c>
      <c r="AE79" s="24" t="str">
        <f t="shared" ref="AE79:AE89" si="153">IF(AX79,0,IFERROR(INDEX(schedule_semester,MATCH(AC79,schedule_courses,0)), ""))</f>
        <v/>
      </c>
      <c r="AF79" s="24" t="str">
        <f t="shared" ref="AF79:AF89" si="154">IF(ISNA(MATCH(AC79, $R$6:$R$7, 0)), "", $R$3)</f>
        <v/>
      </c>
      <c r="AG79" s="24" t="str">
        <f t="shared" ref="AG79:AG89" si="155">IF(AE79="", "", AE79&lt;AF79)</f>
        <v/>
      </c>
      <c r="AH79" s="24"/>
      <c r="AI79" s="7" t="str">
        <f t="shared" ref="AI79:AI89" si="156">IF(AE79="", "", AE79&gt;=AH79)</f>
        <v/>
      </c>
      <c r="AJ79" s="24" t="str">
        <f t="shared" ref="AJ79:AJ89" si="157">IF(AE79="","",IF(MOD(AE79,2)=0,2,1))</f>
        <v/>
      </c>
      <c r="AK79" s="24"/>
      <c r="AL79" s="24" t="str">
        <f t="shared" ref="AL79:AL89" si="158">IF(AK79&lt;&gt;0, AK79&lt;&gt;AJ79, "")</f>
        <v/>
      </c>
      <c r="AM79" s="24"/>
      <c r="AN79" s="24" t="str">
        <f t="shared" ref="AN79:AN89" si="159">IFERROR(IF(AM79, INDEX(grade_number, MATCH(INDEX(schedule_grades, MATCH(AC79, schedule_courses, 0)), grade_letter, 0))&gt;=2, ""), "")</f>
        <v/>
      </c>
      <c r="AO79" s="29">
        <v>3</v>
      </c>
      <c r="AP79" s="24" t="s">
        <v>187</v>
      </c>
      <c r="AQ79" s="24" t="b">
        <f t="shared" si="140"/>
        <v>1</v>
      </c>
      <c r="AR79" s="24">
        <f t="shared" si="141"/>
        <v>3</v>
      </c>
      <c r="AS79" s="24" t="b">
        <f t="shared" si="131"/>
        <v>1</v>
      </c>
      <c r="AT79" s="24"/>
      <c r="AU79" s="24" t="str">
        <f t="shared" si="142"/>
        <v/>
      </c>
      <c r="AV79" s="24" t="str">
        <f t="shared" si="143"/>
        <v/>
      </c>
      <c r="AW79" s="24" t="str">
        <f t="shared" si="132"/>
        <v/>
      </c>
      <c r="AX79" s="41"/>
      <c r="AY79" s="24"/>
      <c r="AZ79" s="15"/>
      <c r="BD79" s="73"/>
    </row>
    <row r="80" spans="1:57">
      <c r="A80">
        <v>0</v>
      </c>
      <c r="B80">
        <v>1</v>
      </c>
      <c r="C80">
        <v>1</v>
      </c>
      <c r="D80">
        <f t="shared" si="125"/>
        <v>0</v>
      </c>
      <c r="E80">
        <f t="shared" si="133"/>
        <v>0</v>
      </c>
      <c r="F80">
        <f t="shared" si="126"/>
        <v>0</v>
      </c>
      <c r="G80">
        <f t="shared" si="134"/>
        <v>0</v>
      </c>
      <c r="H80">
        <f t="shared" si="135"/>
        <v>0</v>
      </c>
      <c r="I80">
        <f>IF('Actuarial Science'!gpa_tf, G80*B80, G80*A80)</f>
        <v>0</v>
      </c>
      <c r="J80" s="170"/>
      <c r="K80" s="41"/>
      <c r="L80" s="41"/>
      <c r="M80" s="24" t="str">
        <v/>
      </c>
      <c r="N80" s="24" t="str">
        <v/>
      </c>
      <c r="O80" s="41"/>
      <c r="P80" s="48"/>
      <c r="AB80" s="14"/>
      <c r="AC80" s="39" t="s">
        <v>275</v>
      </c>
      <c r="AD80" s="29" t="b">
        <f t="shared" si="152"/>
        <v>1</v>
      </c>
      <c r="AE80" s="24">
        <f t="shared" si="153"/>
        <v>8</v>
      </c>
      <c r="AF80" s="24" t="str">
        <f t="shared" si="154"/>
        <v/>
      </c>
      <c r="AG80" s="24" t="b">
        <f t="shared" si="155"/>
        <v>1</v>
      </c>
      <c r="AH80" s="24"/>
      <c r="AI80" s="7" t="b">
        <f t="shared" si="156"/>
        <v>1</v>
      </c>
      <c r="AJ80" s="24">
        <f t="shared" si="157"/>
        <v>2</v>
      </c>
      <c r="AK80" s="24"/>
      <c r="AL80" s="24" t="str">
        <f t="shared" si="158"/>
        <v/>
      </c>
      <c r="AM80" s="24"/>
      <c r="AN80" s="24" t="str">
        <f t="shared" si="159"/>
        <v/>
      </c>
      <c r="AO80" s="29">
        <v>3</v>
      </c>
      <c r="AP80" s="24" t="s">
        <v>119</v>
      </c>
      <c r="AQ80" s="24" t="b">
        <f t="shared" si="140"/>
        <v>1</v>
      </c>
      <c r="AR80" s="24">
        <f t="shared" si="141"/>
        <v>1</v>
      </c>
      <c r="AS80" s="24" t="b">
        <f t="shared" si="131"/>
        <v>1</v>
      </c>
      <c r="AT80" s="24"/>
      <c r="AU80" s="24" t="str">
        <f t="shared" si="142"/>
        <v/>
      </c>
      <c r="AV80" s="24" t="str">
        <f t="shared" si="143"/>
        <v/>
      </c>
      <c r="AW80" s="24" t="str">
        <f t="shared" si="132"/>
        <v/>
      </c>
      <c r="AX80" s="41"/>
      <c r="AY80" s="24"/>
      <c r="AZ80" s="15"/>
      <c r="BD80" s="24"/>
    </row>
    <row r="81" spans="1:56">
      <c r="A81">
        <v>0</v>
      </c>
      <c r="B81">
        <v>1</v>
      </c>
      <c r="C81">
        <v>1</v>
      </c>
      <c r="D81">
        <f t="shared" si="125"/>
        <v>0</v>
      </c>
      <c r="E81">
        <f t="shared" si="133"/>
        <v>0</v>
      </c>
      <c r="F81">
        <f t="shared" si="126"/>
        <v>0</v>
      </c>
      <c r="G81">
        <f t="shared" si="134"/>
        <v>0</v>
      </c>
      <c r="H81">
        <f t="shared" si="135"/>
        <v>0</v>
      </c>
      <c r="I81">
        <f>IF('Actuarial Science'!gpa_tf, G81*B81, G81*A81)</f>
        <v>0</v>
      </c>
      <c r="J81" s="170"/>
      <c r="K81" s="41"/>
      <c r="L81" s="41"/>
      <c r="M81" s="24" t="str">
        <v/>
      </c>
      <c r="N81" s="24" t="str">
        <v/>
      </c>
      <c r="O81" s="41"/>
      <c r="P81" s="48"/>
      <c r="AB81" s="14"/>
      <c r="AC81" s="66" t="s">
        <v>275</v>
      </c>
      <c r="AD81" s="29" t="b">
        <f t="shared" si="152"/>
        <v>1</v>
      </c>
      <c r="AE81" s="24">
        <f t="shared" si="153"/>
        <v>8</v>
      </c>
      <c r="AF81" s="24" t="str">
        <f t="shared" si="154"/>
        <v/>
      </c>
      <c r="AG81" s="24" t="b">
        <f t="shared" si="155"/>
        <v>1</v>
      </c>
      <c r="AH81" s="24"/>
      <c r="AI81" s="7" t="b">
        <f t="shared" si="156"/>
        <v>1</v>
      </c>
      <c r="AJ81" s="24">
        <f t="shared" si="157"/>
        <v>2</v>
      </c>
      <c r="AK81" s="24"/>
      <c r="AL81" s="24" t="str">
        <f t="shared" si="158"/>
        <v/>
      </c>
      <c r="AM81" s="24"/>
      <c r="AN81" s="24" t="str">
        <f t="shared" si="159"/>
        <v/>
      </c>
      <c r="AO81" s="29">
        <v>3</v>
      </c>
      <c r="AP81" s="29" t="s">
        <v>163</v>
      </c>
      <c r="AQ81" s="29" t="b">
        <f t="shared" si="140"/>
        <v>1</v>
      </c>
      <c r="AR81" s="29">
        <f t="shared" si="141"/>
        <v>2</v>
      </c>
      <c r="AS81" s="29" t="b">
        <f t="shared" si="131"/>
        <v>1</v>
      </c>
      <c r="AT81" s="24"/>
      <c r="AU81" s="24" t="str">
        <f t="shared" si="142"/>
        <v/>
      </c>
      <c r="AV81" s="24" t="str">
        <f t="shared" si="143"/>
        <v/>
      </c>
      <c r="AW81" s="24" t="str">
        <f t="shared" si="132"/>
        <v/>
      </c>
      <c r="AX81" s="41"/>
      <c r="AY81" s="24"/>
      <c r="AZ81" s="15"/>
      <c r="BD81" s="24"/>
    </row>
    <row r="82" spans="1:56">
      <c r="A82">
        <v>0</v>
      </c>
      <c r="B82">
        <v>1</v>
      </c>
      <c r="C82">
        <v>1</v>
      </c>
      <c r="D82">
        <f t="shared" si="125"/>
        <v>0</v>
      </c>
      <c r="E82">
        <f t="shared" si="133"/>
        <v>0</v>
      </c>
      <c r="F82">
        <f t="shared" si="126"/>
        <v>0</v>
      </c>
      <c r="G82">
        <f t="shared" si="134"/>
        <v>0</v>
      </c>
      <c r="H82">
        <f t="shared" si="135"/>
        <v>0</v>
      </c>
      <c r="I82">
        <f>IF('Actuarial Science'!gpa_tf, G82*B82, G82*A82)</f>
        <v>0</v>
      </c>
      <c r="J82" s="171"/>
      <c r="K82" s="43"/>
      <c r="L82" s="43"/>
      <c r="M82" s="10" t="str">
        <v/>
      </c>
      <c r="N82" s="10" t="str">
        <v/>
      </c>
      <c r="O82" s="43"/>
      <c r="P82" s="49"/>
      <c r="AB82" s="14"/>
      <c r="AC82" s="66" t="s">
        <v>275</v>
      </c>
      <c r="AD82" s="29" t="b">
        <f t="shared" si="152"/>
        <v>1</v>
      </c>
      <c r="AE82" s="24">
        <f t="shared" si="153"/>
        <v>8</v>
      </c>
      <c r="AF82" s="24" t="str">
        <f t="shared" si="154"/>
        <v/>
      </c>
      <c r="AG82" s="24" t="b">
        <f t="shared" si="155"/>
        <v>1</v>
      </c>
      <c r="AH82" s="24"/>
      <c r="AI82" s="7" t="b">
        <f t="shared" si="156"/>
        <v>1</v>
      </c>
      <c r="AJ82" s="24">
        <f t="shared" si="157"/>
        <v>2</v>
      </c>
      <c r="AK82" s="24"/>
      <c r="AL82" s="24" t="str">
        <f t="shared" si="158"/>
        <v/>
      </c>
      <c r="AM82" s="24"/>
      <c r="AN82" s="24" t="str">
        <f t="shared" si="159"/>
        <v/>
      </c>
      <c r="AO82" s="29">
        <v>3</v>
      </c>
      <c r="AP82" s="29" t="s">
        <v>227</v>
      </c>
      <c r="AQ82" s="29" t="b">
        <f t="shared" si="140"/>
        <v>1</v>
      </c>
      <c r="AR82" s="29">
        <f t="shared" si="141"/>
        <v>4</v>
      </c>
      <c r="AS82" s="29" t="b">
        <f t="shared" si="131"/>
        <v>1</v>
      </c>
      <c r="AT82" s="24"/>
      <c r="AU82" s="24" t="str">
        <f t="shared" si="142"/>
        <v/>
      </c>
      <c r="AV82" s="24" t="str">
        <f t="shared" si="143"/>
        <v/>
      </c>
      <c r="AW82" s="24" t="str">
        <f t="shared" si="132"/>
        <v/>
      </c>
      <c r="AX82" s="41"/>
      <c r="AY82" s="24"/>
      <c r="AZ82" s="15"/>
      <c r="BD82" s="24"/>
    </row>
    <row r="83" spans="1:56">
      <c r="AB83" s="14"/>
      <c r="AC83" s="39" t="s">
        <v>328</v>
      </c>
      <c r="AD83" s="29" t="b">
        <f t="shared" si="152"/>
        <v>0</v>
      </c>
      <c r="AE83" s="24" t="str">
        <f t="shared" si="153"/>
        <v/>
      </c>
      <c r="AF83" s="24" t="str">
        <f t="shared" si="154"/>
        <v/>
      </c>
      <c r="AG83" s="24" t="str">
        <f t="shared" si="155"/>
        <v/>
      </c>
      <c r="AH83" s="24"/>
      <c r="AI83" s="7" t="str">
        <f t="shared" si="156"/>
        <v/>
      </c>
      <c r="AJ83" s="24" t="str">
        <f t="shared" si="157"/>
        <v/>
      </c>
      <c r="AK83" s="24"/>
      <c r="AL83" s="24" t="str">
        <f t="shared" si="158"/>
        <v/>
      </c>
      <c r="AM83" s="24"/>
      <c r="AN83" s="24" t="str">
        <f t="shared" si="159"/>
        <v/>
      </c>
      <c r="AO83" s="29">
        <v>3</v>
      </c>
      <c r="AP83" s="29" t="s">
        <v>119</v>
      </c>
      <c r="AQ83" s="29" t="b">
        <f t="shared" si="140"/>
        <v>1</v>
      </c>
      <c r="AR83" s="29">
        <f t="shared" si="141"/>
        <v>1</v>
      </c>
      <c r="AS83" s="29" t="b">
        <f t="shared" si="131"/>
        <v>1</v>
      </c>
      <c r="AT83" s="24"/>
      <c r="AU83" s="24" t="str">
        <f t="shared" si="142"/>
        <v/>
      </c>
      <c r="AV83" s="24" t="str">
        <f t="shared" si="143"/>
        <v/>
      </c>
      <c r="AW83" s="24" t="str">
        <f t="shared" si="132"/>
        <v/>
      </c>
      <c r="AX83" s="41"/>
      <c r="AY83" s="24"/>
      <c r="AZ83" s="15"/>
      <c r="BD83" s="24"/>
    </row>
    <row r="84" spans="1:56">
      <c r="AB84" s="14"/>
      <c r="AC84" s="39" t="s">
        <v>329</v>
      </c>
      <c r="AD84" s="29" t="b">
        <f t="shared" si="152"/>
        <v>0</v>
      </c>
      <c r="AE84" s="24" t="str">
        <f t="shared" si="153"/>
        <v/>
      </c>
      <c r="AF84" s="24" t="str">
        <f t="shared" si="154"/>
        <v/>
      </c>
      <c r="AG84" s="24" t="str">
        <f t="shared" si="155"/>
        <v/>
      </c>
      <c r="AH84" s="24"/>
      <c r="AI84" s="7" t="str">
        <f t="shared" si="156"/>
        <v/>
      </c>
      <c r="AJ84" s="24" t="str">
        <f t="shared" si="157"/>
        <v/>
      </c>
      <c r="AK84" s="24"/>
      <c r="AL84" s="24" t="str">
        <f t="shared" si="158"/>
        <v/>
      </c>
      <c r="AM84" s="24"/>
      <c r="AN84" s="24" t="str">
        <f t="shared" si="159"/>
        <v/>
      </c>
      <c r="AO84" s="29">
        <v>3</v>
      </c>
      <c r="AP84" s="29" t="s">
        <v>119</v>
      </c>
      <c r="AQ84" s="29" t="b">
        <f t="shared" ref="AQ84" si="160">IF(AP84=0,"",NOT(ISERROR(MATCH(AP84,schedule_courses,0))))</f>
        <v>1</v>
      </c>
      <c r="AR84" s="29">
        <f t="shared" ref="AR84" si="161">IF(IFERROR(INDEX(req_tr_AP_credit, MATCH(AP84, req_course,0)), FALSE),0,IFERROR(INDEX(schedule_semester,MATCH(AP84,schedule_courses,0)), ""))</f>
        <v>1</v>
      </c>
      <c r="AS84" s="29" t="b">
        <f t="shared" ref="AS84" si="162">IF(AR84&lt;&gt;"", AR84&lt;AE84, "")</f>
        <v>1</v>
      </c>
      <c r="AT84" s="24"/>
      <c r="AU84" s="24" t="str">
        <f t="shared" ref="AU84" si="163">IF(AT84=0,"",NOT(ISERROR(MATCH(AT84,schedule_courses,0))))</f>
        <v/>
      </c>
      <c r="AV84" s="24" t="str">
        <f t="shared" ref="AV84" si="164">IF(IFERROR(INDEX(req_tr_AP_credit, MATCH(AT84, req_course)), FALSE),0,IFERROR(INDEX(schedule_semester,MATCH(AT84,schedule_courses,0)), ""))</f>
        <v/>
      </c>
      <c r="AW84" s="24" t="str">
        <f t="shared" ref="AW84" si="165">IF(AV84&lt;&gt;"", AV84&lt;=AE84, "")</f>
        <v/>
      </c>
      <c r="AX84" s="41"/>
      <c r="AY84" s="24"/>
      <c r="AZ84" s="15"/>
      <c r="BD84" s="24"/>
    </row>
    <row r="85" spans="1:56">
      <c r="AB85" s="14"/>
      <c r="AC85" s="39" t="s">
        <v>235</v>
      </c>
      <c r="AD85" s="29" t="b">
        <f t="shared" si="152"/>
        <v>1</v>
      </c>
      <c r="AE85" s="24">
        <f t="shared" si="153"/>
        <v>4</v>
      </c>
      <c r="AF85" s="24" t="str">
        <f t="shared" si="154"/>
        <v/>
      </c>
      <c r="AG85" s="24" t="b">
        <f t="shared" si="155"/>
        <v>1</v>
      </c>
      <c r="AH85" s="24"/>
      <c r="AI85" s="7" t="b">
        <f t="shared" si="156"/>
        <v>1</v>
      </c>
      <c r="AJ85" s="24">
        <f t="shared" si="157"/>
        <v>2</v>
      </c>
      <c r="AK85" s="24"/>
      <c r="AL85" s="24" t="str">
        <f t="shared" si="158"/>
        <v/>
      </c>
      <c r="AM85" s="24"/>
      <c r="AN85" s="24" t="str">
        <f t="shared" si="159"/>
        <v/>
      </c>
      <c r="AO85" s="29">
        <v>3</v>
      </c>
      <c r="AP85" s="29" t="s">
        <v>119</v>
      </c>
      <c r="AQ85" s="29" t="b">
        <f t="shared" si="140"/>
        <v>1</v>
      </c>
      <c r="AR85" s="29">
        <f t="shared" si="141"/>
        <v>1</v>
      </c>
      <c r="AS85" s="29" t="b">
        <f t="shared" si="131"/>
        <v>1</v>
      </c>
      <c r="AT85" s="24"/>
      <c r="AU85" s="24" t="str">
        <f t="shared" si="142"/>
        <v/>
      </c>
      <c r="AV85" s="24" t="str">
        <f t="shared" si="143"/>
        <v/>
      </c>
      <c r="AW85" s="24" t="str">
        <f t="shared" si="132"/>
        <v/>
      </c>
      <c r="AX85" s="41"/>
      <c r="AY85" s="24"/>
      <c r="AZ85" s="15"/>
    </row>
    <row r="86" spans="1:56">
      <c r="AB86" s="14"/>
      <c r="AC86" s="39" t="s">
        <v>258</v>
      </c>
      <c r="AD86" s="29" t="b">
        <f t="shared" si="152"/>
        <v>1</v>
      </c>
      <c r="AE86" s="24">
        <f t="shared" si="153"/>
        <v>6</v>
      </c>
      <c r="AF86" s="24" t="str">
        <f t="shared" si="154"/>
        <v/>
      </c>
      <c r="AG86" s="24" t="b">
        <f t="shared" si="155"/>
        <v>1</v>
      </c>
      <c r="AH86" s="24"/>
      <c r="AI86" s="7" t="b">
        <f t="shared" si="156"/>
        <v>1</v>
      </c>
      <c r="AJ86" s="24">
        <f t="shared" si="157"/>
        <v>2</v>
      </c>
      <c r="AK86" s="24"/>
      <c r="AL86" s="24" t="str">
        <f t="shared" si="158"/>
        <v/>
      </c>
      <c r="AM86" s="24"/>
      <c r="AN86" s="24" t="str">
        <f t="shared" si="159"/>
        <v/>
      </c>
      <c r="AO86" s="29">
        <v>3</v>
      </c>
      <c r="AP86" s="29" t="s">
        <v>235</v>
      </c>
      <c r="AQ86" s="29" t="b">
        <f t="shared" si="140"/>
        <v>1</v>
      </c>
      <c r="AR86" s="29">
        <f t="shared" si="141"/>
        <v>4</v>
      </c>
      <c r="AS86" s="29" t="b">
        <f t="shared" si="131"/>
        <v>1</v>
      </c>
      <c r="AT86" s="24"/>
      <c r="AU86" s="24" t="str">
        <f t="shared" si="142"/>
        <v/>
      </c>
      <c r="AV86" s="24" t="str">
        <f t="shared" si="143"/>
        <v/>
      </c>
      <c r="AW86" s="24" t="str">
        <f t="shared" si="132"/>
        <v/>
      </c>
      <c r="AX86" s="41"/>
      <c r="AY86" s="24"/>
      <c r="AZ86" s="15"/>
    </row>
    <row r="87" spans="1:56">
      <c r="AB87" s="14"/>
      <c r="AC87" s="66" t="s">
        <v>258</v>
      </c>
      <c r="AD87" s="29" t="b">
        <f t="shared" si="152"/>
        <v>1</v>
      </c>
      <c r="AE87" s="24">
        <f t="shared" si="153"/>
        <v>6</v>
      </c>
      <c r="AF87" s="24" t="str">
        <f t="shared" si="154"/>
        <v/>
      </c>
      <c r="AG87" s="24" t="b">
        <f t="shared" si="155"/>
        <v>1</v>
      </c>
      <c r="AH87" s="24"/>
      <c r="AI87" s="7" t="b">
        <f t="shared" si="156"/>
        <v>1</v>
      </c>
      <c r="AJ87" s="24">
        <f t="shared" si="157"/>
        <v>2</v>
      </c>
      <c r="AK87" s="24"/>
      <c r="AL87" s="24" t="str">
        <f t="shared" si="158"/>
        <v/>
      </c>
      <c r="AM87" s="24"/>
      <c r="AN87" s="24" t="str">
        <f t="shared" si="159"/>
        <v/>
      </c>
      <c r="AO87" s="29">
        <v>3</v>
      </c>
      <c r="AP87" s="29" t="s">
        <v>187</v>
      </c>
      <c r="AQ87" s="29" t="b">
        <f t="shared" si="140"/>
        <v>1</v>
      </c>
      <c r="AR87" s="29">
        <f t="shared" si="141"/>
        <v>3</v>
      </c>
      <c r="AS87" s="29" t="b">
        <f t="shared" si="131"/>
        <v>1</v>
      </c>
      <c r="AT87" s="24"/>
      <c r="AU87" s="24" t="str">
        <f t="shared" si="142"/>
        <v/>
      </c>
      <c r="AV87" s="24" t="str">
        <f t="shared" si="143"/>
        <v/>
      </c>
      <c r="AW87" s="24" t="str">
        <f t="shared" si="132"/>
        <v/>
      </c>
      <c r="AX87" s="41"/>
      <c r="AY87" s="24"/>
      <c r="AZ87" s="15"/>
    </row>
    <row r="88" spans="1:56">
      <c r="AB88" s="14"/>
      <c r="AC88" s="39" t="s">
        <v>330</v>
      </c>
      <c r="AD88" s="29" t="b">
        <f t="shared" si="152"/>
        <v>0</v>
      </c>
      <c r="AE88" s="24" t="str">
        <f t="shared" si="153"/>
        <v/>
      </c>
      <c r="AF88" s="24" t="str">
        <f t="shared" si="154"/>
        <v/>
      </c>
      <c r="AG88" s="24" t="str">
        <f t="shared" si="155"/>
        <v/>
      </c>
      <c r="AH88" s="24"/>
      <c r="AI88" s="7" t="str">
        <f t="shared" si="156"/>
        <v/>
      </c>
      <c r="AJ88" s="24" t="str">
        <f t="shared" si="157"/>
        <v/>
      </c>
      <c r="AK88" s="24"/>
      <c r="AL88" s="24" t="str">
        <f t="shared" si="158"/>
        <v/>
      </c>
      <c r="AM88" s="24"/>
      <c r="AN88" s="24" t="str">
        <f t="shared" si="159"/>
        <v/>
      </c>
      <c r="AO88" s="29">
        <v>3</v>
      </c>
      <c r="AP88" s="29" t="s">
        <v>119</v>
      </c>
      <c r="AQ88" s="29" t="b">
        <f t="shared" si="140"/>
        <v>1</v>
      </c>
      <c r="AR88" s="29">
        <f t="shared" si="141"/>
        <v>1</v>
      </c>
      <c r="AS88" s="29" t="b">
        <f t="shared" si="131"/>
        <v>1</v>
      </c>
      <c r="AT88" s="24"/>
      <c r="AU88" s="24" t="str">
        <f t="shared" si="142"/>
        <v/>
      </c>
      <c r="AV88" s="24" t="str">
        <f t="shared" si="143"/>
        <v/>
      </c>
      <c r="AW88" s="24" t="str">
        <f t="shared" si="132"/>
        <v/>
      </c>
      <c r="AX88" s="41"/>
      <c r="AY88" s="24"/>
      <c r="AZ88" s="15"/>
    </row>
    <row r="89" spans="1:56">
      <c r="AB89" s="14"/>
      <c r="AC89" s="39" t="s">
        <v>331</v>
      </c>
      <c r="AD89" s="29" t="b">
        <f t="shared" si="152"/>
        <v>0</v>
      </c>
      <c r="AE89" s="24" t="str">
        <f t="shared" si="153"/>
        <v/>
      </c>
      <c r="AF89" s="24" t="str">
        <f t="shared" si="154"/>
        <v/>
      </c>
      <c r="AG89" s="24" t="str">
        <f t="shared" si="155"/>
        <v/>
      </c>
      <c r="AH89" s="24"/>
      <c r="AI89" s="7" t="str">
        <f t="shared" si="156"/>
        <v/>
      </c>
      <c r="AJ89" s="24" t="str">
        <f t="shared" si="157"/>
        <v/>
      </c>
      <c r="AK89" s="24"/>
      <c r="AL89" s="24" t="str">
        <f t="shared" si="158"/>
        <v/>
      </c>
      <c r="AM89" s="24"/>
      <c r="AN89" s="24" t="str">
        <f t="shared" si="159"/>
        <v/>
      </c>
      <c r="AO89" s="29">
        <v>3</v>
      </c>
      <c r="AP89" s="29" t="s">
        <v>119</v>
      </c>
      <c r="AQ89" s="29" t="b">
        <f t="shared" si="140"/>
        <v>1</v>
      </c>
      <c r="AR89" s="29">
        <f t="shared" si="141"/>
        <v>1</v>
      </c>
      <c r="AS89" s="29" t="b">
        <f t="shared" si="131"/>
        <v>1</v>
      </c>
      <c r="AT89" s="24"/>
      <c r="AU89" s="24" t="str">
        <f t="shared" si="142"/>
        <v/>
      </c>
      <c r="AV89" s="24" t="str">
        <f t="shared" si="143"/>
        <v/>
      </c>
      <c r="AW89" s="24" t="str">
        <f t="shared" si="132"/>
        <v/>
      </c>
      <c r="AX89" s="41"/>
      <c r="AY89" s="24"/>
      <c r="AZ89" s="15"/>
    </row>
    <row r="90" spans="1:56">
      <c r="AB90" s="14"/>
      <c r="AC90" s="39" t="s">
        <v>308</v>
      </c>
      <c r="AD90" s="29" t="b">
        <f t="shared" si="144"/>
        <v>1</v>
      </c>
      <c r="AE90" s="24">
        <f t="shared" si="145"/>
        <v>7</v>
      </c>
      <c r="AF90" s="24" t="str">
        <f t="shared" si="146"/>
        <v/>
      </c>
      <c r="AG90" s="24" t="b">
        <f t="shared" si="147"/>
        <v>1</v>
      </c>
      <c r="AH90" s="24"/>
      <c r="AI90" s="7" t="b">
        <f t="shared" si="148"/>
        <v>1</v>
      </c>
      <c r="AJ90" s="24">
        <f t="shared" si="149"/>
        <v>1</v>
      </c>
      <c r="AK90" s="24"/>
      <c r="AL90" s="24" t="str">
        <f t="shared" si="150"/>
        <v/>
      </c>
      <c r="AM90" s="24"/>
      <c r="AN90" s="24" t="str">
        <f t="shared" si="151"/>
        <v/>
      </c>
      <c r="AO90" s="29">
        <v>1</v>
      </c>
      <c r="AP90" s="24"/>
      <c r="AQ90" s="24" t="str">
        <f t="shared" si="140"/>
        <v/>
      </c>
      <c r="AR90" s="24" t="str">
        <f t="shared" si="141"/>
        <v/>
      </c>
      <c r="AS90" s="24" t="str">
        <f t="shared" si="131"/>
        <v/>
      </c>
      <c r="AT90" s="24"/>
      <c r="AU90" s="24" t="str">
        <f t="shared" si="142"/>
        <v/>
      </c>
      <c r="AV90" s="24" t="str">
        <f t="shared" si="143"/>
        <v/>
      </c>
      <c r="AW90" s="24" t="str">
        <f t="shared" si="132"/>
        <v/>
      </c>
      <c r="AX90" s="41"/>
      <c r="AY90" s="24"/>
      <c r="AZ90" s="15"/>
    </row>
    <row r="91" spans="1:56">
      <c r="AB91" s="14"/>
      <c r="AC91" s="39" t="s">
        <v>332</v>
      </c>
      <c r="AD91" s="29" t="b">
        <f t="shared" si="144"/>
        <v>0</v>
      </c>
      <c r="AE91" s="24" t="str">
        <f t="shared" si="145"/>
        <v/>
      </c>
      <c r="AF91" s="24" t="str">
        <f t="shared" si="146"/>
        <v/>
      </c>
      <c r="AG91" s="24" t="str">
        <f t="shared" si="147"/>
        <v/>
      </c>
      <c r="AH91" s="24"/>
      <c r="AI91" s="7" t="str">
        <f t="shared" si="148"/>
        <v/>
      </c>
      <c r="AJ91" s="24" t="str">
        <f t="shared" si="149"/>
        <v/>
      </c>
      <c r="AK91" s="24"/>
      <c r="AL91" s="24" t="str">
        <f t="shared" si="150"/>
        <v/>
      </c>
      <c r="AM91" s="24"/>
      <c r="AN91" s="24" t="str">
        <f t="shared" si="151"/>
        <v/>
      </c>
      <c r="AO91" s="29">
        <v>1</v>
      </c>
      <c r="AP91" s="29" t="s">
        <v>308</v>
      </c>
      <c r="AQ91" s="29" t="b">
        <f t="shared" si="140"/>
        <v>1</v>
      </c>
      <c r="AR91" s="29">
        <f t="shared" si="141"/>
        <v>7</v>
      </c>
      <c r="AS91" s="29" t="b">
        <f t="shared" si="131"/>
        <v>1</v>
      </c>
      <c r="AT91" s="24"/>
      <c r="AU91" s="24" t="str">
        <f t="shared" si="142"/>
        <v/>
      </c>
      <c r="AV91" s="24" t="str">
        <f t="shared" si="143"/>
        <v/>
      </c>
      <c r="AW91" s="24" t="str">
        <f t="shared" si="132"/>
        <v/>
      </c>
      <c r="AX91" s="41"/>
      <c r="AY91" s="24"/>
      <c r="AZ91" s="15"/>
    </row>
    <row r="92" spans="1:56">
      <c r="AB92" s="14"/>
      <c r="AC92" s="39" t="s">
        <v>333</v>
      </c>
      <c r="AD92" s="29" t="b">
        <f t="shared" si="144"/>
        <v>0</v>
      </c>
      <c r="AE92" s="24" t="str">
        <f t="shared" si="145"/>
        <v/>
      </c>
      <c r="AF92" s="24" t="str">
        <f t="shared" si="146"/>
        <v/>
      </c>
      <c r="AG92" s="24" t="str">
        <f t="shared" si="147"/>
        <v/>
      </c>
      <c r="AH92" s="24"/>
      <c r="AI92" s="7" t="str">
        <f t="shared" si="148"/>
        <v/>
      </c>
      <c r="AJ92" s="24" t="str">
        <f t="shared" si="149"/>
        <v/>
      </c>
      <c r="AK92" s="24"/>
      <c r="AL92" s="24" t="str">
        <f t="shared" si="150"/>
        <v/>
      </c>
      <c r="AM92" s="24"/>
      <c r="AN92" s="24" t="str">
        <f t="shared" si="151"/>
        <v/>
      </c>
      <c r="AO92" s="29">
        <v>1</v>
      </c>
      <c r="AP92" s="29" t="s">
        <v>308</v>
      </c>
      <c r="AQ92" s="29" t="b">
        <f t="shared" si="140"/>
        <v>1</v>
      </c>
      <c r="AR92" s="29">
        <f t="shared" si="141"/>
        <v>7</v>
      </c>
      <c r="AS92" s="29" t="b">
        <f t="shared" si="131"/>
        <v>1</v>
      </c>
      <c r="AT92" s="24"/>
      <c r="AU92" s="24" t="str">
        <f t="shared" si="142"/>
        <v/>
      </c>
      <c r="AV92" s="24" t="str">
        <f t="shared" si="143"/>
        <v/>
      </c>
      <c r="AW92" s="24" t="str">
        <f t="shared" si="132"/>
        <v/>
      </c>
      <c r="AX92" s="41"/>
      <c r="AY92" s="24"/>
      <c r="AZ92" s="15"/>
    </row>
    <row r="93" spans="1:56">
      <c r="AB93" s="14"/>
      <c r="AC93" s="66" t="s">
        <v>333</v>
      </c>
      <c r="AD93" s="29" t="b">
        <f t="shared" ref="AD93" si="166">NOT(ISERROR(MATCH(AC93,schedule_courses,0)))</f>
        <v>0</v>
      </c>
      <c r="AE93" s="24" t="str">
        <f t="shared" ref="AE93" si="167">IF(AX93,0,IFERROR(INDEX(schedule_semester,MATCH(AC93,schedule_courses,0)), ""))</f>
        <v/>
      </c>
      <c r="AF93" s="24" t="str">
        <f t="shared" ref="AF93" si="168">IF(ISNA(MATCH(AC93, $R$6:$R$7, 0)), "", $R$3)</f>
        <v/>
      </c>
      <c r="AG93" s="24" t="str">
        <f t="shared" ref="AG93" si="169">IF(AE93="", "", AE93&lt;AF93)</f>
        <v/>
      </c>
      <c r="AH93" s="24"/>
      <c r="AI93" s="7" t="str">
        <f t="shared" ref="AI93" si="170">IF(AE93="", "", AE93&gt;=AH93)</f>
        <v/>
      </c>
      <c r="AJ93" s="24" t="str">
        <f t="shared" ref="AJ93" si="171">IF(AE93="","",IF(MOD(AE93,2)=0,2,1))</f>
        <v/>
      </c>
      <c r="AK93" s="24"/>
      <c r="AL93" s="24" t="str">
        <f t="shared" ref="AL93" si="172">IF(AK93&lt;&gt;0, AK93&lt;&gt;AJ93, "")</f>
        <v/>
      </c>
      <c r="AM93" s="24"/>
      <c r="AN93" s="24" t="str">
        <f t="shared" ref="AN93" si="173">IFERROR(IF(AM93, INDEX(grade_number, MATCH(INDEX(schedule_grades, MATCH(AC93, schedule_courses, 0)), grade_letter, 0))&gt;=2, ""), "")</f>
        <v/>
      </c>
      <c r="AO93" s="29">
        <v>1</v>
      </c>
      <c r="AP93" s="29" t="s">
        <v>332</v>
      </c>
      <c r="AQ93" s="29" t="b">
        <f t="shared" si="140"/>
        <v>0</v>
      </c>
      <c r="AR93" s="29" t="str">
        <f t="shared" si="141"/>
        <v/>
      </c>
      <c r="AS93" s="29" t="str">
        <f t="shared" si="131"/>
        <v/>
      </c>
      <c r="AT93" s="24"/>
      <c r="AU93" s="24" t="str">
        <f t="shared" si="142"/>
        <v/>
      </c>
      <c r="AV93" s="24" t="str">
        <f t="shared" si="143"/>
        <v/>
      </c>
      <c r="AW93" s="24" t="str">
        <f t="shared" si="132"/>
        <v/>
      </c>
      <c r="AX93" s="41"/>
      <c r="AY93" s="24"/>
      <c r="AZ93" s="15"/>
    </row>
    <row r="94" spans="1:56">
      <c r="AB94" s="14"/>
      <c r="AC94" s="39" t="s">
        <v>208</v>
      </c>
      <c r="AD94" s="29" t="b">
        <f t="shared" si="144"/>
        <v>0</v>
      </c>
      <c r="AE94" s="24" t="str">
        <f t="shared" si="145"/>
        <v/>
      </c>
      <c r="AF94" s="24" t="str">
        <f t="shared" si="146"/>
        <v/>
      </c>
      <c r="AG94" s="24" t="str">
        <f t="shared" si="147"/>
        <v/>
      </c>
      <c r="AH94" s="24"/>
      <c r="AI94" s="7" t="str">
        <f t="shared" si="148"/>
        <v/>
      </c>
      <c r="AJ94" s="24" t="str">
        <f t="shared" si="149"/>
        <v/>
      </c>
      <c r="AK94" s="24"/>
      <c r="AL94" s="24" t="str">
        <f t="shared" si="150"/>
        <v/>
      </c>
      <c r="AM94" s="24"/>
      <c r="AN94" s="24" t="str">
        <f t="shared" si="151"/>
        <v/>
      </c>
      <c r="AO94" s="29">
        <v>3</v>
      </c>
      <c r="AP94" s="24"/>
      <c r="AQ94" s="24" t="str">
        <f t="shared" si="140"/>
        <v/>
      </c>
      <c r="AR94" s="24" t="str">
        <f t="shared" si="141"/>
        <v/>
      </c>
      <c r="AS94" s="24" t="str">
        <f t="shared" si="131"/>
        <v/>
      </c>
      <c r="AT94" s="24"/>
      <c r="AU94" s="24" t="str">
        <f t="shared" si="142"/>
        <v/>
      </c>
      <c r="AV94" s="24" t="str">
        <f t="shared" si="143"/>
        <v/>
      </c>
      <c r="AW94" s="24" t="str">
        <f t="shared" si="132"/>
        <v/>
      </c>
      <c r="AX94" s="41"/>
      <c r="AY94" s="24"/>
      <c r="AZ94" s="15"/>
    </row>
    <row r="95" spans="1:56">
      <c r="AB95" s="14"/>
      <c r="AC95" s="39" t="s">
        <v>334</v>
      </c>
      <c r="AD95" s="29" t="b">
        <f t="shared" si="144"/>
        <v>0</v>
      </c>
      <c r="AE95" s="24" t="str">
        <f t="shared" si="145"/>
        <v/>
      </c>
      <c r="AF95" s="24" t="str">
        <f t="shared" si="146"/>
        <v/>
      </c>
      <c r="AG95" s="24" t="str">
        <f t="shared" si="147"/>
        <v/>
      </c>
      <c r="AH95" s="24"/>
      <c r="AI95" s="7" t="str">
        <f t="shared" si="148"/>
        <v/>
      </c>
      <c r="AJ95" s="24" t="str">
        <f t="shared" si="149"/>
        <v/>
      </c>
      <c r="AK95" s="24"/>
      <c r="AL95" s="24" t="str">
        <f t="shared" si="150"/>
        <v/>
      </c>
      <c r="AM95" s="24"/>
      <c r="AN95" s="24" t="str">
        <f t="shared" si="151"/>
        <v/>
      </c>
      <c r="AO95" s="29">
        <v>1</v>
      </c>
      <c r="AP95" s="24"/>
      <c r="AQ95" s="24" t="str">
        <f t="shared" si="140"/>
        <v/>
      </c>
      <c r="AR95" s="24" t="str">
        <f t="shared" si="141"/>
        <v/>
      </c>
      <c r="AS95" s="24" t="str">
        <f t="shared" si="131"/>
        <v/>
      </c>
      <c r="AT95" s="24"/>
      <c r="AU95" s="24" t="str">
        <f t="shared" si="142"/>
        <v/>
      </c>
      <c r="AV95" s="24" t="str">
        <f t="shared" si="143"/>
        <v/>
      </c>
      <c r="AW95" s="24" t="str">
        <f t="shared" si="132"/>
        <v/>
      </c>
      <c r="AX95" s="41"/>
      <c r="AY95" s="24"/>
      <c r="AZ95" s="15"/>
    </row>
    <row r="96" spans="1:56">
      <c r="AB96" s="14"/>
      <c r="AC96" s="40" t="s">
        <v>335</v>
      </c>
      <c r="AD96" s="29" t="b">
        <f t="shared" si="144"/>
        <v>0</v>
      </c>
      <c r="AE96" s="24" t="str">
        <f t="shared" si="145"/>
        <v/>
      </c>
      <c r="AF96" s="24" t="str">
        <f t="shared" si="146"/>
        <v/>
      </c>
      <c r="AG96" s="24" t="str">
        <f t="shared" si="147"/>
        <v/>
      </c>
      <c r="AH96" s="24"/>
      <c r="AI96" s="7" t="str">
        <f t="shared" si="148"/>
        <v/>
      </c>
      <c r="AJ96" s="24" t="str">
        <f t="shared" si="149"/>
        <v/>
      </c>
      <c r="AK96" s="24"/>
      <c r="AL96" s="24" t="str">
        <f t="shared" si="150"/>
        <v/>
      </c>
      <c r="AM96" s="24"/>
      <c r="AN96" s="24" t="str">
        <f t="shared" si="151"/>
        <v/>
      </c>
      <c r="AO96" s="24">
        <v>1</v>
      </c>
      <c r="AP96" s="29" t="s">
        <v>334</v>
      </c>
      <c r="AQ96" s="29" t="b">
        <f t="shared" si="140"/>
        <v>0</v>
      </c>
      <c r="AR96" s="29" t="str">
        <f t="shared" si="141"/>
        <v/>
      </c>
      <c r="AS96" s="29" t="str">
        <f t="shared" si="131"/>
        <v/>
      </c>
      <c r="AT96" s="24"/>
      <c r="AU96" s="24" t="str">
        <f t="shared" si="142"/>
        <v/>
      </c>
      <c r="AV96" s="24" t="str">
        <f t="shared" si="143"/>
        <v/>
      </c>
      <c r="AW96" s="24" t="str">
        <f t="shared" si="132"/>
        <v/>
      </c>
      <c r="AX96" s="41"/>
      <c r="AY96" s="24"/>
      <c r="AZ96" s="15"/>
    </row>
    <row r="97" spans="28:52" ht="15.9" customHeight="1">
      <c r="AB97" s="16" t="s">
        <v>336</v>
      </c>
      <c r="AC97" s="24"/>
      <c r="AD97" s="24"/>
      <c r="AE97" s="24"/>
      <c r="AF97" s="24"/>
      <c r="AG97" s="24"/>
      <c r="AH97" s="24"/>
      <c r="AI97" s="7"/>
      <c r="AJ97" s="24"/>
      <c r="AK97" s="24"/>
      <c r="AL97" s="24"/>
      <c r="AM97" s="24"/>
      <c r="AN97" s="24"/>
      <c r="AO97" s="24"/>
      <c r="AP97" s="24"/>
      <c r="AQ97" s="24" t="str">
        <f t="shared" si="140"/>
        <v/>
      </c>
      <c r="AR97" s="24" t="str">
        <f t="shared" si="141"/>
        <v/>
      </c>
      <c r="AS97" s="24" t="str">
        <f t="shared" si="131"/>
        <v/>
      </c>
      <c r="AT97" s="24"/>
      <c r="AU97" s="24" t="str">
        <f t="shared" si="142"/>
        <v/>
      </c>
      <c r="AV97" s="24" t="str">
        <f t="shared" si="143"/>
        <v/>
      </c>
      <c r="AW97" s="24" t="str">
        <f t="shared" si="132"/>
        <v/>
      </c>
      <c r="AX97" s="41"/>
      <c r="AY97" s="24"/>
      <c r="AZ97" s="15"/>
    </row>
    <row r="98" spans="28:52">
      <c r="AB98" s="65" cm="1">
        <f t="array" ref="AB98">SUM(IF(ISNA(MATCH(_xlfn.UNIQUE(AC78:AC96),schedule_courses,0)),0,1)*(INDEX(AO78:AO96, MATCH(_xlfn.UNIQUE(AC78:AC96), AC78:AC96, 0))))</f>
        <v>10</v>
      </c>
      <c r="AC98" s="24"/>
      <c r="AD98" s="24"/>
      <c r="AE98" s="24"/>
      <c r="AF98" s="24"/>
      <c r="AG98" s="24"/>
      <c r="AH98" s="24"/>
      <c r="AI98" s="7"/>
      <c r="AJ98" s="24"/>
      <c r="AK98" s="24"/>
      <c r="AL98" s="24"/>
      <c r="AM98" s="24"/>
      <c r="AN98" s="24"/>
      <c r="AO98" s="24"/>
      <c r="AP98" s="24"/>
      <c r="AQ98" s="24" t="str">
        <f t="shared" ref="AQ98:AQ99" si="174">IF(AP98=0,"",NOT(ISERROR(MATCH(AP98,schedule_courses,0))))</f>
        <v/>
      </c>
      <c r="AR98" s="24" t="str">
        <f t="shared" ref="AR98:AR99" si="175">IF(IFERROR(INDEX(req_tr_AP_credit, MATCH(AP98, req_course,0)), FALSE),0,IFERROR(INDEX(schedule_semester,MATCH(AP98,schedule_courses,0)), ""))</f>
        <v/>
      </c>
      <c r="AS98" s="24" t="str">
        <f t="shared" si="131"/>
        <v/>
      </c>
      <c r="AT98" s="24"/>
      <c r="AU98" s="24" t="str">
        <f t="shared" ref="AU98:AU99" si="176">IF(AT98=0,"",NOT(ISERROR(MATCH(AT98,schedule_courses,0))))</f>
        <v/>
      </c>
      <c r="AV98" s="24" t="str">
        <f t="shared" ref="AV98:AV99" si="177">IF(IFERROR(INDEX(req_tr_AP_credit, MATCH(AT98, req_course)), FALSE),0,IFERROR(INDEX(schedule_semester,MATCH(AT98,schedule_courses,0)), ""))</f>
        <v/>
      </c>
      <c r="AW98" s="24" t="str">
        <f t="shared" si="132"/>
        <v/>
      </c>
      <c r="AX98" s="41"/>
      <c r="AY98" s="24"/>
      <c r="AZ98" s="15"/>
    </row>
    <row r="99" spans="28:52">
      <c r="AB99" s="64" t="str">
        <f>IF(AB98&gt;=AB79, "Satisfied", "Not Satisfied")</f>
        <v>Satisfied</v>
      </c>
      <c r="AC99" s="10"/>
      <c r="AD99" s="10"/>
      <c r="AE99" s="10"/>
      <c r="AF99" s="10"/>
      <c r="AG99" s="10"/>
      <c r="AH99" s="10"/>
      <c r="AI99" s="10"/>
      <c r="AJ99" s="10"/>
      <c r="AK99" s="10"/>
      <c r="AL99" s="10"/>
      <c r="AM99" s="10"/>
      <c r="AN99" s="10"/>
      <c r="AO99" s="10"/>
      <c r="AP99" s="10"/>
      <c r="AQ99" s="10" t="str">
        <f t="shared" si="174"/>
        <v/>
      </c>
      <c r="AR99" s="10" t="str">
        <f t="shared" si="175"/>
        <v/>
      </c>
      <c r="AS99" s="10" t="str">
        <f t="shared" si="131"/>
        <v/>
      </c>
      <c r="AT99" s="10"/>
      <c r="AU99" s="10" t="str">
        <f t="shared" si="176"/>
        <v/>
      </c>
      <c r="AV99" s="10" t="str">
        <f t="shared" si="177"/>
        <v/>
      </c>
      <c r="AW99" s="10" t="str">
        <f t="shared" si="132"/>
        <v/>
      </c>
      <c r="AX99" s="43"/>
      <c r="AY99" s="10"/>
      <c r="AZ99" s="26"/>
    </row>
    <row r="100" spans="28:52">
      <c r="AT100" s="29"/>
      <c r="AU100" s="29"/>
      <c r="AV100" s="29"/>
      <c r="AW100" s="29"/>
    </row>
    <row r="102" spans="28:52">
      <c r="AB102" s="132" t="s">
        <v>337</v>
      </c>
      <c r="AC102" s="92"/>
      <c r="AD102" s="92"/>
      <c r="AE102" s="92"/>
      <c r="AF102" s="92"/>
      <c r="AG102" s="92"/>
      <c r="AH102" s="92"/>
      <c r="AI102" s="92"/>
      <c r="AJ102" s="92"/>
      <c r="AK102" s="92"/>
      <c r="AL102" s="92"/>
      <c r="AM102" s="92"/>
      <c r="AN102" s="92"/>
      <c r="AO102" s="92"/>
      <c r="AP102" s="92"/>
      <c r="AQ102" s="92"/>
      <c r="AR102" s="92"/>
      <c r="AS102" s="92"/>
      <c r="AT102" s="92"/>
      <c r="AU102" s="92"/>
      <c r="AV102" s="92"/>
      <c r="AW102" s="92"/>
      <c r="AX102" s="92"/>
      <c r="AY102" s="92"/>
      <c r="AZ102" s="94"/>
    </row>
    <row r="103" spans="28:52">
      <c r="AB103" s="89" t="s">
        <v>73</v>
      </c>
      <c r="AC103" s="88" t="s">
        <v>33</v>
      </c>
      <c r="AD103" s="5" t="s">
        <v>104</v>
      </c>
      <c r="AE103" s="5" t="s">
        <v>105</v>
      </c>
      <c r="AF103" s="5" t="s">
        <v>106</v>
      </c>
      <c r="AG103" s="5" t="s">
        <v>107</v>
      </c>
      <c r="AH103" s="5" t="s">
        <v>108</v>
      </c>
      <c r="AI103" s="5" t="s">
        <v>109</v>
      </c>
      <c r="AJ103" s="5" t="s">
        <v>110</v>
      </c>
      <c r="AK103" s="5" t="s">
        <v>111</v>
      </c>
      <c r="AL103" s="5" t="s">
        <v>112</v>
      </c>
      <c r="AM103" s="5" t="s">
        <v>113</v>
      </c>
      <c r="AN103" s="5" t="s">
        <v>114</v>
      </c>
      <c r="AO103" s="88" t="s">
        <v>35</v>
      </c>
      <c r="AP103" s="88" t="s">
        <v>77</v>
      </c>
      <c r="AQ103" s="91" t="s">
        <v>104</v>
      </c>
      <c r="AR103" s="5" t="s">
        <v>105</v>
      </c>
      <c r="AS103" s="5" t="s">
        <v>115</v>
      </c>
      <c r="AT103" s="88" t="s">
        <v>79</v>
      </c>
      <c r="AU103" s="91" t="s">
        <v>104</v>
      </c>
      <c r="AV103" s="91" t="s">
        <v>105</v>
      </c>
      <c r="AW103" s="5" t="s">
        <v>116</v>
      </c>
      <c r="AX103" s="88" t="s">
        <v>80</v>
      </c>
      <c r="AY103" s="88" t="s">
        <v>37</v>
      </c>
      <c r="AZ103" s="90" t="s">
        <v>83</v>
      </c>
    </row>
    <row r="104" spans="28:52">
      <c r="AB104" s="14"/>
      <c r="AC104" s="24" t="s">
        <v>138</v>
      </c>
      <c r="AD104" s="9" t="b">
        <f t="shared" ref="AD104:AD120" si="178">NOT(ISERROR(MATCH(AC104,schedule_courses,0)))</f>
        <v>0</v>
      </c>
      <c r="AE104" s="7">
        <f>IF(AX104,0,IFERROR(INDEX(schedule_semester,MATCH(AC104,schedule_courses,0)), ""))</f>
        <v>0</v>
      </c>
      <c r="AF104" s="7">
        <f>IF(ISNA(MATCH(AC104, $R$6:$R$14, 0)), "", $R$3)</f>
        <v>4</v>
      </c>
      <c r="AG104" s="7" t="b">
        <f>IF(AE104="", "", AE104&lt;AF104)</f>
        <v>1</v>
      </c>
      <c r="AH104" s="7"/>
      <c r="AI104" s="7" t="b">
        <f>IF(AE104="", "", AE104&gt;=AH104)</f>
        <v>1</v>
      </c>
      <c r="AJ104" s="7">
        <f>IF(AE104="","",IF(MOD(AE104,2)=0,2,1))</f>
        <v>2</v>
      </c>
      <c r="AK104" s="7"/>
      <c r="AL104" s="7" t="str">
        <f>IF(AK104&lt;&gt;0, AK104&lt;&gt;AJ104, "")</f>
        <v/>
      </c>
      <c r="AM104" s="7"/>
      <c r="AN104" s="7" t="str">
        <f>IFERROR(IF(AM104, INDEX(grade_number, MATCH(INDEX(schedule_grades, MATCH(AC104, schedule_courses, 0)), grade_letter, 0))&gt;=2, ""), "")</f>
        <v/>
      </c>
      <c r="AO104" s="24"/>
      <c r="AP104" s="24"/>
      <c r="AQ104" s="7" t="str">
        <f t="shared" ref="AQ104:AQ115" si="179">IF(AP104=0,"",NOT(ISERROR(MATCH(AP104,schedule_courses,0))))</f>
        <v/>
      </c>
      <c r="AR104" s="7" t="str">
        <f t="shared" ref="AR104:AR115" si="180">IF(IFERROR(INDEX(req_tr_AP_credit, MATCH(AP104, req_course,0)), FALSE),0,IFERROR(INDEX(schedule_semester,MATCH(AP104,schedule_courses,0)), ""))</f>
        <v/>
      </c>
      <c r="AS104" s="7" t="str">
        <f t="shared" ref="AS104:AS120" si="181">IF(AR104&lt;&gt;"", AR104&lt;AE104, "")</f>
        <v/>
      </c>
      <c r="AT104" s="24"/>
      <c r="AU104" s="7" t="str">
        <f t="shared" ref="AU104:AU115" si="182">IF(AT104=0,"",NOT(ISERROR(MATCH(AT104,schedule_courses,0))))</f>
        <v/>
      </c>
      <c r="AV104" s="7" t="str">
        <f t="shared" ref="AV104:AV115" si="183">IF(IFERROR(INDEX(req_tr_AP_credit, MATCH(AT104, req_course)), FALSE),0,IFERROR(INDEX(schedule_semester,MATCH(AT104,schedule_courses,0)), ""))</f>
        <v/>
      </c>
      <c r="AW104" s="7" t="str">
        <f t="shared" ref="AW104:AW120" si="184">IF(AV104&lt;&gt;"", AV104&lt;=AE104, "")</f>
        <v/>
      </c>
      <c r="AX104" s="41" t="b">
        <v>1</v>
      </c>
      <c r="AY104" s="24"/>
      <c r="AZ104" s="15" t="s">
        <v>154</v>
      </c>
    </row>
    <row r="105" spans="28:52">
      <c r="AB105" s="14"/>
      <c r="AC105" s="24" t="s">
        <v>103</v>
      </c>
      <c r="AD105" s="106" t="b">
        <f t="shared" si="178"/>
        <v>1</v>
      </c>
      <c r="AE105" s="24">
        <f>IF(AX105,0,IFERROR(INDEX(schedule_semester,MATCH(AC105,schedule_courses,0)), ""))</f>
        <v>1</v>
      </c>
      <c r="AF105" s="24">
        <f>IF(ISNA(MATCH(AC105, $R$6:$R$14, 0)), "", $R$3)</f>
        <v>4</v>
      </c>
      <c r="AG105" s="24" t="b">
        <f t="shared" ref="AG105:AG120" si="185">IF(AE105="", "", AE105&lt;AF105)</f>
        <v>1</v>
      </c>
      <c r="AH105" s="24"/>
      <c r="AI105" s="7" t="b">
        <f t="shared" ref="AI105:AI120" si="186">IF(AE105="", "", AE105&gt;=AH105)</f>
        <v>1</v>
      </c>
      <c r="AJ105" s="24">
        <f t="shared" ref="AJ105:AJ120" si="187">IF(AE105="","",IF(MOD(AE105,2)=0,2,1))</f>
        <v>1</v>
      </c>
      <c r="AK105" s="24"/>
      <c r="AL105" s="24" t="str">
        <f>IF(AK105&lt;&gt;0, AK105&lt;&gt;AJ105, "")</f>
        <v/>
      </c>
      <c r="AM105" s="24"/>
      <c r="AN105" s="24" t="str">
        <f>IFERROR(IF(AM105, INDEX(grade_number, MATCH(INDEX(schedule_grades, MATCH(AC105, schedule_courses, 0)), grade_letter, 0))&gt;=2, ""), "")</f>
        <v/>
      </c>
      <c r="AO105" s="24"/>
      <c r="AP105" s="24" t="s">
        <v>138</v>
      </c>
      <c r="AQ105" s="24" t="b">
        <f t="shared" si="179"/>
        <v>0</v>
      </c>
      <c r="AR105" s="24">
        <f t="shared" si="180"/>
        <v>0</v>
      </c>
      <c r="AS105" s="24" t="b">
        <f t="shared" si="181"/>
        <v>1</v>
      </c>
      <c r="AT105" s="24"/>
      <c r="AU105" s="24" t="str">
        <f t="shared" si="182"/>
        <v/>
      </c>
      <c r="AV105" s="24" t="str">
        <f t="shared" si="183"/>
        <v/>
      </c>
      <c r="AW105" s="24" t="str">
        <f t="shared" si="184"/>
        <v/>
      </c>
      <c r="AX105" s="41"/>
      <c r="AY105" s="24"/>
      <c r="AZ105" s="15" t="s">
        <v>154</v>
      </c>
    </row>
    <row r="106" spans="28:52" ht="124.8">
      <c r="AB106" s="157" t="s">
        <v>338</v>
      </c>
      <c r="AC106" s="24"/>
      <c r="AD106" s="106"/>
      <c r="AE106" s="24"/>
      <c r="AF106" s="24"/>
      <c r="AG106" s="24"/>
      <c r="AH106" s="24"/>
      <c r="AI106" s="7"/>
      <c r="AJ106" s="24"/>
      <c r="AK106" s="24"/>
      <c r="AL106" s="24"/>
      <c r="AM106" s="24"/>
      <c r="AN106" s="24"/>
      <c r="AO106" s="24"/>
      <c r="AP106" s="24"/>
      <c r="AQ106" s="24"/>
      <c r="AR106" s="24"/>
      <c r="AS106" s="24"/>
      <c r="AT106" s="24"/>
      <c r="AU106" s="24"/>
      <c r="AV106" s="24"/>
      <c r="AW106" s="24"/>
      <c r="AX106" s="69"/>
      <c r="AY106" s="24"/>
      <c r="AZ106" s="15"/>
    </row>
    <row r="107" spans="28:52">
      <c r="AB107" s="154">
        <v>8</v>
      </c>
      <c r="AC107" s="248" t="str">
        <f>AC12</f>
        <v>MATH 231</v>
      </c>
      <c r="AD107" s="106" t="b">
        <f t="shared" si="178"/>
        <v>1</v>
      </c>
      <c r="AE107" s="24">
        <f t="shared" ref="AE107" si="188">IF(AX107,0,IFERROR(INDEX(schedule_semester,MATCH(AC107,schedule_courses,0)), ""))</f>
        <v>2</v>
      </c>
      <c r="AF107" s="24" t="str">
        <f>IF(ISNA(MATCH(AC107, $R$6:$R$14, 0)), "", $R$3)</f>
        <v/>
      </c>
      <c r="AG107" s="24" t="b">
        <f t="shared" si="185"/>
        <v>1</v>
      </c>
      <c r="AH107" s="24"/>
      <c r="AI107" s="7" t="b">
        <f t="shared" si="186"/>
        <v>1</v>
      </c>
      <c r="AJ107" s="24">
        <f t="shared" si="187"/>
        <v>2</v>
      </c>
      <c r="AK107" s="24"/>
      <c r="AL107" s="24" t="str">
        <f t="shared" ref="AL107:AL120" si="189">IF(AK107&lt;&gt;0, AK107&lt;&gt;AJ107, "")</f>
        <v/>
      </c>
      <c r="AM107" s="24"/>
      <c r="AN107" s="24" t="str">
        <f t="shared" ref="AN107" si="190">IFERROR(IF(AM107, INDEX(grade_number, MATCH(INDEX(schedule_grades, MATCH(AC107, schedule_courses, 0)), grade_letter, 0))&gt;=2, ""), "")</f>
        <v/>
      </c>
      <c r="AO107" s="69">
        <f>AO12</f>
        <v>2</v>
      </c>
      <c r="AP107" s="7"/>
      <c r="AQ107" s="24" t="str">
        <f t="shared" si="179"/>
        <v/>
      </c>
      <c r="AR107" s="24" t="str">
        <f t="shared" si="180"/>
        <v/>
      </c>
      <c r="AS107" s="24" t="str">
        <f t="shared" si="181"/>
        <v/>
      </c>
      <c r="AT107" s="24"/>
      <c r="AU107" s="24" t="str">
        <f t="shared" si="182"/>
        <v/>
      </c>
      <c r="AV107" s="24" t="str">
        <f t="shared" si="183"/>
        <v/>
      </c>
      <c r="AW107" s="24" t="str">
        <f t="shared" si="184"/>
        <v/>
      </c>
      <c r="AX107" s="41"/>
      <c r="AY107" s="24"/>
      <c r="AZ107" s="15"/>
    </row>
    <row r="108" spans="28:52">
      <c r="AB108" s="16"/>
      <c r="AC108" s="142"/>
      <c r="AD108" s="106" t="b">
        <f t="shared" ref="AD108:AD110" si="191">NOT(ISERROR(MATCH(AC108,schedule_courses,0)))</f>
        <v>0</v>
      </c>
      <c r="AE108" s="24" t="str">
        <f t="shared" ref="AE108:AE110" si="192">IF(AX108,0,IFERROR(INDEX(schedule_semester,MATCH(AC108,schedule_courses,0)), ""))</f>
        <v/>
      </c>
      <c r="AF108" s="24" t="str">
        <f t="shared" ref="AF108:AF110" si="193">IF(ISNA(MATCH(AC108, $R$6:$R$14, 0)), "", $R$3)</f>
        <v/>
      </c>
      <c r="AG108" s="24" t="str">
        <f t="shared" ref="AG108:AG110" si="194">IF(AE108="", "", AE108&lt;AF108)</f>
        <v/>
      </c>
      <c r="AH108" s="24"/>
      <c r="AI108" s="7" t="str">
        <f t="shared" ref="AI108:AI110" si="195">IF(AE108="", "", AE108&gt;=AH108)</f>
        <v/>
      </c>
      <c r="AJ108" s="24" t="str">
        <f t="shared" ref="AJ108:AJ110" si="196">IF(AE108="","",IF(MOD(AE108,2)=0,2,1))</f>
        <v/>
      </c>
      <c r="AK108" s="24"/>
      <c r="AL108" s="24" t="str">
        <f t="shared" ref="AL108:AL110" si="197">IF(AK108&lt;&gt;0, AK108&lt;&gt;AJ108, "")</f>
        <v/>
      </c>
      <c r="AM108" s="24"/>
      <c r="AN108" s="24" t="str">
        <f t="shared" ref="AN108:AN110" si="198">IFERROR(IF(AM108, INDEX(grade_number, MATCH(INDEX(schedule_grades, MATCH(AC108, schedule_courses, 0)), grade_letter, 0))&gt;=2, ""), "")</f>
        <v/>
      </c>
      <c r="AO108" s="41"/>
      <c r="AP108" s="7"/>
      <c r="AQ108" s="24" t="str">
        <f t="shared" ref="AQ108:AQ110" si="199">IF(AP108=0,"",NOT(ISERROR(MATCH(AP108,schedule_courses,0))))</f>
        <v/>
      </c>
      <c r="AR108" s="24" t="str">
        <f t="shared" ref="AR108:AR110" si="200">IF(IFERROR(INDEX(req_tr_AP_credit, MATCH(AP108, req_course,0)), FALSE),0,IFERROR(INDEX(schedule_semester,MATCH(AP108,schedule_courses,0)), ""))</f>
        <v/>
      </c>
      <c r="AS108" s="24" t="str">
        <f t="shared" ref="AS108:AS110" si="201">IF(AR108&lt;&gt;"", AR108&lt;AE108, "")</f>
        <v/>
      </c>
      <c r="AT108" s="24"/>
      <c r="AU108" s="24" t="str">
        <f t="shared" ref="AU108:AU110" si="202">IF(AT108=0,"",NOT(ISERROR(MATCH(AT108,schedule_courses,0))))</f>
        <v/>
      </c>
      <c r="AV108" s="24" t="str">
        <f t="shared" ref="AV108:AV110" si="203">IF(IFERROR(INDEX(req_tr_AP_credit, MATCH(AT108, req_course)), FALSE),0,IFERROR(INDEX(schedule_semester,MATCH(AT108,schedule_courses,0)), ""))</f>
        <v/>
      </c>
      <c r="AW108" s="24" t="str">
        <f t="shared" ref="AW108:AW110" si="204">IF(AV108&lt;&gt;"", AV108&lt;=AE108, "")</f>
        <v/>
      </c>
      <c r="AX108" s="41"/>
      <c r="AY108" s="24"/>
      <c r="AZ108" s="15"/>
    </row>
    <row r="109" spans="28:52">
      <c r="AB109" s="16"/>
      <c r="AC109" s="142"/>
      <c r="AD109" s="106" t="b">
        <f t="shared" si="191"/>
        <v>0</v>
      </c>
      <c r="AE109" s="24" t="str">
        <f t="shared" si="192"/>
        <v/>
      </c>
      <c r="AF109" s="24" t="str">
        <f t="shared" si="193"/>
        <v/>
      </c>
      <c r="AG109" s="24" t="str">
        <f t="shared" si="194"/>
        <v/>
      </c>
      <c r="AH109" s="24"/>
      <c r="AI109" s="7" t="str">
        <f t="shared" si="195"/>
        <v/>
      </c>
      <c r="AJ109" s="24" t="str">
        <f t="shared" si="196"/>
        <v/>
      </c>
      <c r="AK109" s="24"/>
      <c r="AL109" s="24" t="str">
        <f t="shared" si="197"/>
        <v/>
      </c>
      <c r="AM109" s="24"/>
      <c r="AN109" s="24" t="str">
        <f t="shared" si="198"/>
        <v/>
      </c>
      <c r="AO109" s="41"/>
      <c r="AP109" s="7"/>
      <c r="AQ109" s="24" t="str">
        <f t="shared" si="199"/>
        <v/>
      </c>
      <c r="AR109" s="24" t="str">
        <f t="shared" si="200"/>
        <v/>
      </c>
      <c r="AS109" s="24" t="str">
        <f t="shared" si="201"/>
        <v/>
      </c>
      <c r="AT109" s="24"/>
      <c r="AU109" s="24" t="str">
        <f t="shared" si="202"/>
        <v/>
      </c>
      <c r="AV109" s="24" t="str">
        <f t="shared" si="203"/>
        <v/>
      </c>
      <c r="AW109" s="24" t="str">
        <f t="shared" si="204"/>
        <v/>
      </c>
      <c r="AX109" s="41"/>
      <c r="AY109" s="24"/>
      <c r="AZ109" s="15"/>
    </row>
    <row r="110" spans="28:52">
      <c r="AB110" s="70"/>
      <c r="AC110" s="143"/>
      <c r="AD110" s="106" t="b">
        <f t="shared" si="191"/>
        <v>0</v>
      </c>
      <c r="AE110" s="24" t="str">
        <f t="shared" si="192"/>
        <v/>
      </c>
      <c r="AF110" s="24" t="str">
        <f t="shared" si="193"/>
        <v/>
      </c>
      <c r="AG110" s="24" t="str">
        <f t="shared" si="194"/>
        <v/>
      </c>
      <c r="AH110" s="24"/>
      <c r="AI110" s="7" t="str">
        <f t="shared" si="195"/>
        <v/>
      </c>
      <c r="AJ110" s="24" t="str">
        <f t="shared" si="196"/>
        <v/>
      </c>
      <c r="AK110" s="24"/>
      <c r="AL110" s="24" t="str">
        <f t="shared" si="197"/>
        <v/>
      </c>
      <c r="AM110" s="24"/>
      <c r="AN110" s="24" t="str">
        <f t="shared" si="198"/>
        <v/>
      </c>
      <c r="AO110" s="41"/>
      <c r="AP110" s="7"/>
      <c r="AQ110" s="24" t="str">
        <f t="shared" si="199"/>
        <v/>
      </c>
      <c r="AR110" s="24" t="str">
        <f t="shared" si="200"/>
        <v/>
      </c>
      <c r="AS110" s="24" t="str">
        <f t="shared" si="201"/>
        <v/>
      </c>
      <c r="AT110" s="24"/>
      <c r="AU110" s="24" t="str">
        <f t="shared" si="202"/>
        <v/>
      </c>
      <c r="AV110" s="24" t="str">
        <f t="shared" si="203"/>
        <v/>
      </c>
      <c r="AW110" s="24" t="str">
        <f t="shared" si="204"/>
        <v/>
      </c>
      <c r="AX110" s="41"/>
      <c r="AY110" s="24"/>
      <c r="AZ110" s="15"/>
    </row>
    <row r="111" spans="28:52">
      <c r="AB111" s="155" t="s">
        <v>47</v>
      </c>
      <c r="AC111" s="153"/>
      <c r="AD111" s="106"/>
      <c r="AE111" s="24"/>
      <c r="AF111" s="24"/>
      <c r="AG111" s="24"/>
      <c r="AH111" s="24"/>
      <c r="AI111" s="7"/>
      <c r="AJ111" s="24"/>
      <c r="AK111" s="24"/>
      <c r="AL111" s="24"/>
      <c r="AM111" s="24"/>
      <c r="AN111" s="24"/>
      <c r="AO111" s="153"/>
      <c r="AP111" s="6"/>
      <c r="AQ111" s="24"/>
      <c r="AR111" s="24"/>
      <c r="AS111" s="24"/>
      <c r="AT111" s="24"/>
      <c r="AU111" s="24"/>
      <c r="AV111" s="24"/>
      <c r="AW111" s="24"/>
      <c r="AX111" s="41"/>
      <c r="AY111" s="24"/>
      <c r="AZ111" s="15"/>
    </row>
    <row r="112" spans="28:52">
      <c r="AB112" s="156" cm="1">
        <f t="array" ref="AB112">SUM(IF(ISNA(MATCH(AC107:AC110,schedule_courses,0)),0,1)*(AO107:AO110))</f>
        <v>2</v>
      </c>
      <c r="AC112" s="153"/>
      <c r="AD112" s="106"/>
      <c r="AE112" s="24"/>
      <c r="AF112" s="24"/>
      <c r="AG112" s="24"/>
      <c r="AH112" s="24"/>
      <c r="AI112" s="7"/>
      <c r="AJ112" s="24"/>
      <c r="AK112" s="24"/>
      <c r="AL112" s="24"/>
      <c r="AM112" s="24"/>
      <c r="AN112" s="24"/>
      <c r="AO112" s="153"/>
      <c r="AP112" s="6"/>
      <c r="AQ112" s="24"/>
      <c r="AR112" s="24"/>
      <c r="AS112" s="24"/>
      <c r="AT112" s="24"/>
      <c r="AU112" s="24"/>
      <c r="AV112" s="24"/>
      <c r="AW112" s="24"/>
      <c r="AX112" s="41"/>
      <c r="AY112" s="24"/>
      <c r="AZ112" s="15"/>
    </row>
    <row r="113" spans="28:52">
      <c r="AB113" s="121" t="str">
        <f>IF(AB112&gt;=AB107, "Satisfied", "Not Satisfied")</f>
        <v>Not Satisfied</v>
      </c>
      <c r="AC113" s="153"/>
      <c r="AD113" s="106"/>
      <c r="AE113" s="24"/>
      <c r="AF113" s="24"/>
      <c r="AG113" s="24"/>
      <c r="AH113" s="24"/>
      <c r="AI113" s="7"/>
      <c r="AJ113" s="24"/>
      <c r="AK113" s="24"/>
      <c r="AL113" s="24"/>
      <c r="AM113" s="24"/>
      <c r="AN113" s="24"/>
      <c r="AO113" s="153"/>
      <c r="AP113" s="6"/>
      <c r="AQ113" s="24"/>
      <c r="AR113" s="24"/>
      <c r="AS113" s="24"/>
      <c r="AT113" s="24"/>
      <c r="AU113" s="24"/>
      <c r="AV113" s="24"/>
      <c r="AW113" s="24"/>
      <c r="AX113" s="41"/>
      <c r="AY113" s="24"/>
      <c r="AZ113" s="15"/>
    </row>
    <row r="114" spans="28:52" ht="124.8">
      <c r="AB114" s="120" t="s">
        <v>339</v>
      </c>
      <c r="AC114" s="24"/>
      <c r="AD114" s="106"/>
      <c r="AE114" s="24"/>
      <c r="AF114" s="24"/>
      <c r="AG114" s="24"/>
      <c r="AH114" s="24"/>
      <c r="AI114" s="7"/>
      <c r="AJ114" s="24"/>
      <c r="AK114" s="24"/>
      <c r="AL114" s="24"/>
      <c r="AM114" s="24"/>
      <c r="AN114" s="24"/>
      <c r="AO114" s="29"/>
      <c r="AP114" s="24"/>
      <c r="AQ114" s="24"/>
      <c r="AR114" s="24"/>
      <c r="AS114" s="24"/>
      <c r="AT114" s="24"/>
      <c r="AU114" s="24"/>
      <c r="AV114" s="24"/>
      <c r="AW114" s="24"/>
      <c r="AX114" s="69"/>
      <c r="AY114" s="24"/>
      <c r="AZ114" s="15"/>
    </row>
    <row r="115" spans="28:52">
      <c r="AB115" s="70">
        <v>12</v>
      </c>
      <c r="AC115" s="110" t="s">
        <v>187</v>
      </c>
      <c r="AD115" s="106" t="b">
        <f>NOT(ISERROR(MATCH(AC115,schedule_courses,0)))</f>
        <v>1</v>
      </c>
      <c r="AE115" s="24">
        <f>IF(AX115,0,IFERROR(INDEX(schedule_semester,MATCH(AC115,schedule_courses,0)), ""))</f>
        <v>3</v>
      </c>
      <c r="AF115" s="24" t="str">
        <f t="shared" ref="AF115:AF120" si="205">IF(ISNA(MATCH(AC115, $R$6:$R$14, 0)), "", $R$3)</f>
        <v/>
      </c>
      <c r="AG115" s="24" t="b">
        <f t="shared" si="185"/>
        <v>1</v>
      </c>
      <c r="AH115" s="24"/>
      <c r="AI115" s="7" t="b">
        <f t="shared" si="186"/>
        <v>1</v>
      </c>
      <c r="AJ115" s="24">
        <f t="shared" si="187"/>
        <v>1</v>
      </c>
      <c r="AK115" s="24"/>
      <c r="AL115" s="24" t="str">
        <f t="shared" si="189"/>
        <v/>
      </c>
      <c r="AM115" s="24"/>
      <c r="AN115" s="24" t="str">
        <f>IFERROR(IF(AM115, INDEX(grade_number, MATCH(INDEX(schedule_grades, MATCH(AC115, schedule_courses, 0)), grade_letter, 0))&gt;=2, ""), "")</f>
        <v/>
      </c>
      <c r="AO115" s="42">
        <v>3</v>
      </c>
      <c r="AP115" s="29"/>
      <c r="AQ115" s="29" t="str">
        <f t="shared" si="179"/>
        <v/>
      </c>
      <c r="AR115" s="29" t="str">
        <f t="shared" si="180"/>
        <v/>
      </c>
      <c r="AS115" s="29" t="str">
        <f t="shared" si="181"/>
        <v/>
      </c>
      <c r="AT115" s="24"/>
      <c r="AU115" s="24" t="str">
        <f t="shared" si="182"/>
        <v/>
      </c>
      <c r="AV115" s="24" t="str">
        <f t="shared" si="183"/>
        <v/>
      </c>
      <c r="AW115" s="24" t="str">
        <f t="shared" si="184"/>
        <v/>
      </c>
      <c r="AX115" s="41"/>
      <c r="AY115" s="24"/>
      <c r="AZ115" s="15"/>
    </row>
    <row r="116" spans="28:52">
      <c r="AB116" s="14"/>
      <c r="AC116" s="111" t="s">
        <v>227</v>
      </c>
      <c r="AD116" s="106" t="b">
        <f>NOT(ISERROR(MATCH(AC116,schedule_courses,0)))</f>
        <v>1</v>
      </c>
      <c r="AE116" s="24">
        <f>IF(AX116,0,IFERROR(INDEX(schedule_semester,MATCH(AC116,schedule_courses,0)), ""))</f>
        <v>4</v>
      </c>
      <c r="AF116" s="24" t="str">
        <f t="shared" si="205"/>
        <v/>
      </c>
      <c r="AG116" s="24" t="b">
        <f t="shared" si="185"/>
        <v>1</v>
      </c>
      <c r="AH116" s="24"/>
      <c r="AI116" s="7" t="b">
        <f t="shared" si="186"/>
        <v>1</v>
      </c>
      <c r="AJ116" s="24">
        <f t="shared" si="187"/>
        <v>2</v>
      </c>
      <c r="AK116" s="24"/>
      <c r="AL116" s="24" t="str">
        <f t="shared" si="189"/>
        <v/>
      </c>
      <c r="AM116" s="24"/>
      <c r="AN116" s="24" t="str">
        <f>IFERROR(IF(AM116, INDEX(grade_number, MATCH(INDEX(schedule_grades, MATCH(AC116, schedule_courses, 0)), grade_letter, 0))&gt;=2, ""), "")</f>
        <v/>
      </c>
      <c r="AO116" s="42">
        <v>3</v>
      </c>
      <c r="AP116" s="29"/>
      <c r="AQ116" s="29" t="str">
        <f t="shared" ref="AQ116:AQ120" si="206">IF(AP116=0,"",NOT(ISERROR(MATCH(AP116,schedule_courses,0))))</f>
        <v/>
      </c>
      <c r="AR116" s="29" t="str">
        <f t="shared" ref="AR116:AR120" si="207">IF(IFERROR(INDEX(req_tr_AP_credit, MATCH(AP116, req_course,0)), FALSE),0,IFERROR(INDEX(schedule_semester,MATCH(AP116,schedule_courses,0)), ""))</f>
        <v/>
      </c>
      <c r="AS116" s="29" t="str">
        <f t="shared" si="181"/>
        <v/>
      </c>
      <c r="AT116" s="24"/>
      <c r="AU116" s="24" t="str">
        <f t="shared" ref="AU116:AU120" si="208">IF(AT116=0,"",NOT(ISERROR(MATCH(AT116,schedule_courses,0))))</f>
        <v/>
      </c>
      <c r="AV116" s="24" t="str">
        <f t="shared" ref="AV116:AV120" si="209">IF(IFERROR(INDEX(req_tr_AP_credit, MATCH(AT116, req_course)), FALSE),0,IFERROR(INDEX(schedule_semester,MATCH(AT116,schedule_courses,0)), ""))</f>
        <v/>
      </c>
      <c r="AW116" s="24" t="str">
        <f t="shared" si="184"/>
        <v/>
      </c>
      <c r="AX116" s="41"/>
      <c r="AY116" s="24"/>
      <c r="AZ116" s="15"/>
    </row>
    <row r="117" spans="28:52">
      <c r="AB117" s="14"/>
      <c r="AC117" s="111" t="s">
        <v>266</v>
      </c>
      <c r="AD117" s="106" t="b">
        <f>NOT(ISERROR(MATCH(AC117,schedule_courses,0)))</f>
        <v>0</v>
      </c>
      <c r="AE117" s="24" t="str">
        <f>IF(AX117,0,IFERROR(INDEX(schedule_semester,MATCH(AC117,schedule_courses,0)), ""))</f>
        <v/>
      </c>
      <c r="AF117" s="24" t="str">
        <f t="shared" si="205"/>
        <v/>
      </c>
      <c r="AG117" s="24" t="str">
        <f t="shared" si="185"/>
        <v/>
      </c>
      <c r="AH117" s="24"/>
      <c r="AI117" s="7" t="str">
        <f t="shared" si="186"/>
        <v/>
      </c>
      <c r="AJ117" s="24" t="str">
        <f t="shared" si="187"/>
        <v/>
      </c>
      <c r="AK117" s="24"/>
      <c r="AL117" s="24" t="str">
        <f t="shared" si="189"/>
        <v/>
      </c>
      <c r="AM117" s="24"/>
      <c r="AN117" s="24" t="str">
        <f>IFERROR(IF(AM117, INDEX(grade_number, MATCH(INDEX(schedule_grades, MATCH(AC117, schedule_courses, 0)), grade_letter, 0))&gt;=2, ""), "")</f>
        <v/>
      </c>
      <c r="AO117" s="42">
        <v>3</v>
      </c>
      <c r="AP117" s="29"/>
      <c r="AQ117" s="29" t="str">
        <f t="shared" si="206"/>
        <v/>
      </c>
      <c r="AR117" s="29" t="str">
        <f t="shared" si="207"/>
        <v/>
      </c>
      <c r="AS117" s="29" t="str">
        <f t="shared" si="181"/>
        <v/>
      </c>
      <c r="AT117" s="24"/>
      <c r="AU117" s="24" t="str">
        <f t="shared" si="208"/>
        <v/>
      </c>
      <c r="AV117" s="24" t="str">
        <f t="shared" si="209"/>
        <v/>
      </c>
      <c r="AW117" s="24" t="str">
        <f t="shared" si="184"/>
        <v/>
      </c>
      <c r="AX117" s="41"/>
      <c r="AY117" s="24"/>
      <c r="AZ117" s="15"/>
    </row>
    <row r="118" spans="28:52">
      <c r="AB118" s="16"/>
      <c r="AC118" s="142"/>
      <c r="AD118" s="106" t="b">
        <f t="shared" si="178"/>
        <v>0</v>
      </c>
      <c r="AE118" s="24" t="str">
        <f t="shared" ref="AE118:AE120" si="210">IF(AX118,0,IFERROR(INDEX(schedule_semester,MATCH(AC118,schedule_courses,0)), ""))</f>
        <v/>
      </c>
      <c r="AF118" s="24" t="str">
        <f t="shared" si="205"/>
        <v/>
      </c>
      <c r="AG118" s="24" t="str">
        <f t="shared" si="185"/>
        <v/>
      </c>
      <c r="AH118" s="24"/>
      <c r="AI118" s="7" t="str">
        <f t="shared" si="186"/>
        <v/>
      </c>
      <c r="AJ118" s="24" t="str">
        <f t="shared" si="187"/>
        <v/>
      </c>
      <c r="AK118" s="24"/>
      <c r="AL118" s="24" t="str">
        <f t="shared" si="189"/>
        <v/>
      </c>
      <c r="AM118" s="24"/>
      <c r="AN118" s="24" t="str">
        <f t="shared" ref="AN118:AN120" si="211">IFERROR(IF(AM118, INDEX(grade_number, MATCH(INDEX(schedule_grades, MATCH(AC118, schedule_courses, 0)), grade_letter, 0))&gt;=2, ""), "")</f>
        <v/>
      </c>
      <c r="AO118" s="42"/>
      <c r="AP118" s="29"/>
      <c r="AQ118" s="29" t="str">
        <f t="shared" si="206"/>
        <v/>
      </c>
      <c r="AR118" s="29" t="str">
        <f t="shared" si="207"/>
        <v/>
      </c>
      <c r="AS118" s="29" t="str">
        <f t="shared" si="181"/>
        <v/>
      </c>
      <c r="AT118" s="24"/>
      <c r="AU118" s="24" t="str">
        <f t="shared" si="208"/>
        <v/>
      </c>
      <c r="AV118" s="24" t="str">
        <f t="shared" si="209"/>
        <v/>
      </c>
      <c r="AW118" s="24" t="str">
        <f t="shared" si="184"/>
        <v/>
      </c>
      <c r="AX118" s="41"/>
      <c r="AY118" s="24"/>
      <c r="AZ118" s="15"/>
    </row>
    <row r="119" spans="28:52">
      <c r="AB119" s="108"/>
      <c r="AC119" s="142"/>
      <c r="AD119" s="106" t="b">
        <f t="shared" si="178"/>
        <v>0</v>
      </c>
      <c r="AE119" s="24" t="str">
        <f t="shared" si="210"/>
        <v/>
      </c>
      <c r="AF119" s="24" t="str">
        <f t="shared" si="205"/>
        <v/>
      </c>
      <c r="AG119" s="24" t="str">
        <f t="shared" si="185"/>
        <v/>
      </c>
      <c r="AH119" s="24"/>
      <c r="AI119" s="7" t="str">
        <f t="shared" si="186"/>
        <v/>
      </c>
      <c r="AJ119" s="24" t="str">
        <f t="shared" si="187"/>
        <v/>
      </c>
      <c r="AK119" s="24"/>
      <c r="AL119" s="24" t="str">
        <f t="shared" si="189"/>
        <v/>
      </c>
      <c r="AM119" s="24"/>
      <c r="AN119" s="24" t="str">
        <f t="shared" si="211"/>
        <v/>
      </c>
      <c r="AO119" s="42"/>
      <c r="AP119" s="29"/>
      <c r="AQ119" s="29" t="str">
        <f t="shared" si="206"/>
        <v/>
      </c>
      <c r="AR119" s="29" t="str">
        <f t="shared" si="207"/>
        <v/>
      </c>
      <c r="AS119" s="29" t="str">
        <f t="shared" si="181"/>
        <v/>
      </c>
      <c r="AT119" s="24"/>
      <c r="AU119" s="24" t="str">
        <f t="shared" si="208"/>
        <v/>
      </c>
      <c r="AV119" s="24" t="str">
        <f t="shared" si="209"/>
        <v/>
      </c>
      <c r="AW119" s="24" t="str">
        <f t="shared" si="184"/>
        <v/>
      </c>
      <c r="AX119" s="41"/>
      <c r="AY119" s="24"/>
      <c r="AZ119" s="15"/>
    </row>
    <row r="120" spans="28:52">
      <c r="AB120" s="109"/>
      <c r="AC120" s="143"/>
      <c r="AD120" s="106" t="b">
        <f t="shared" si="178"/>
        <v>0</v>
      </c>
      <c r="AE120" s="24" t="str">
        <f t="shared" si="210"/>
        <v/>
      </c>
      <c r="AF120" s="24" t="str">
        <f t="shared" si="205"/>
        <v/>
      </c>
      <c r="AG120" s="24" t="str">
        <f t="shared" si="185"/>
        <v/>
      </c>
      <c r="AH120" s="24"/>
      <c r="AI120" s="7" t="str">
        <f t="shared" si="186"/>
        <v/>
      </c>
      <c r="AJ120" s="24" t="str">
        <f t="shared" si="187"/>
        <v/>
      </c>
      <c r="AK120" s="24"/>
      <c r="AL120" s="24" t="str">
        <f t="shared" si="189"/>
        <v/>
      </c>
      <c r="AM120" s="24"/>
      <c r="AN120" s="24" t="str">
        <f t="shared" si="211"/>
        <v/>
      </c>
      <c r="AO120" s="42"/>
      <c r="AP120" s="29"/>
      <c r="AQ120" s="29" t="str">
        <f t="shared" si="206"/>
        <v/>
      </c>
      <c r="AR120" s="29" t="str">
        <f t="shared" si="207"/>
        <v/>
      </c>
      <c r="AS120" s="29" t="str">
        <f t="shared" si="181"/>
        <v/>
      </c>
      <c r="AT120" s="24"/>
      <c r="AU120" s="24" t="str">
        <f t="shared" si="208"/>
        <v/>
      </c>
      <c r="AV120" s="24" t="str">
        <f t="shared" si="209"/>
        <v/>
      </c>
      <c r="AW120" s="24" t="str">
        <f t="shared" si="184"/>
        <v/>
      </c>
      <c r="AX120" s="41"/>
      <c r="AY120" s="24"/>
      <c r="AZ120" s="15"/>
    </row>
    <row r="121" spans="28:52">
      <c r="AB121" s="16" t="s">
        <v>47</v>
      </c>
      <c r="AC121" s="29"/>
      <c r="AD121" s="106"/>
      <c r="AE121" s="24"/>
      <c r="AF121" s="24"/>
      <c r="AG121" s="24"/>
      <c r="AH121" s="24"/>
      <c r="AI121" s="7"/>
      <c r="AJ121" s="24"/>
      <c r="AK121" s="24"/>
      <c r="AL121" s="24"/>
      <c r="AM121" s="24"/>
      <c r="AN121" s="24"/>
      <c r="AO121" s="29"/>
      <c r="AP121" s="24"/>
      <c r="AQ121" s="24"/>
      <c r="AR121" s="24"/>
      <c r="AS121" s="24"/>
      <c r="AT121" s="24"/>
      <c r="AU121" s="24"/>
      <c r="AV121" s="24"/>
      <c r="AW121" s="24"/>
      <c r="AX121" s="69"/>
      <c r="AY121" s="24"/>
      <c r="AZ121" s="15"/>
    </row>
    <row r="122" spans="28:52">
      <c r="AB122" s="35" cm="1">
        <f t="array" ref="AB122">SUM(IF(ISNA(MATCH(AC115:AC120,schedule_courses,0)),0,1)*(AO115:AO120))</f>
        <v>6</v>
      </c>
      <c r="AC122" s="29"/>
      <c r="AD122" s="106"/>
      <c r="AE122" s="24"/>
      <c r="AF122" s="24"/>
      <c r="AG122" s="24"/>
      <c r="AH122" s="24"/>
      <c r="AI122" s="7"/>
      <c r="AJ122" s="24"/>
      <c r="AK122" s="24"/>
      <c r="AL122" s="24"/>
      <c r="AM122" s="24"/>
      <c r="AN122" s="24"/>
      <c r="AO122" s="29"/>
      <c r="AP122" s="24"/>
      <c r="AQ122" s="24"/>
      <c r="AR122" s="24"/>
      <c r="AS122" s="24"/>
      <c r="AT122" s="24"/>
      <c r="AU122" s="24"/>
      <c r="AV122" s="24"/>
      <c r="AW122" s="24"/>
      <c r="AX122" s="69"/>
      <c r="AY122" s="24"/>
      <c r="AZ122" s="15"/>
    </row>
    <row r="123" spans="28:52">
      <c r="AB123" s="121" t="str">
        <f>IF(AB122&gt;=AB115, "Satisfied", "Not Satisfied")</f>
        <v>Not Satisfied</v>
      </c>
      <c r="AC123" s="122"/>
      <c r="AD123" s="107"/>
      <c r="AE123" s="10"/>
      <c r="AF123" s="10"/>
      <c r="AG123" s="10"/>
      <c r="AH123" s="10"/>
      <c r="AI123" s="5"/>
      <c r="AJ123" s="10"/>
      <c r="AK123" s="10"/>
      <c r="AL123" s="10"/>
      <c r="AM123" s="10"/>
      <c r="AN123" s="10"/>
      <c r="AO123" s="122"/>
      <c r="AP123" s="10"/>
      <c r="AQ123" s="10"/>
      <c r="AR123" s="10"/>
      <c r="AS123" s="10"/>
      <c r="AT123" s="10"/>
      <c r="AU123" s="10"/>
      <c r="AV123" s="10"/>
      <c r="AW123" s="10"/>
      <c r="AX123" s="148"/>
      <c r="AY123" s="10"/>
      <c r="AZ123" s="26"/>
    </row>
    <row r="124" spans="28:52">
      <c r="AB124" s="68"/>
      <c r="AC124" s="24"/>
      <c r="AD124" s="106"/>
      <c r="AE124" s="24"/>
      <c r="AF124" s="24"/>
      <c r="AG124" s="24"/>
      <c r="AH124" s="24"/>
      <c r="AI124" s="24"/>
      <c r="AJ124" s="24"/>
      <c r="AK124" s="24"/>
      <c r="AL124" s="24"/>
      <c r="AM124" s="24"/>
      <c r="AN124" s="24"/>
      <c r="AO124" s="24"/>
      <c r="AP124" s="24"/>
      <c r="AQ124" s="24"/>
      <c r="AR124" s="24"/>
      <c r="AS124" s="24"/>
      <c r="AT124" s="24"/>
      <c r="AU124" s="24"/>
      <c r="AV124" s="24"/>
      <c r="AW124" s="24"/>
      <c r="AX124" s="41"/>
      <c r="AY124" s="24"/>
      <c r="AZ124" s="24"/>
    </row>
    <row r="125" spans="28:52">
      <c r="AB125" s="68"/>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69"/>
      <c r="AY125" s="24"/>
      <c r="AZ125" s="24"/>
    </row>
    <row r="127" spans="28:52">
      <c r="AB127" s="93" t="s">
        <v>340</v>
      </c>
      <c r="AC127" s="92"/>
      <c r="AD127" s="92"/>
      <c r="AE127" s="92"/>
      <c r="AF127" s="92"/>
      <c r="AG127" s="92"/>
      <c r="AH127" s="92"/>
      <c r="AI127" s="92"/>
      <c r="AJ127" s="92"/>
      <c r="AK127" s="92"/>
      <c r="AL127" s="92"/>
      <c r="AM127" s="92"/>
      <c r="AN127" s="92"/>
      <c r="AO127" s="92"/>
      <c r="AP127" s="92"/>
      <c r="AQ127" s="92"/>
      <c r="AR127" s="92"/>
      <c r="AS127" s="92"/>
      <c r="AT127" s="92"/>
      <c r="AU127" s="92"/>
      <c r="AV127" s="92"/>
      <c r="AW127" s="92"/>
      <c r="AX127" s="92"/>
      <c r="AY127" s="92"/>
      <c r="AZ127" s="94"/>
    </row>
    <row r="128" spans="28:52">
      <c r="AB128" s="89" t="s">
        <v>73</v>
      </c>
      <c r="AC128" s="88" t="s">
        <v>33</v>
      </c>
      <c r="AD128" s="5" t="s">
        <v>104</v>
      </c>
      <c r="AE128" s="5" t="s">
        <v>105</v>
      </c>
      <c r="AF128" s="5" t="s">
        <v>106</v>
      </c>
      <c r="AG128" s="5" t="s">
        <v>107</v>
      </c>
      <c r="AH128" s="5" t="s">
        <v>108</v>
      </c>
      <c r="AI128" s="5" t="s">
        <v>109</v>
      </c>
      <c r="AJ128" s="5" t="s">
        <v>110</v>
      </c>
      <c r="AK128" s="5" t="s">
        <v>111</v>
      </c>
      <c r="AL128" s="5" t="s">
        <v>112</v>
      </c>
      <c r="AM128" s="5" t="s">
        <v>113</v>
      </c>
      <c r="AN128" s="5" t="s">
        <v>114</v>
      </c>
      <c r="AO128" s="88" t="s">
        <v>35</v>
      </c>
      <c r="AP128" s="88" t="s">
        <v>77</v>
      </c>
      <c r="AQ128" s="91" t="s">
        <v>104</v>
      </c>
      <c r="AR128" s="5" t="s">
        <v>105</v>
      </c>
      <c r="AS128" s="5" t="s">
        <v>115</v>
      </c>
      <c r="AT128" s="88" t="s">
        <v>79</v>
      </c>
      <c r="AU128" s="91" t="s">
        <v>104</v>
      </c>
      <c r="AV128" s="91" t="s">
        <v>105</v>
      </c>
      <c r="AW128" s="5" t="s">
        <v>116</v>
      </c>
      <c r="AX128" s="88" t="s">
        <v>80</v>
      </c>
      <c r="AY128" s="88" t="s">
        <v>37</v>
      </c>
      <c r="AZ128" s="90" t="s">
        <v>83</v>
      </c>
    </row>
    <row r="129" spans="28:52">
      <c r="AB129" s="14"/>
      <c r="AC129" s="24" t="s">
        <v>152</v>
      </c>
      <c r="AD129" s="7" t="b">
        <f>NOT(ISERROR(MATCH(AC129,schedule_courses,0)))</f>
        <v>0</v>
      </c>
      <c r="AE129" s="7" t="str">
        <f t="shared" ref="AE129:AE132" si="212">IF(AX129,0,IFERROR(INDEX(schedule_semester,MATCH(AC129,schedule_courses,0)), ""))</f>
        <v/>
      </c>
      <c r="AF129" s="7">
        <f t="shared" ref="AF129:AF132" si="213">IF(ISNA(MATCH(AC129, $R$6:$R$14, 0)), "", $R$3)</f>
        <v>4</v>
      </c>
      <c r="AG129" s="7" t="str">
        <f>IF(AE129="", "", AE129&lt;AF129)</f>
        <v/>
      </c>
      <c r="AH129" s="7"/>
      <c r="AI129" s="7" t="str">
        <f>IF(AE129="", "", AE129&gt;=AH129)</f>
        <v/>
      </c>
      <c r="AJ129" s="7" t="str">
        <f>IF(AE129="","",IF(MOD(AE129,2)=0,2,1))</f>
        <v/>
      </c>
      <c r="AK129" s="7"/>
      <c r="AL129" s="7" t="str">
        <f t="shared" ref="AL129:AL132" si="214">IF(AK129&lt;&gt;0, AK129&lt;&gt;AJ129, "")</f>
        <v/>
      </c>
      <c r="AM129" s="7"/>
      <c r="AN129" s="7" t="str">
        <f t="shared" ref="AN129:AN132" si="215">IFERROR(IF(AM129, INDEX(grade_number, MATCH(INDEX(schedule_grades, MATCH(AC129, schedule_courses, 0)), grade_letter, 0))&gt;=2, ""), "")</f>
        <v/>
      </c>
      <c r="AO129" s="24">
        <v>3</v>
      </c>
      <c r="AP129" s="24"/>
      <c r="AQ129" s="7" t="str">
        <f t="shared" ref="AQ129:AQ132" si="216">IF(AP129=0,"",NOT(ISERROR(MATCH(AP129,schedule_courses,0))))</f>
        <v/>
      </c>
      <c r="AR129" s="7" t="str">
        <f t="shared" ref="AR129:AR132" si="217">IF(IFERROR(INDEX(req_tr_AP_credit, MATCH(AP129, req_course,0)), FALSE),0,IFERROR(INDEX(schedule_semester,MATCH(AP129,schedule_courses,0)), ""))</f>
        <v/>
      </c>
      <c r="AS129" s="7" t="str">
        <f t="shared" ref="AS129:AS132" si="218">IF(AR129&lt;&gt;"", AR129&lt;AE129, "")</f>
        <v/>
      </c>
      <c r="AT129" s="24"/>
      <c r="AU129" s="7" t="str">
        <f t="shared" ref="AU129:AU132" si="219">IF(AT129=0,"",NOT(ISERROR(MATCH(AT129,schedule_courses,0))))</f>
        <v/>
      </c>
      <c r="AV129" s="7" t="str">
        <f t="shared" ref="AV129:AV132" si="220">IF(IFERROR(INDEX(req_tr_AP_credit, MATCH(AT129, req_course)), FALSE),0,IFERROR(INDEX(schedule_semester,MATCH(AT129,schedule_courses,0)), ""))</f>
        <v/>
      </c>
      <c r="AW129" s="7" t="str">
        <f t="shared" ref="AW129:AW132" si="221">IF(AV129&lt;&gt;"", AV129&lt;=AE129, "")</f>
        <v/>
      </c>
      <c r="AX129" s="41"/>
      <c r="AY129" s="24" t="s">
        <v>213</v>
      </c>
      <c r="AZ129" s="15"/>
    </row>
    <row r="130" spans="28:52">
      <c r="AB130" s="14"/>
      <c r="AC130" s="24" t="s">
        <v>245</v>
      </c>
      <c r="AD130" s="7" t="b">
        <f>NOT(ISERROR(MATCH(AC130,schedule_courses,0)))</f>
        <v>0</v>
      </c>
      <c r="AE130" s="7" t="str">
        <f t="shared" si="212"/>
        <v/>
      </c>
      <c r="AF130" s="7" t="str">
        <f t="shared" si="213"/>
        <v/>
      </c>
      <c r="AG130" s="7" t="str">
        <f t="shared" ref="AG130:AG132" si="222">IF(AE130="", "", AE130&lt;AF130)</f>
        <v/>
      </c>
      <c r="AH130" s="7"/>
      <c r="AI130" s="7" t="str">
        <f t="shared" ref="AI130:AI132" si="223">IF(AE130="", "", AE130&gt;=AH130)</f>
        <v/>
      </c>
      <c r="AJ130" s="7" t="str">
        <f t="shared" ref="AJ130:AJ132" si="224">IF(AE130="","",IF(MOD(AE130,2)=0,2,1))</f>
        <v/>
      </c>
      <c r="AK130" s="7"/>
      <c r="AL130" s="7" t="str">
        <f t="shared" si="214"/>
        <v/>
      </c>
      <c r="AM130" s="7"/>
      <c r="AN130" s="7" t="str">
        <f t="shared" si="215"/>
        <v/>
      </c>
      <c r="AO130" s="24">
        <v>3</v>
      </c>
      <c r="AP130" s="24"/>
      <c r="AQ130" s="7" t="str">
        <f t="shared" si="216"/>
        <v/>
      </c>
      <c r="AR130" s="7" t="str">
        <f t="shared" si="217"/>
        <v/>
      </c>
      <c r="AS130" s="7" t="str">
        <f t="shared" si="218"/>
        <v/>
      </c>
      <c r="AT130" s="24"/>
      <c r="AU130" s="7" t="str">
        <f t="shared" si="219"/>
        <v/>
      </c>
      <c r="AV130" s="7" t="str">
        <f t="shared" si="220"/>
        <v/>
      </c>
      <c r="AW130" s="7" t="str">
        <f t="shared" si="221"/>
        <v/>
      </c>
      <c r="AX130" s="41"/>
      <c r="AY130" s="24" t="s">
        <v>213</v>
      </c>
      <c r="AZ130" s="15"/>
    </row>
    <row r="131" spans="28:52">
      <c r="AB131" s="14"/>
      <c r="AC131" s="24" t="s">
        <v>341</v>
      </c>
      <c r="AD131" s="7" t="b">
        <f>NOT(ISERROR(MATCH(AC131,schedule_courses,0)))</f>
        <v>0</v>
      </c>
      <c r="AE131" s="7" t="str">
        <f t="shared" si="212"/>
        <v/>
      </c>
      <c r="AF131" s="7" t="str">
        <f t="shared" si="213"/>
        <v/>
      </c>
      <c r="AG131" s="7" t="str">
        <f t="shared" si="222"/>
        <v/>
      </c>
      <c r="AH131" s="7"/>
      <c r="AI131" s="7" t="str">
        <f t="shared" si="223"/>
        <v/>
      </c>
      <c r="AJ131" s="7" t="str">
        <f t="shared" si="224"/>
        <v/>
      </c>
      <c r="AK131" s="7"/>
      <c r="AL131" s="7" t="str">
        <f t="shared" si="214"/>
        <v/>
      </c>
      <c r="AM131" s="7"/>
      <c r="AN131" s="7" t="str">
        <f t="shared" si="215"/>
        <v/>
      </c>
      <c r="AO131" s="24">
        <v>3</v>
      </c>
      <c r="AP131" s="24" t="s">
        <v>152</v>
      </c>
      <c r="AQ131" s="7" t="b">
        <f t="shared" si="216"/>
        <v>0</v>
      </c>
      <c r="AR131" s="7">
        <f t="shared" si="217"/>
        <v>0</v>
      </c>
      <c r="AS131" s="7" t="b">
        <f t="shared" si="218"/>
        <v>1</v>
      </c>
      <c r="AT131" s="24"/>
      <c r="AU131" s="7" t="str">
        <f t="shared" si="219"/>
        <v/>
      </c>
      <c r="AV131" s="7" t="str">
        <f t="shared" si="220"/>
        <v/>
      </c>
      <c r="AW131" s="7" t="str">
        <f t="shared" si="221"/>
        <v/>
      </c>
      <c r="AX131" s="41"/>
      <c r="AY131" s="24" t="s">
        <v>213</v>
      </c>
      <c r="AZ131" s="15"/>
    </row>
    <row r="132" spans="28:52">
      <c r="AB132" s="14"/>
      <c r="AC132" s="24" t="s">
        <v>342</v>
      </c>
      <c r="AD132" s="7" t="b">
        <f>NOT(ISERROR(MATCH(AC132,schedule_courses,0)))</f>
        <v>0</v>
      </c>
      <c r="AE132" s="7" t="str">
        <f t="shared" si="212"/>
        <v/>
      </c>
      <c r="AF132" s="7" t="str">
        <f t="shared" si="213"/>
        <v/>
      </c>
      <c r="AG132" s="7" t="str">
        <f t="shared" si="222"/>
        <v/>
      </c>
      <c r="AH132" s="7"/>
      <c r="AI132" s="7" t="str">
        <f t="shared" si="223"/>
        <v/>
      </c>
      <c r="AJ132" s="7" t="str">
        <f t="shared" si="224"/>
        <v/>
      </c>
      <c r="AK132" s="7"/>
      <c r="AL132" s="7" t="str">
        <f t="shared" si="214"/>
        <v/>
      </c>
      <c r="AM132" s="7"/>
      <c r="AN132" s="7" t="str">
        <f t="shared" si="215"/>
        <v/>
      </c>
      <c r="AO132" s="24">
        <v>3</v>
      </c>
      <c r="AP132" s="24" t="s">
        <v>245</v>
      </c>
      <c r="AQ132" s="7" t="b">
        <f t="shared" si="216"/>
        <v>0</v>
      </c>
      <c r="AR132" s="7">
        <f t="shared" si="217"/>
        <v>0</v>
      </c>
      <c r="AS132" s="7" t="b">
        <f t="shared" si="218"/>
        <v>1</v>
      </c>
      <c r="AT132" s="24"/>
      <c r="AU132" s="7" t="str">
        <f t="shared" si="219"/>
        <v/>
      </c>
      <c r="AV132" s="7" t="str">
        <f t="shared" si="220"/>
        <v/>
      </c>
      <c r="AW132" s="7" t="str">
        <f t="shared" si="221"/>
        <v/>
      </c>
      <c r="AX132" s="41"/>
      <c r="AY132" s="24" t="s">
        <v>213</v>
      </c>
      <c r="AZ132" s="15"/>
    </row>
    <row r="133" spans="28:52">
      <c r="AB133" s="14"/>
      <c r="AC133" s="24"/>
      <c r="AD133" s="7"/>
      <c r="AE133" s="7"/>
      <c r="AF133" s="7"/>
      <c r="AG133" s="7"/>
      <c r="AH133" s="7"/>
      <c r="AI133" s="7"/>
      <c r="AJ133" s="7"/>
      <c r="AK133" s="7"/>
      <c r="AL133" s="7"/>
      <c r="AM133" s="7"/>
      <c r="AN133" s="7"/>
      <c r="AO133" s="24"/>
      <c r="AP133" s="24"/>
      <c r="AQ133" s="7"/>
      <c r="AR133" s="7"/>
      <c r="AS133" s="7"/>
      <c r="AT133" s="24"/>
      <c r="AU133" s="7"/>
      <c r="AV133" s="7"/>
      <c r="AW133" s="7"/>
      <c r="AX133" s="41"/>
      <c r="AY133" s="24"/>
      <c r="AZ133" s="15"/>
    </row>
    <row r="134" spans="28:52">
      <c r="AB134" s="308" t="s">
        <v>343</v>
      </c>
      <c r="AC134" s="24"/>
      <c r="AD134" s="7"/>
      <c r="AE134" s="7"/>
      <c r="AF134" s="7"/>
      <c r="AG134" s="7"/>
      <c r="AH134" s="7"/>
      <c r="AI134" s="7"/>
      <c r="AJ134" s="7"/>
      <c r="AK134" s="7"/>
      <c r="AL134" s="7"/>
      <c r="AM134" s="7"/>
      <c r="AN134" s="7"/>
      <c r="AO134" s="24"/>
      <c r="AP134" s="24"/>
      <c r="AQ134" s="7"/>
      <c r="AR134" s="7"/>
      <c r="AS134" s="7"/>
      <c r="AT134" s="24"/>
      <c r="AU134" s="7"/>
      <c r="AV134" s="7"/>
      <c r="AW134" s="7"/>
      <c r="AX134" s="41"/>
      <c r="AY134" s="24"/>
      <c r="AZ134" s="15"/>
    </row>
    <row r="135" spans="28:52">
      <c r="AB135" s="308"/>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
      <c r="AZ135" s="15"/>
    </row>
    <row r="136" spans="28:52">
      <c r="AB136" s="308"/>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
      <c r="AZ136" s="15"/>
    </row>
    <row r="137" spans="28:52">
      <c r="AB137" s="308"/>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15"/>
    </row>
    <row r="138" spans="28:52">
      <c r="AB138" s="308"/>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15"/>
    </row>
    <row r="139" spans="28:52">
      <c r="AB139" s="308"/>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15"/>
    </row>
    <row r="140" spans="28:52">
      <c r="AB140" s="308"/>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15"/>
    </row>
    <row r="141" spans="28:52">
      <c r="AB141" s="308"/>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15"/>
    </row>
    <row r="142" spans="28:52">
      <c r="AB142" s="70">
        <v>6</v>
      </c>
      <c r="AC142" s="110" t="s">
        <v>344</v>
      </c>
      <c r="AD142" s="7" t="b">
        <f>NOT(ISERROR(MATCH(AC142,schedule_courses,0)))</f>
        <v>0</v>
      </c>
      <c r="AE142" s="7" t="str">
        <f>IF(AX142,0,IFERROR(INDEX(schedule_semester,MATCH(AC142,schedule_courses,0)), ""))</f>
        <v/>
      </c>
      <c r="AF142" s="7" t="str">
        <f>IF(ISNA(MATCH(AC142, $R$6:$R$14, 0)), "", $R$3)</f>
        <v/>
      </c>
      <c r="AG142" s="7" t="str">
        <f>IF(AE142="", "", AE142&lt;AF142)</f>
        <v/>
      </c>
      <c r="AH142" s="7"/>
      <c r="AI142" s="7" t="str">
        <f>IF(AE142="", "", AE142&gt;=AH142)</f>
        <v/>
      </c>
      <c r="AJ142" s="7" t="str">
        <f>IF(AE142="","",IF(MOD(AE142,2)=0,2,1))</f>
        <v/>
      </c>
      <c r="AK142" s="7"/>
      <c r="AL142" s="7" t="str">
        <f>IF(AK142&lt;&gt;0, AK142&lt;&gt;AJ142, "")</f>
        <v/>
      </c>
      <c r="AM142" s="7"/>
      <c r="AN142" s="7" t="str">
        <f>IFERROR(IF(AM142, INDEX(grade_number, MATCH(INDEX(schedule_grades, MATCH(AC142, schedule_courses, 0)), grade_letter, 0))&gt;=2, ""), "")</f>
        <v/>
      </c>
      <c r="AO142" s="41">
        <v>3</v>
      </c>
      <c r="AP142" s="24"/>
      <c r="AQ142" s="7" t="str">
        <f t="shared" ref="AQ142" si="225">IF(AP142=0,"",NOT(ISERROR(MATCH(AP142,schedule_courses,0))))</f>
        <v/>
      </c>
      <c r="AR142" s="7" t="str">
        <f t="shared" ref="AR142" si="226">IF(IFERROR(INDEX(req_tr_AP_credit, MATCH(AP142, req_course,0)), FALSE),0,IFERROR(INDEX(schedule_semester,MATCH(AP142,schedule_courses,0)), ""))</f>
        <v/>
      </c>
      <c r="AS142" s="7" t="str">
        <f>IF(AR142&lt;&gt;"", AR142&lt;AE142, "")</f>
        <v/>
      </c>
      <c r="AT142" s="24"/>
      <c r="AU142" s="7" t="str">
        <f t="shared" ref="AU142" si="227">IF(AT142=0,"",NOT(ISERROR(MATCH(AT142,schedule_courses,0))))</f>
        <v/>
      </c>
      <c r="AV142" s="7" t="str">
        <f t="shared" ref="AV142" si="228">IF(IFERROR(INDEX(req_tr_AP_credit, MATCH(AT142, req_course)), FALSE),0,IFERROR(INDEX(schedule_semester,MATCH(AT142,schedule_courses,0)), ""))</f>
        <v/>
      </c>
      <c r="AW142" s="7" t="str">
        <f>IF(AV142&lt;&gt;"", AV142&lt;=AE142, "")</f>
        <v/>
      </c>
      <c r="AX142" s="41"/>
      <c r="AY142" s="24"/>
      <c r="AZ142" s="15"/>
    </row>
    <row r="143" spans="28:52">
      <c r="AB143" s="14"/>
      <c r="AC143" s="111" t="s">
        <v>345</v>
      </c>
      <c r="AD143" s="7" t="b">
        <f>NOT(ISERROR(MATCH(AC143,schedule_courses,0)))</f>
        <v>0</v>
      </c>
      <c r="AE143" s="7" t="str">
        <f>IF(AX143,0,IFERROR(INDEX(schedule_semester,MATCH(AC143,schedule_courses,0)), ""))</f>
        <v/>
      </c>
      <c r="AF143" s="7" t="str">
        <f>IF(ISNA(MATCH(AC143, $R$6:$R$14, 0)), "", $R$3)</f>
        <v/>
      </c>
      <c r="AG143" s="7" t="str">
        <f t="shared" ref="AG143:AG145" si="229">IF(AE143="", "", AE143&lt;AF143)</f>
        <v/>
      </c>
      <c r="AH143" s="7"/>
      <c r="AI143" s="7" t="str">
        <f t="shared" ref="AI143:AI145" si="230">IF(AE143="", "", AE143&gt;=AH143)</f>
        <v/>
      </c>
      <c r="AJ143" s="7" t="str">
        <f t="shared" ref="AJ143:AJ145" si="231">IF(AE143="","",IF(MOD(AE143,2)=0,2,1))</f>
        <v/>
      </c>
      <c r="AK143" s="7"/>
      <c r="AL143" s="7" t="str">
        <f>IF(AK143&lt;&gt;0, AK143&lt;&gt;AJ143, "")</f>
        <v/>
      </c>
      <c r="AM143" s="7"/>
      <c r="AN143" s="7" t="str">
        <f>IFERROR(IF(AM143, INDEX(grade_number, MATCH(INDEX(schedule_grades, MATCH(AC143, schedule_courses, 0)), grade_letter, 0))&gt;=2, ""), "")</f>
        <v/>
      </c>
      <c r="AO143" s="41">
        <v>3</v>
      </c>
      <c r="AP143" s="24"/>
      <c r="AQ143" s="7" t="str">
        <f t="shared" ref="AQ143:AQ145" si="232">IF(AP143=0,"",NOT(ISERROR(MATCH(AP143,schedule_courses,0))))</f>
        <v/>
      </c>
      <c r="AR143" s="7" t="str">
        <f t="shared" ref="AR143:AR145" si="233">IF(IFERROR(INDEX(req_tr_AP_credit, MATCH(AP143, req_course,0)), FALSE),0,IFERROR(INDEX(schedule_semester,MATCH(AP143,schedule_courses,0)), ""))</f>
        <v/>
      </c>
      <c r="AS143" s="7" t="str">
        <f>IF(AR143&lt;&gt;"", AR143&lt;AE143, "")</f>
        <v/>
      </c>
      <c r="AT143" s="24"/>
      <c r="AU143" s="7" t="str">
        <f t="shared" ref="AU143:AU145" si="234">IF(AT143=0,"",NOT(ISERROR(MATCH(AT143,schedule_courses,0))))</f>
        <v/>
      </c>
      <c r="AV143" s="7" t="str">
        <f t="shared" ref="AV143:AV145" si="235">IF(IFERROR(INDEX(req_tr_AP_credit, MATCH(AT143, req_course)), FALSE),0,IFERROR(INDEX(schedule_semester,MATCH(AT143,schedule_courses,0)), ""))</f>
        <v/>
      </c>
      <c r="AW143" s="7" t="str">
        <f>IF(AV143&lt;&gt;"", AV143&lt;=AE143, "")</f>
        <v/>
      </c>
      <c r="AX143" s="41"/>
      <c r="AY143" s="24"/>
      <c r="AZ143" s="15"/>
    </row>
    <row r="144" spans="28:52">
      <c r="AB144" s="14"/>
      <c r="AC144" s="111"/>
      <c r="AD144" s="7" t="b">
        <f>NOT(ISERROR(MATCH(AC144,schedule_courses,0)))</f>
        <v>0</v>
      </c>
      <c r="AE144" s="7" t="str">
        <f>IF(AX144,0,IFERROR(INDEX(schedule_semester,MATCH(AC144,schedule_courses,0)), ""))</f>
        <v/>
      </c>
      <c r="AF144" s="7" t="str">
        <f>IF(ISNA(MATCH(AC144, $R$6:$R$14, 0)), "", $R$3)</f>
        <v/>
      </c>
      <c r="AG144" s="7" t="str">
        <f t="shared" si="229"/>
        <v/>
      </c>
      <c r="AH144" s="7"/>
      <c r="AI144" s="7" t="str">
        <f t="shared" si="230"/>
        <v/>
      </c>
      <c r="AJ144" s="7" t="str">
        <f t="shared" si="231"/>
        <v/>
      </c>
      <c r="AK144" s="7"/>
      <c r="AL144" s="7" t="str">
        <f>IF(AK144&lt;&gt;0, AK144&lt;&gt;AJ144, "")</f>
        <v/>
      </c>
      <c r="AM144" s="7"/>
      <c r="AN144" s="7" t="str">
        <f>IFERROR(IF(AM144, INDEX(grade_number, MATCH(INDEX(schedule_grades, MATCH(AC144, schedule_courses, 0)), grade_letter, 0))&gt;=2, ""), "")</f>
        <v/>
      </c>
      <c r="AO144" s="41"/>
      <c r="AP144" s="24"/>
      <c r="AQ144" s="7" t="str">
        <f t="shared" si="232"/>
        <v/>
      </c>
      <c r="AR144" s="7" t="str">
        <f t="shared" si="233"/>
        <v/>
      </c>
      <c r="AS144" s="7" t="str">
        <f>IF(AR144&lt;&gt;"", AR144&lt;AE144, "")</f>
        <v/>
      </c>
      <c r="AT144" s="24"/>
      <c r="AU144" s="7" t="str">
        <f t="shared" si="234"/>
        <v/>
      </c>
      <c r="AV144" s="7" t="str">
        <f t="shared" si="235"/>
        <v/>
      </c>
      <c r="AW144" s="7" t="str">
        <f>IF(AV144&lt;&gt;"", AV144&lt;=AE144, "")</f>
        <v/>
      </c>
      <c r="AX144" s="41"/>
      <c r="AY144" s="24"/>
      <c r="AZ144" s="15"/>
    </row>
    <row r="145" spans="28:52">
      <c r="AB145" s="14"/>
      <c r="AC145" s="112"/>
      <c r="AD145" s="7" t="b">
        <f>NOT(ISERROR(MATCH(AC145,schedule_courses,0)))</f>
        <v>0</v>
      </c>
      <c r="AE145" s="7" t="str">
        <f>IF(AX145,0,IFERROR(INDEX(schedule_semester,MATCH(AC145,schedule_courses,0)), ""))</f>
        <v/>
      </c>
      <c r="AF145" s="7" t="str">
        <f>IF(ISNA(MATCH(AC145, $R$6:$R$14, 0)), "", $R$3)</f>
        <v/>
      </c>
      <c r="AG145" s="7" t="str">
        <f t="shared" si="229"/>
        <v/>
      </c>
      <c r="AH145" s="7"/>
      <c r="AI145" s="7" t="str">
        <f t="shared" si="230"/>
        <v/>
      </c>
      <c r="AJ145" s="7" t="str">
        <f t="shared" si="231"/>
        <v/>
      </c>
      <c r="AK145" s="7"/>
      <c r="AL145" s="7" t="str">
        <f>IF(AK145&lt;&gt;0, AK145&lt;&gt;AJ145, "")</f>
        <v/>
      </c>
      <c r="AM145" s="7"/>
      <c r="AN145" s="7" t="str">
        <f>IFERROR(IF(AM145, INDEX(grade_number, MATCH(INDEX(schedule_grades, MATCH(AC145, schedule_courses, 0)), grade_letter, 0))&gt;=2, ""), "")</f>
        <v/>
      </c>
      <c r="AO145" s="41"/>
      <c r="AP145" s="24"/>
      <c r="AQ145" s="7" t="str">
        <f t="shared" si="232"/>
        <v/>
      </c>
      <c r="AR145" s="7" t="str">
        <f t="shared" si="233"/>
        <v/>
      </c>
      <c r="AS145" s="7" t="str">
        <f>IF(AR145&lt;&gt;"", AR145&lt;AE145, "")</f>
        <v/>
      </c>
      <c r="AT145" s="24"/>
      <c r="AU145" s="7" t="str">
        <f t="shared" si="234"/>
        <v/>
      </c>
      <c r="AV145" s="7" t="str">
        <f t="shared" si="235"/>
        <v/>
      </c>
      <c r="AW145" s="7" t="str">
        <f>IF(AV145&lt;&gt;"", AV145&lt;=AE145, "")</f>
        <v/>
      </c>
      <c r="AX145" s="41"/>
      <c r="AY145" s="24"/>
      <c r="AZ145" s="15"/>
    </row>
    <row r="146" spans="28:52">
      <c r="AB146" s="16" t="s">
        <v>47</v>
      </c>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15"/>
    </row>
    <row r="147" spans="28:52">
      <c r="AB147" s="65" cm="1">
        <f t="array" ref="AB147">SUM(IF(ISNA(MATCH(AC142:AC145,schedule_courses,0)),0,1)*(AO142:AO145))</f>
        <v>0</v>
      </c>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15"/>
    </row>
    <row r="148" spans="28:52">
      <c r="AB148" s="113" t="str">
        <f>IF(AB147&gt;=AB142, "Satisfied", "Not Satisfied")</f>
        <v>Not Satisfied</v>
      </c>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26"/>
    </row>
  </sheetData>
  <sheetProtection sheet="1" selectLockedCells="1"/>
  <sortState xmlns:xlrd2="http://schemas.microsoft.com/office/spreadsheetml/2017/richdata2" ref="AB4:AZ93">
    <sortCondition ref="AZ4:AZ93" customList="R,VEE,S"/>
    <sortCondition ref="AC4:AC93"/>
  </sortState>
  <mergeCells count="19">
    <mergeCell ref="AB134:AB141"/>
    <mergeCell ref="R19:V19"/>
    <mergeCell ref="T35:V35"/>
    <mergeCell ref="R46:S46"/>
    <mergeCell ref="AB30:AB32"/>
    <mergeCell ref="R2:V2"/>
    <mergeCell ref="R3:V3"/>
    <mergeCell ref="R5:V5"/>
    <mergeCell ref="R6:V6"/>
    <mergeCell ref="R7:V7"/>
    <mergeCell ref="R14:V14"/>
    <mergeCell ref="R15:V15"/>
    <mergeCell ref="R16:V16"/>
    <mergeCell ref="R8:V8"/>
    <mergeCell ref="R9:V9"/>
    <mergeCell ref="R10:V10"/>
    <mergeCell ref="R11:V11"/>
    <mergeCell ref="R13:V13"/>
    <mergeCell ref="R12:V12"/>
  </mergeCells>
  <phoneticPr fontId="11" type="noConversion"/>
  <conditionalFormatting sqref="R21:R32">
    <cfRule type="expression" dxfId="83" priority="24">
      <formula>NOT(V21)</formula>
    </cfRule>
    <cfRule type="expression" dxfId="82" priority="25">
      <formula>V21</formula>
    </cfRule>
  </conditionalFormatting>
  <conditionalFormatting sqref="R3:V3">
    <cfRule type="expression" dxfId="81" priority="26">
      <formula>NOT(etm_full_satisfied)</formula>
    </cfRule>
    <cfRule type="expression" dxfId="80" priority="27">
      <formula>etm_fully_satisfied</formula>
    </cfRule>
  </conditionalFormatting>
  <conditionalFormatting sqref="R6:R16">
    <cfRule type="expression" dxfId="79" priority="32">
      <formula>NOT(Z6)</formula>
    </cfRule>
    <cfRule type="expression" dxfId="78" priority="33">
      <formula>Z6</formula>
    </cfRule>
  </conditionalFormatting>
  <conditionalFormatting sqref="AB147:AB148">
    <cfRule type="expression" dxfId="77" priority="54">
      <formula>$AB$147&lt;$AB$142</formula>
    </cfRule>
    <cfRule type="expression" dxfId="76" priority="55">
      <formula>$AB$147&gt;=$AB$142</formula>
    </cfRule>
  </conditionalFormatting>
  <conditionalFormatting sqref="AB122:AB123">
    <cfRule type="expression" dxfId="75" priority="46">
      <formula>$AB$122&lt;$AB$115</formula>
    </cfRule>
    <cfRule type="expression" dxfId="74" priority="47">
      <formula>$AB$122&gt;=$AB$115</formula>
    </cfRule>
  </conditionalFormatting>
  <conditionalFormatting sqref="AC110:AC148 AC4:AC108">
    <cfRule type="expression" dxfId="73" priority="5" stopIfTrue="1">
      <formula>AX4</formula>
    </cfRule>
    <cfRule type="expression" dxfId="72" priority="6">
      <formula>NOT(AD4)</formula>
    </cfRule>
    <cfRule type="expression" dxfId="71" priority="8">
      <formula>AL4</formula>
    </cfRule>
    <cfRule type="expression" dxfId="70" priority="9">
      <formula>NOT(AI4)</formula>
    </cfRule>
    <cfRule type="expression" dxfId="69" priority="18">
      <formula>IFERROR(NOT(AN4), FALSE)</formula>
    </cfRule>
    <cfRule type="expression" dxfId="68" priority="19">
      <formula>AD4</formula>
    </cfRule>
  </conditionalFormatting>
  <conditionalFormatting sqref="AP4:AP148 AT4:AT148">
    <cfRule type="expression" dxfId="67" priority="20" stopIfTrue="1">
      <formula>IFERROR(INDEX(req_tr_AP_credit, MATCH(AP4, req_course, 0)), FALSE)</formula>
    </cfRule>
    <cfRule type="expression" dxfId="66" priority="21">
      <formula>IFERROR(NOT(AQ4), FALSE)</formula>
    </cfRule>
    <cfRule type="expression" dxfId="65" priority="22">
      <formula>IFERROR(NOT(AS4), FALSE)</formula>
    </cfRule>
    <cfRule type="expression" dxfId="64" priority="23">
      <formula>IFERROR(AQ4, FALSE)</formula>
    </cfRule>
  </conditionalFormatting>
  <conditionalFormatting sqref="AB75:AB76">
    <cfRule type="expression" dxfId="63" priority="50">
      <formula>$AB$75&lt;$AB$69</formula>
    </cfRule>
    <cfRule type="expression" dxfId="62" priority="51">
      <formula>$AB$75&gt;=$AB$69</formula>
    </cfRule>
  </conditionalFormatting>
  <conditionalFormatting sqref="AB98:AB99">
    <cfRule type="expression" dxfId="61" priority="52">
      <formula>$AB$98&lt;$AB$79</formula>
    </cfRule>
    <cfRule type="expression" dxfId="60" priority="53">
      <formula>$AB$98&gt;=$AB$79</formula>
    </cfRule>
  </conditionalFormatting>
  <conditionalFormatting sqref="AB112:AB113">
    <cfRule type="expression" dxfId="59" priority="44">
      <formula>$AB$112&lt;$AB$107</formula>
    </cfRule>
    <cfRule type="expression" dxfId="58" priority="45">
      <formula>$AB$112&gt;=$AB$107</formula>
    </cfRule>
  </conditionalFormatting>
  <conditionalFormatting sqref="AC109">
    <cfRule type="expression" dxfId="57" priority="62" stopIfTrue="1">
      <formula>AX108</formula>
    </cfRule>
    <cfRule type="expression" dxfId="56" priority="63">
      <formula>NOT(AD108)</formula>
    </cfRule>
    <cfRule type="expression" dxfId="55" priority="64">
      <formula>AL108</formula>
    </cfRule>
    <cfRule type="expression" dxfId="54" priority="65">
      <formula>NOT(AI108)</formula>
    </cfRule>
    <cfRule type="expression" dxfId="53" priority="66">
      <formula>IFERROR(NOT(AN108), FALSE)</formula>
    </cfRule>
    <cfRule type="expression" dxfId="52" priority="67">
      <formula>AD108</formula>
    </cfRule>
  </conditionalFormatting>
  <conditionalFormatting sqref="A1:XFD1048576">
    <cfRule type="expression" dxfId="51" priority="1">
      <formula>CELL("protect", A1)=1</formula>
    </cfRule>
    <cfRule type="expression" priority="2" stopIfTrue="1">
      <formula>OR(A1="Course", A1="Prequisites", A1="Corequisites", ISBLANK(A1))</formula>
    </cfRule>
  </conditionalFormatting>
  <dataValidations count="20">
    <dataValidation type="custom" showInputMessage="1" showErrorMessage="1" errorTitle="Course Entry Error" error="Make sure the course name is entered correctly. If you are entering a gen-ed, make sure you used the correct format (see instructions FAQ). If you are entering a non-required course, make sure you add it in the additional courses section." sqref="L8:L82 L2 L4:L6" xr:uid="{1A113F23-DA01-1341-A169-7AE1499EEBA1}">
      <formula1>OR(NOT(ISNA(MATCH(L2,req_course, 0))),LEFT(L2, 2)="GQ", LEFT(L2, 3)="GWS", LEFT(L2, 2)="GA", LEFT(L2, 3)="GHW", LEFT(L2, 2)="GH", LEFT(L2, 3)="GWS", LEFT(L2, 2)="GS", LEFT(L2, 2)="GN")</formula1>
    </dataValidation>
    <dataValidation type="custom" showInputMessage="1" showErrorMessage="1" errorTitle="Course Entry Error" error="Make sure the course name is entered correctly. If you are entering a gen-ed, make sure you used the correct format (see instructions FAQ). If you are entering a course not listed in requirements, make sure it is added in the additional courses section." sqref="L7" xr:uid="{F351EDD6-DA5C-8D4C-AF46-50FC0A0FCE9A}">
      <formula1>OR(NOT(ISNA(MATCH(L7,req_course, 0))),LEFT(L7, 2)="GQ", LEFT(L7, 3)="GWS", LEFT(L7, 2)="GA", LEFT(L7, 3)="GHW", LEFT(L7, 2)="GH", LEFT(L7, 3)="GWS", LEFT(L7, 2)="GS", LEFT(L7, 2)="GN")</formula1>
    </dataValidation>
    <dataValidation type="list" allowBlank="1" showInputMessage="1" showErrorMessage="1" sqref="K2:K82" xr:uid="{4AE14E48-8718-4C4D-8744-9F1AB3BDDCB2}">
      <formula1>grade_letter</formula1>
    </dataValidation>
    <dataValidation type="list" allowBlank="1" showInputMessage="1" showErrorMessage="1" sqref="O2:O82 S48 AX4:AX148" xr:uid="{5A52A7C9-D3EC-FA4B-AAE4-86589E75B76F}">
      <formula1>tf</formula1>
    </dataValidation>
    <dataValidation type="list" allowBlank="1" showInputMessage="1" showErrorMessage="1" sqref="P2:P82" xr:uid="{0FB4A3A7-7AA3-3B4F-B8B9-7D1A6A7B319A}">
      <formula1>usil</formula1>
    </dataValidation>
    <dataValidation type="decimal" allowBlank="1" showInputMessage="1" showErrorMessage="1" sqref="J75:J82" xr:uid="{F227CD3B-D758-044A-9EF3-81E3157D9684}">
      <formula1>0</formula1>
      <formula2>10</formula2>
    </dataValidation>
    <dataValidation type="decimal" allowBlank="1" showInputMessage="1" showErrorMessage="1" errorTitle="Semester Value Error" error="Make sure you have entered the semester number correctly._x000a_" sqref="J74" xr:uid="{8BE273B1-FCB1-7949-98EC-08B932CCEB39}">
      <formula1>0</formula1>
      <formula2>10</formula2>
    </dataValidation>
    <dataValidation type="whole" allowBlank="1" showInputMessage="1" showErrorMessage="1" errorTitle="ETM Semester Error" error="Make sure you have correctly entered the semester number. " sqref="R3:V3" xr:uid="{06102BBB-1721-3248-86D8-03EB326F8B65}">
      <formula1>1</formula1>
      <formula2>6</formula2>
    </dataValidation>
    <dataValidation type="decimal" allowBlank="1" showInputMessage="1" showErrorMessage="1" errorTitle="Semester Entry Error" error="Make sure you correctly entered the semester number._x000a_" sqref="S47" xr:uid="{A367E79B-9056-3944-B267-FC61CEE87DED}">
      <formula1>0</formula1>
      <formula2>10</formula2>
    </dataValidation>
    <dataValidation type="decimal" operator="greaterThanOrEqual" allowBlank="1" showInputMessage="1" showErrorMessage="1" errorTitle="Credit Amount Error" error="Make sure that you have entered the number of credits correctly." sqref="U21:U32" xr:uid="{2E0D1E16-8178-D04B-80BB-687D23B3CD16}">
      <formula1>0</formula1>
    </dataValidation>
    <dataValidation type="custom" showInputMessage="1" showErrorMessage="1" errorTitle="Course Entry Error" error="Make sure the course name is entered correctly. If you are entering a gen-ed, make sure you used the correct format (see instructions FAQ). If you are entering a course not in the requirements column, make sure it is added in the additional courses sectio" sqref="L3" xr:uid="{C01C79D8-BFA9-3140-8B5C-C91489957630}">
      <formula1>OR(NOT(ISNA(MATCH(L3,req_course, 0))),LEFT(L3, 2)="GQ", LEFT(L3, 3)="GWS", LEFT(L3, 2)="GA", LEFT(L3, 3)="GHW", LEFT(L3, 2)="GH", LEFT(L3, 3)="GWS", LEFT(L3, 2)="GS", LEFT(L3, 2)="GN")</formula1>
    </dataValidation>
    <dataValidation type="list" allowBlank="1" showInputMessage="1" showErrorMessage="1" sqref="AC8" xr:uid="{4BDDAD53-04A5-4B4C-A40F-604155286E3F}">
      <formula1>$AA$8:$AA$9</formula1>
    </dataValidation>
    <dataValidation type="list" allowBlank="1" showInputMessage="1" showErrorMessage="1" sqref="AC12" xr:uid="{B7D3E31A-4CCF-1545-96EC-A4D107776868}">
      <formula1>$AA$12:$AA$13</formula1>
    </dataValidation>
    <dataValidation type="list" allowBlank="1" showInputMessage="1" showErrorMessage="1" sqref="AC24" xr:uid="{595E3C75-D874-6643-93CC-FF8D46D398C2}">
      <formula1>$AA$24:$AA$25</formula1>
    </dataValidation>
    <dataValidation type="list" allowBlank="1" showInputMessage="1" showErrorMessage="1" sqref="AC27" xr:uid="{65F6A061-54C2-1845-8C62-4389DBC2D620}">
      <formula1>$AA$28:$AA$29</formula1>
    </dataValidation>
    <dataValidation allowBlank="1" showInputMessage="1" showErrorMessage="1" prompt="Enter credit amount in cell to right." sqref="AC30:AC32" xr:uid="{DF6873E4-CF33-B94C-BC18-F3B87EC57FDB}"/>
    <dataValidation allowBlank="1" showInputMessage="1" showErrorMessage="1" prompt="Enter credit amount in cell to right" sqref="AC49:AC58 AC142:AC145" xr:uid="{9DB71193-24DA-4142-8CC7-05CD16380368}"/>
    <dataValidation allowBlank="1" showInputMessage="1" showErrorMessage="1" prompt="Enter credit amount in cell to right_x000a_" sqref="AC108:AC110 AC115:AC120" xr:uid="{30A6DDAF-CADD-7B4D-A14A-E146AB8C5FAE}"/>
    <dataValidation type="list" allowBlank="1" showInputMessage="1" showErrorMessage="1" sqref="AC25" xr:uid="{A5042A69-3242-4F42-9935-A966B42F1051}">
      <formula1>$AA$26:$AA$27</formula1>
    </dataValidation>
    <dataValidation type="list" allowBlank="1" showInputMessage="1" showErrorMessage="1" sqref="AY4:AY148" xr:uid="{09957B3B-3B3B-6A46-90BD-23C66E7A8986}">
      <formula1>$R$21:$R$28</formula1>
    </dataValidation>
  </dataValidations>
  <pageMargins left="0.7" right="0.7" top="0.75" bottom="0.75" header="0.3" footer="0.3"/>
  <ignoredErrors>
    <ignoredError sqref="S41:S42" formula="1"/>
  </ignoredErrors>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80E5B-1C77-0E4C-9B1B-4CD1F7B0A517}">
  <sheetPr>
    <tabColor theme="9" tint="0.79998168889431442"/>
  </sheetPr>
  <dimension ref="A1:BI115"/>
  <sheetViews>
    <sheetView tabSelected="1" topLeftCell="J1" zoomScale="88" zoomScaleNormal="88" workbookViewId="0">
      <selection activeCell="AX77" sqref="AX77"/>
    </sheetView>
  </sheetViews>
  <sheetFormatPr defaultColWidth="10.8984375" defaultRowHeight="15.6"/>
  <cols>
    <col min="1" max="1" width="24" hidden="1" customWidth="1"/>
    <col min="2" max="2" width="25.5" hidden="1" customWidth="1"/>
    <col min="3" max="9" width="20.59765625" hidden="1" customWidth="1"/>
    <col min="10" max="10" width="8.59765625" bestFit="1" customWidth="1"/>
    <col min="11" max="11" width="15.5" bestFit="1" customWidth="1"/>
    <col min="12" max="12" width="19.09765625" bestFit="1" customWidth="1"/>
    <col min="13" max="13" width="10.8984375" customWidth="1"/>
    <col min="14" max="14" width="10.8984375" bestFit="1" customWidth="1"/>
    <col min="15" max="15" width="12.3984375" bestFit="1" customWidth="1"/>
    <col min="16" max="16" width="12.3984375" customWidth="1"/>
    <col min="17" max="17" width="10.8984375" customWidth="1"/>
    <col min="18" max="18" width="15" bestFit="1" customWidth="1"/>
    <col min="19" max="19" width="16.59765625" bestFit="1" customWidth="1"/>
    <col min="20" max="21" width="12.59765625" bestFit="1" customWidth="1"/>
    <col min="22" max="22" width="11.8984375" bestFit="1" customWidth="1"/>
    <col min="23" max="23" width="9.3984375" hidden="1" customWidth="1"/>
    <col min="24" max="24" width="17.8984375" bestFit="1" customWidth="1"/>
    <col min="25" max="25" width="11.09765625" bestFit="1" customWidth="1"/>
    <col min="26" max="26" width="9.5" hidden="1" customWidth="1"/>
    <col min="27" max="27" width="10.8984375" style="251" customWidth="1"/>
    <col min="28" max="28" width="24" customWidth="1"/>
    <col min="29" max="29" width="11.8984375" customWidth="1"/>
    <col min="30" max="30" width="11.8984375" hidden="1" customWidth="1"/>
    <col min="31" max="31" width="14.3984375" hidden="1" customWidth="1"/>
    <col min="32" max="32" width="16.09765625" hidden="1" customWidth="1"/>
    <col min="33" max="33" width="23.09765625" hidden="1" customWidth="1"/>
    <col min="34" max="34" width="16.5" hidden="1" customWidth="1"/>
    <col min="35" max="35" width="35.3984375" hidden="1" customWidth="1"/>
    <col min="36" max="36" width="15.3984375" hidden="1" customWidth="1"/>
    <col min="37" max="37" width="25" hidden="1" customWidth="1"/>
    <col min="38" max="40" width="18.59765625" hidden="1" customWidth="1"/>
    <col min="41" max="41" width="7" customWidth="1"/>
    <col min="42" max="42" width="21.09765625" bestFit="1" customWidth="1"/>
    <col min="43" max="43" width="12.09765625" hidden="1" customWidth="1"/>
    <col min="44" max="44" width="15.59765625" hidden="1" customWidth="1"/>
    <col min="45" max="45" width="19.59765625" hidden="1" customWidth="1"/>
    <col min="46" max="46" width="11.59765625" bestFit="1" customWidth="1"/>
    <col min="47" max="47" width="11.59765625" hidden="1" customWidth="1"/>
    <col min="48" max="48" width="15.59765625" hidden="1" customWidth="1"/>
    <col min="49" max="49" width="19" hidden="1" customWidth="1"/>
    <col min="50" max="50" width="12.59765625" bestFit="1" customWidth="1"/>
    <col min="51" max="51" width="8.3984375" bestFit="1" customWidth="1"/>
    <col min="52" max="52" width="6.09765625" bestFit="1" customWidth="1"/>
    <col min="53" max="53" width="4.5" customWidth="1"/>
    <col min="54" max="54" width="46.8984375" bestFit="1" customWidth="1"/>
    <col min="55" max="55" width="8.5" customWidth="1"/>
    <col min="56" max="56" width="51.5" hidden="1" customWidth="1"/>
    <col min="57" max="57" width="106" hidden="1" customWidth="1"/>
    <col min="58" max="58" width="41.09765625" hidden="1" customWidth="1"/>
    <col min="59" max="59" width="12.09765625" customWidth="1"/>
    <col min="60" max="60" width="10.8984375" customWidth="1"/>
    <col min="61" max="61" width="123.3984375" customWidth="1"/>
  </cols>
  <sheetData>
    <row r="1" spans="1:61">
      <c r="A1" s="1" t="s">
        <v>87</v>
      </c>
      <c r="B1" s="1" t="s">
        <v>88</v>
      </c>
      <c r="C1" s="1" t="s">
        <v>89</v>
      </c>
      <c r="D1" s="1" t="s">
        <v>90</v>
      </c>
      <c r="E1" s="1" t="s">
        <v>91</v>
      </c>
      <c r="F1" s="1" t="s">
        <v>92</v>
      </c>
      <c r="G1" s="1" t="s">
        <v>93</v>
      </c>
      <c r="H1" s="1" t="s">
        <v>94</v>
      </c>
      <c r="I1" s="1" t="s">
        <v>95</v>
      </c>
      <c r="J1" s="2" t="s">
        <v>29</v>
      </c>
      <c r="K1" s="2" t="s">
        <v>31</v>
      </c>
      <c r="L1" s="2" t="s">
        <v>33</v>
      </c>
      <c r="M1" s="2" t="s">
        <v>35</v>
      </c>
      <c r="N1" s="2" t="s">
        <v>37</v>
      </c>
      <c r="O1" s="2" t="s">
        <v>39</v>
      </c>
      <c r="P1" s="2" t="s">
        <v>41</v>
      </c>
    </row>
    <row r="2" spans="1:61">
      <c r="A2" cm="1">
        <f t="array" ref="A2:A82">IF(schedule_semester=calculator_semester, 1, 0)</f>
        <v>0</v>
      </c>
      <c r="B2" cm="1">
        <f t="array" ref="B2:B82">IF(schedule_semester&lt;=calculator_semester, 1, 0)</f>
        <v>1</v>
      </c>
      <c r="C2" cm="1">
        <f t="array" ref="C2:C82">IF(schedule_semester&lt;etm_semester, 1, 0)</f>
        <v>1</v>
      </c>
      <c r="D2">
        <f t="shared" ref="D2:D33" si="0">IFERROR(INDEX(grade_number, MATCH(K2, grade_letter, 0))*M2,0)</f>
        <v>4</v>
      </c>
      <c r="E2">
        <f>D2*C2</f>
        <v>4</v>
      </c>
      <c r="F2">
        <f t="shared" ref="F2:F33" si="1">IF(gpa_tf, D2*B2, D2*A2)</f>
        <v>4</v>
      </c>
      <c r="G2">
        <f>IF(M2="",0,M2)</f>
        <v>1</v>
      </c>
      <c r="H2">
        <f>G2*C2</f>
        <v>1</v>
      </c>
      <c r="I2">
        <f>IF(Statistics!gpa_tf, G2*B2, G2*A2)</f>
        <v>1</v>
      </c>
      <c r="J2" s="53">
        <v>1</v>
      </c>
      <c r="K2" s="51" t="s">
        <v>96</v>
      </c>
      <c r="L2" s="51" t="s">
        <v>346</v>
      </c>
      <c r="M2" s="55" cm="1">
        <f t="array" ref="M2:M82">IF(ISBLANK(schedule_courses),"",IF(ISNA(MATCH(schedule_courses,req_course,0)), (RIGHT(schedule_courses, LEN(schedule_courses) - FIND(" ", schedule_courses)))*1, INDEX(req_credits,MATCH(schedule_courses, req_course,0))))</f>
        <v>1</v>
      </c>
      <c r="N2" s="55" t="str" cm="1">
        <f t="array" ref="N2:N82">IF(ISNA(MATCH(schedule_courses, req_course, 0)), IF(ISBLANK(schedule_courses), "", LEFT(schedule_courses, FIND(" ", schedule_courses)-1)), IF(ISBLANK(INDEX(req_gecode, MATCH(schedule_courses, req_course, 0))), "", INDEX(req_gecode, MATCH(schedule_courses, req_course, 0))))</f>
        <v>FYS</v>
      </c>
      <c r="O2" s="51"/>
      <c r="P2" s="52"/>
      <c r="R2" s="302" t="s">
        <v>98</v>
      </c>
      <c r="S2" s="303"/>
      <c r="T2" s="303"/>
      <c r="U2" s="303"/>
      <c r="V2" s="304"/>
      <c r="W2" s="35" t="s">
        <v>51</v>
      </c>
      <c r="X2" s="37"/>
      <c r="Y2" s="37"/>
      <c r="Z2" s="37"/>
      <c r="AB2" s="93" t="s">
        <v>99</v>
      </c>
      <c r="AC2" s="92"/>
      <c r="AD2" s="92"/>
      <c r="AE2" s="92"/>
      <c r="AF2" s="92"/>
      <c r="AG2" s="92"/>
      <c r="AH2" s="92"/>
      <c r="AI2" s="92"/>
      <c r="AJ2" s="92"/>
      <c r="AK2" s="92"/>
      <c r="AL2" s="92"/>
      <c r="AM2" s="92"/>
      <c r="AN2" s="92"/>
      <c r="AO2" s="92"/>
      <c r="AP2" s="92"/>
      <c r="AQ2" s="92"/>
      <c r="AR2" s="92"/>
      <c r="AS2" s="92"/>
      <c r="AT2" s="92"/>
      <c r="AU2" s="92"/>
      <c r="AV2" s="92"/>
      <c r="AW2" s="92"/>
      <c r="AX2" s="92"/>
      <c r="AY2" s="260"/>
      <c r="AZ2" s="12"/>
      <c r="BA2" s="6"/>
      <c r="BB2" s="35" t="s">
        <v>100</v>
      </c>
      <c r="BD2" s="74" t="s">
        <v>101</v>
      </c>
      <c r="BE2" s="96" t="s">
        <v>102</v>
      </c>
      <c r="BF2" s="24"/>
      <c r="BI2" s="1"/>
    </row>
    <row r="3" spans="1:61">
      <c r="A3">
        <v>0</v>
      </c>
      <c r="B3">
        <v>1</v>
      </c>
      <c r="C3">
        <v>1</v>
      </c>
      <c r="D3">
        <f t="shared" si="0"/>
        <v>10.68</v>
      </c>
      <c r="E3">
        <f t="shared" ref="E3:E66" si="2">D3*C3</f>
        <v>10.68</v>
      </c>
      <c r="F3">
        <f t="shared" si="1"/>
        <v>10.68</v>
      </c>
      <c r="G3">
        <f t="shared" ref="G3:G66" si="3">IF(M3="",0,M3)</f>
        <v>4</v>
      </c>
      <c r="H3">
        <f t="shared" ref="H3:H66" si="4">G3*C3</f>
        <v>4</v>
      </c>
      <c r="I3">
        <f>IF(Statistics!gpa_tf, G3*B3, G3*A3)</f>
        <v>4</v>
      </c>
      <c r="J3" s="45">
        <v>1</v>
      </c>
      <c r="K3" s="41" t="s">
        <v>312</v>
      </c>
      <c r="L3" s="41" t="s">
        <v>165</v>
      </c>
      <c r="M3" s="24">
        <v>4</v>
      </c>
      <c r="N3" s="24" t="str">
        <v/>
      </c>
      <c r="O3" s="41"/>
      <c r="P3" s="48"/>
      <c r="R3" s="305">
        <v>3</v>
      </c>
      <c r="S3" s="306"/>
      <c r="T3" s="306"/>
      <c r="U3" s="306"/>
      <c r="V3" s="307"/>
      <c r="W3" s="34" t="b">
        <f>AND(etm_items_satisfied)</f>
        <v>1</v>
      </c>
      <c r="X3" s="24"/>
      <c r="Y3" s="24"/>
      <c r="Z3" s="24"/>
      <c r="AB3" s="89" t="s">
        <v>73</v>
      </c>
      <c r="AC3" s="88" t="s">
        <v>33</v>
      </c>
      <c r="AD3" s="5" t="s">
        <v>104</v>
      </c>
      <c r="AE3" s="5" t="s">
        <v>105</v>
      </c>
      <c r="AF3" s="91" t="s">
        <v>106</v>
      </c>
      <c r="AG3" s="5" t="s">
        <v>107</v>
      </c>
      <c r="AH3" s="114" t="s">
        <v>108</v>
      </c>
      <c r="AI3" s="5" t="s">
        <v>109</v>
      </c>
      <c r="AJ3" s="5" t="s">
        <v>110</v>
      </c>
      <c r="AK3" s="114" t="s">
        <v>111</v>
      </c>
      <c r="AL3" s="5" t="s">
        <v>112</v>
      </c>
      <c r="AM3" s="114" t="s">
        <v>113</v>
      </c>
      <c r="AN3" s="5" t="s">
        <v>114</v>
      </c>
      <c r="AO3" s="88" t="s">
        <v>35</v>
      </c>
      <c r="AP3" s="88" t="s">
        <v>77</v>
      </c>
      <c r="AQ3" s="91" t="s">
        <v>104</v>
      </c>
      <c r="AR3" s="5" t="s">
        <v>105</v>
      </c>
      <c r="AS3" s="5" t="s">
        <v>115</v>
      </c>
      <c r="AT3" s="88" t="s">
        <v>79</v>
      </c>
      <c r="AU3" s="91" t="s">
        <v>104</v>
      </c>
      <c r="AV3" s="91" t="s">
        <v>105</v>
      </c>
      <c r="AW3" s="5" t="s">
        <v>116</v>
      </c>
      <c r="AX3" s="88" t="s">
        <v>80</v>
      </c>
      <c r="AY3" s="88" t="s">
        <v>37</v>
      </c>
      <c r="AZ3" s="90" t="s">
        <v>83</v>
      </c>
      <c r="BB3" s="57" t="s">
        <v>117</v>
      </c>
      <c r="BD3" s="16" t="s">
        <v>118</v>
      </c>
      <c r="BE3" s="97"/>
      <c r="BF3" s="24"/>
    </row>
    <row r="4" spans="1:61">
      <c r="A4">
        <v>0</v>
      </c>
      <c r="B4">
        <v>1</v>
      </c>
      <c r="C4">
        <v>1</v>
      </c>
      <c r="D4">
        <f t="shared" si="0"/>
        <v>12</v>
      </c>
      <c r="E4">
        <f t="shared" si="2"/>
        <v>12</v>
      </c>
      <c r="F4">
        <f t="shared" si="1"/>
        <v>12</v>
      </c>
      <c r="G4">
        <f t="shared" si="3"/>
        <v>3</v>
      </c>
      <c r="H4">
        <f t="shared" si="4"/>
        <v>3</v>
      </c>
      <c r="I4">
        <f>IF(Statistics!gpa_tf, G4*B4, G4*A4)</f>
        <v>3</v>
      </c>
      <c r="J4" s="45">
        <v>1</v>
      </c>
      <c r="K4" s="41" t="s">
        <v>96</v>
      </c>
      <c r="L4" s="41" t="s">
        <v>235</v>
      </c>
      <c r="M4" s="24">
        <v>3</v>
      </c>
      <c r="N4" s="24" t="str">
        <v/>
      </c>
      <c r="O4" s="41"/>
      <c r="P4" s="48"/>
      <c r="AB4" s="14"/>
      <c r="AC4" s="123" t="s">
        <v>139</v>
      </c>
      <c r="AD4" s="9" t="b">
        <f t="shared" ref="AD4:AD50" si="5">NOT(ISERROR(MATCH(AC4,schedule_courses,0)))</f>
        <v>1</v>
      </c>
      <c r="AE4" s="7">
        <f t="shared" ref="AE4:AE50" si="6">IF(AX4,0,IFERROR(INDEX(schedule_semester,MATCH(AC4,schedule_courses,0)), ""))</f>
        <v>2</v>
      </c>
      <c r="AF4" s="7" t="str">
        <f t="shared" ref="AF4:AF50" si="7">IF(ISNA(MATCH(AC4, $R$6:$R$7, 0)), "", $R$3)</f>
        <v/>
      </c>
      <c r="AG4" s="7" t="b">
        <f t="shared" ref="AG4:AG50" si="8">IF(AE4="", "", AE4&lt;AF4)</f>
        <v>1</v>
      </c>
      <c r="AH4" s="9"/>
      <c r="AI4" s="7" t="b">
        <f t="shared" ref="AI4:AI50" si="9">IF(AE4="", "", AE4&gt;=AH4)</f>
        <v>1</v>
      </c>
      <c r="AJ4" s="7">
        <f t="shared" ref="AJ4:AJ50" si="10">IF(AE4="","",IF(MOD(AE4,2)=0,2,1))</f>
        <v>2</v>
      </c>
      <c r="AK4" s="7"/>
      <c r="AL4" s="7" t="str">
        <f t="shared" ref="AL4:AL50" si="11">IF(AK4&lt;&gt;0, AK4&lt;&gt;AJ4, "")</f>
        <v/>
      </c>
      <c r="AM4" s="7"/>
      <c r="AN4" s="7" t="str">
        <f t="shared" ref="AN4:AN50" si="12">IFERROR(IF(AM4, INDEX(grade_number, MATCH(INDEX(schedule_grades, MATCH(AC4, schedule_courses, 0)), grade_letter, 0))&gt;=2, ""), "")</f>
        <v/>
      </c>
      <c r="AO4" s="9">
        <v>3</v>
      </c>
      <c r="AP4" s="137"/>
      <c r="AQ4" s="7" t="str">
        <f t="shared" ref="AQ4:AQ50" si="13">IF(AP4=0,"",NOT(ISERROR(MATCH(AP4,schedule_courses,0))))</f>
        <v/>
      </c>
      <c r="AR4" s="7" t="str">
        <f t="shared" ref="AR4:AR24" si="14">IF(IFERROR(INDEX(req_tr_AP_credit, MATCH(AP4, req_course,0)), FALSE),0,IFERROR(INDEX(schedule_semester,MATCH(AP4,schedule_courses,0)), ""))</f>
        <v/>
      </c>
      <c r="AS4" s="7" t="str">
        <f t="shared" ref="AS4:AS24" si="15">IF(AR4&lt;&gt;"", AR4&lt;AE4, "")</f>
        <v/>
      </c>
      <c r="AT4" s="137"/>
      <c r="AU4" s="7" t="str">
        <f t="shared" ref="AU4:AU50" si="16">IF(AT4=0,"",NOT(ISERROR(MATCH(AT4,schedule_courses,0))))</f>
        <v/>
      </c>
      <c r="AV4" s="7" t="str">
        <f t="shared" ref="AV4:AV22" si="17">IF(IFERROR(INDEX(req_tr_AP_credit, MATCH(AT4, req_course)), FALSE),0,IFERROR(INDEX(schedule_semester,MATCH(AT4,schedule_courses,0)), ""))</f>
        <v/>
      </c>
      <c r="AW4" s="7" t="str">
        <f t="shared" ref="AW4:AW22" si="18">IF(AV4&lt;&gt;"", AV4&lt;=AE4, "")</f>
        <v/>
      </c>
      <c r="AX4" s="44"/>
      <c r="AY4" s="7" t="s">
        <v>140</v>
      </c>
      <c r="AZ4" s="15" t="s">
        <v>121</v>
      </c>
      <c r="BB4" s="58" t="s">
        <v>122</v>
      </c>
      <c r="BD4" s="79" t="s">
        <v>123</v>
      </c>
      <c r="BE4" s="97" t="s">
        <v>124</v>
      </c>
      <c r="BF4" s="24"/>
    </row>
    <row r="5" spans="1:61" ht="46.8">
      <c r="A5">
        <v>0</v>
      </c>
      <c r="B5">
        <v>1</v>
      </c>
      <c r="C5">
        <v>1</v>
      </c>
      <c r="D5">
        <f t="shared" si="0"/>
        <v>9</v>
      </c>
      <c r="E5">
        <f t="shared" si="2"/>
        <v>9</v>
      </c>
      <c r="F5">
        <f t="shared" si="1"/>
        <v>9</v>
      </c>
      <c r="G5">
        <f t="shared" si="3"/>
        <v>3</v>
      </c>
      <c r="H5">
        <f t="shared" si="4"/>
        <v>3</v>
      </c>
      <c r="I5">
        <f>IF(Statistics!gpa_tf, G5*B5, G5*A5)</f>
        <v>3</v>
      </c>
      <c r="J5" s="45">
        <v>1</v>
      </c>
      <c r="K5" s="41" t="s">
        <v>311</v>
      </c>
      <c r="L5" s="41" t="s">
        <v>409</v>
      </c>
      <c r="M5" s="24">
        <v>3</v>
      </c>
      <c r="N5" s="24" t="str">
        <v>GS</v>
      </c>
      <c r="O5" s="41"/>
      <c r="P5" s="48"/>
      <c r="R5" s="302" t="s">
        <v>58</v>
      </c>
      <c r="S5" s="303"/>
      <c r="T5" s="303"/>
      <c r="U5" s="303"/>
      <c r="V5" s="304"/>
      <c r="W5" s="63" t="s">
        <v>125</v>
      </c>
      <c r="X5" s="261" t="s">
        <v>347</v>
      </c>
      <c r="Y5" s="35" t="s">
        <v>127</v>
      </c>
      <c r="Z5" s="261" t="s">
        <v>51</v>
      </c>
      <c r="AA5" s="251" t="s">
        <v>133</v>
      </c>
      <c r="AB5" s="202" t="s">
        <v>144</v>
      </c>
      <c r="AC5" s="141" t="s">
        <v>133</v>
      </c>
      <c r="AD5" s="9" t="b">
        <f t="shared" si="5"/>
        <v>1</v>
      </c>
      <c r="AE5" s="7">
        <f t="shared" si="6"/>
        <v>2</v>
      </c>
      <c r="AF5" s="7" t="str">
        <f t="shared" si="7"/>
        <v/>
      </c>
      <c r="AG5" s="7" t="b">
        <f t="shared" si="8"/>
        <v>1</v>
      </c>
      <c r="AH5" s="9"/>
      <c r="AI5" s="7" t="b">
        <f t="shared" si="9"/>
        <v>1</v>
      </c>
      <c r="AJ5" s="7">
        <f t="shared" si="10"/>
        <v>2</v>
      </c>
      <c r="AK5" s="7"/>
      <c r="AL5" s="7" t="str">
        <f t="shared" si="11"/>
        <v/>
      </c>
      <c r="AM5" s="6"/>
      <c r="AN5" s="7" t="str">
        <f t="shared" si="12"/>
        <v/>
      </c>
      <c r="AO5" s="105">
        <v>3</v>
      </c>
      <c r="AP5" s="137"/>
      <c r="AQ5" s="7" t="str">
        <f t="shared" si="13"/>
        <v/>
      </c>
      <c r="AR5" s="7" t="str">
        <f t="shared" si="14"/>
        <v/>
      </c>
      <c r="AS5" s="7" t="str">
        <f t="shared" si="15"/>
        <v/>
      </c>
      <c r="AT5" s="137"/>
      <c r="AU5" s="7" t="str">
        <f t="shared" si="16"/>
        <v/>
      </c>
      <c r="AV5" s="7" t="str">
        <f t="shared" si="17"/>
        <v/>
      </c>
      <c r="AW5" s="7" t="str">
        <f t="shared" si="18"/>
        <v/>
      </c>
      <c r="AX5" s="44"/>
      <c r="AY5" s="7" t="s">
        <v>140</v>
      </c>
      <c r="AZ5" s="118" t="s">
        <v>121</v>
      </c>
      <c r="BB5" s="59" t="s">
        <v>129</v>
      </c>
      <c r="BD5" s="75" t="s">
        <v>130</v>
      </c>
      <c r="BE5" s="98" t="s">
        <v>131</v>
      </c>
      <c r="BF5" s="24"/>
    </row>
    <row r="6" spans="1:61">
      <c r="A6">
        <v>0</v>
      </c>
      <c r="B6">
        <v>1</v>
      </c>
      <c r="C6">
        <v>1</v>
      </c>
      <c r="D6">
        <f t="shared" si="0"/>
        <v>4</v>
      </c>
      <c r="E6">
        <f t="shared" si="2"/>
        <v>4</v>
      </c>
      <c r="F6">
        <f t="shared" si="1"/>
        <v>4</v>
      </c>
      <c r="G6">
        <f t="shared" si="3"/>
        <v>1</v>
      </c>
      <c r="H6">
        <f t="shared" si="4"/>
        <v>1</v>
      </c>
      <c r="I6">
        <f>IF(Statistics!gpa_tf, G6*B6, G6*A6)</f>
        <v>1</v>
      </c>
      <c r="J6" s="45">
        <v>1</v>
      </c>
      <c r="K6" s="41" t="s">
        <v>96</v>
      </c>
      <c r="L6" s="41" t="s">
        <v>410</v>
      </c>
      <c r="M6" s="24">
        <v>1</v>
      </c>
      <c r="N6" s="24" t="str">
        <v>GS</v>
      </c>
      <c r="O6" s="41"/>
      <c r="P6" s="48"/>
      <c r="R6" s="296" t="s">
        <v>138</v>
      </c>
      <c r="S6" s="297"/>
      <c r="T6" s="297"/>
      <c r="U6" s="297"/>
      <c r="V6" s="298"/>
      <c r="W6" s="33">
        <f>MATCH(R6,req_course, 0)</f>
        <v>4</v>
      </c>
      <c r="X6" s="15" t="b" cm="1">
        <f t="array" ref="X6">INDEX(Statistics!req_semester_taken, W6) &lt;Statistics!etm_semester</f>
        <v>1</v>
      </c>
      <c r="Y6" s="33" t="b" cm="1">
        <f t="array" ref="Y6">OR(INDEX(req_cb_satisfied,W6) = TRUE, INDEX(Statistics!req_tr_AP_credit, W6) = TRUE)</f>
        <v>1</v>
      </c>
      <c r="Z6" s="15" t="b">
        <f>AND(X6, Y6)</f>
        <v>1</v>
      </c>
      <c r="AA6" s="251" t="s">
        <v>148</v>
      </c>
      <c r="AB6" s="14"/>
      <c r="AC6" s="125" t="s">
        <v>348</v>
      </c>
      <c r="AD6" s="9" t="b">
        <f t="shared" si="5"/>
        <v>1</v>
      </c>
      <c r="AE6" s="7">
        <f t="shared" si="6"/>
        <v>6</v>
      </c>
      <c r="AF6" s="7" t="str">
        <f t="shared" si="7"/>
        <v/>
      </c>
      <c r="AG6" s="7" t="b">
        <f t="shared" si="8"/>
        <v>1</v>
      </c>
      <c r="AH6" s="9"/>
      <c r="AI6" s="7" t="b">
        <f t="shared" si="9"/>
        <v>1</v>
      </c>
      <c r="AJ6" s="7">
        <f t="shared" si="10"/>
        <v>2</v>
      </c>
      <c r="AK6" s="7"/>
      <c r="AL6" s="7" t="str">
        <f t="shared" si="11"/>
        <v/>
      </c>
      <c r="AM6" s="7"/>
      <c r="AN6" s="7" t="str">
        <f t="shared" si="12"/>
        <v/>
      </c>
      <c r="AO6" s="105">
        <v>3</v>
      </c>
      <c r="AP6" s="137"/>
      <c r="AQ6" s="7" t="str">
        <f t="shared" si="13"/>
        <v/>
      </c>
      <c r="AR6" s="7" t="str">
        <f t="shared" si="14"/>
        <v/>
      </c>
      <c r="AS6" s="7" t="str">
        <f t="shared" si="15"/>
        <v/>
      </c>
      <c r="AT6" s="137"/>
      <c r="AU6" s="7" t="str">
        <f t="shared" si="16"/>
        <v/>
      </c>
      <c r="AV6" s="7" t="str">
        <f t="shared" si="17"/>
        <v/>
      </c>
      <c r="AW6" s="7" t="str">
        <f t="shared" si="18"/>
        <v/>
      </c>
      <c r="AX6" s="41"/>
      <c r="AY6" s="6" t="s">
        <v>140</v>
      </c>
      <c r="AZ6" s="15" t="s">
        <v>121</v>
      </c>
      <c r="BB6" s="60" t="s">
        <v>135</v>
      </c>
      <c r="BD6" s="16" t="s">
        <v>136</v>
      </c>
      <c r="BE6" s="15"/>
      <c r="BF6" s="24"/>
    </row>
    <row r="7" spans="1:61">
      <c r="A7">
        <v>0</v>
      </c>
      <c r="B7">
        <v>1</v>
      </c>
      <c r="C7">
        <v>1</v>
      </c>
      <c r="D7">
        <f t="shared" si="0"/>
        <v>7.34</v>
      </c>
      <c r="E7">
        <f t="shared" si="2"/>
        <v>7.34</v>
      </c>
      <c r="F7">
        <f t="shared" si="1"/>
        <v>7.34</v>
      </c>
      <c r="G7">
        <f t="shared" si="3"/>
        <v>2</v>
      </c>
      <c r="H7">
        <f t="shared" si="4"/>
        <v>2</v>
      </c>
      <c r="I7">
        <f>IF(Statistics!gpa_tf, G7*B7, G7*A7)</f>
        <v>2</v>
      </c>
      <c r="J7" s="45">
        <v>1</v>
      </c>
      <c r="K7" s="41" t="s">
        <v>132</v>
      </c>
      <c r="L7" s="41" t="s">
        <v>276</v>
      </c>
      <c r="M7" s="24">
        <v>2</v>
      </c>
      <c r="N7" s="24" t="str">
        <v/>
      </c>
      <c r="O7" s="41"/>
      <c r="P7" s="48"/>
      <c r="R7" s="296" t="s">
        <v>103</v>
      </c>
      <c r="S7" s="297"/>
      <c r="T7" s="297"/>
      <c r="U7" s="297"/>
      <c r="V7" s="298"/>
      <c r="W7" s="33">
        <f>MATCH(R7,req_course, 0)</f>
        <v>5</v>
      </c>
      <c r="X7" s="15" t="b" cm="1">
        <f t="array" ref="X7">INDEX(Statistics!req_semester_taken, W7) &lt;Statistics!etm_semester</f>
        <v>1</v>
      </c>
      <c r="Y7" s="33" t="b" cm="1">
        <f t="array" ref="Y7">OR(INDEX(req_cb_satisfied,W7) = TRUE, INDEX(Statistics!req_tr_AP_credit, W7) = TRUE)</f>
        <v>1</v>
      </c>
      <c r="Z7" s="15" t="b">
        <f>AND(X7, Y7)</f>
        <v>1</v>
      </c>
      <c r="AB7" s="14"/>
      <c r="AC7" s="126" t="s">
        <v>138</v>
      </c>
      <c r="AD7" s="7" t="b">
        <f t="shared" si="5"/>
        <v>0</v>
      </c>
      <c r="AE7" s="7">
        <f t="shared" si="6"/>
        <v>0</v>
      </c>
      <c r="AF7" s="7">
        <f t="shared" si="7"/>
        <v>3</v>
      </c>
      <c r="AG7" s="7" t="b">
        <f t="shared" si="8"/>
        <v>1</v>
      </c>
      <c r="AH7" s="9"/>
      <c r="AI7" s="7" t="b">
        <f t="shared" si="9"/>
        <v>1</v>
      </c>
      <c r="AJ7" s="7">
        <f t="shared" si="10"/>
        <v>2</v>
      </c>
      <c r="AK7" s="7"/>
      <c r="AL7" s="7" t="str">
        <f t="shared" si="11"/>
        <v/>
      </c>
      <c r="AM7" s="7" t="b">
        <v>1</v>
      </c>
      <c r="AN7" s="7" t="str">
        <f t="shared" si="12"/>
        <v/>
      </c>
      <c r="AO7" s="105">
        <v>4</v>
      </c>
      <c r="AP7" s="137"/>
      <c r="AQ7" s="7" t="str">
        <f t="shared" si="13"/>
        <v/>
      </c>
      <c r="AR7" s="7" t="str">
        <f t="shared" si="14"/>
        <v/>
      </c>
      <c r="AS7" s="7" t="str">
        <f t="shared" si="15"/>
        <v/>
      </c>
      <c r="AT7" s="137"/>
      <c r="AU7" s="7" t="str">
        <f t="shared" si="16"/>
        <v/>
      </c>
      <c r="AV7" s="7" t="str">
        <f t="shared" si="17"/>
        <v/>
      </c>
      <c r="AW7" s="7" t="str">
        <f t="shared" si="18"/>
        <v/>
      </c>
      <c r="AX7" s="44" t="b">
        <v>1</v>
      </c>
      <c r="AY7" s="6" t="s">
        <v>154</v>
      </c>
      <c r="AZ7" s="15" t="s">
        <v>121</v>
      </c>
      <c r="BB7" s="61" t="s">
        <v>141</v>
      </c>
      <c r="BD7" s="78" t="s">
        <v>142</v>
      </c>
      <c r="BE7" s="99" t="s">
        <v>143</v>
      </c>
      <c r="BF7" s="24"/>
    </row>
    <row r="8" spans="1:61">
      <c r="A8">
        <v>0</v>
      </c>
      <c r="B8">
        <v>1</v>
      </c>
      <c r="C8">
        <v>1</v>
      </c>
      <c r="D8">
        <f t="shared" si="0"/>
        <v>12</v>
      </c>
      <c r="E8">
        <f t="shared" si="2"/>
        <v>12</v>
      </c>
      <c r="F8">
        <f t="shared" si="1"/>
        <v>12</v>
      </c>
      <c r="G8">
        <f t="shared" si="3"/>
        <v>3</v>
      </c>
      <c r="H8">
        <f t="shared" si="4"/>
        <v>3</v>
      </c>
      <c r="I8">
        <f>IF(Statistics!gpa_tf, G8*B8, G8*A8)</f>
        <v>3</v>
      </c>
      <c r="J8" s="45">
        <v>1</v>
      </c>
      <c r="K8" s="41" t="s">
        <v>96</v>
      </c>
      <c r="L8" s="41" t="s">
        <v>409</v>
      </c>
      <c r="M8" s="24">
        <v>3</v>
      </c>
      <c r="N8" s="24" t="str">
        <v>GS</v>
      </c>
      <c r="O8" s="41"/>
      <c r="P8" s="48"/>
      <c r="R8" s="299" t="s">
        <v>349</v>
      </c>
      <c r="S8" s="300"/>
      <c r="T8" s="300"/>
      <c r="U8" s="300"/>
      <c r="V8" s="301"/>
      <c r="W8" s="34"/>
      <c r="X8" s="181" t="s">
        <v>183</v>
      </c>
      <c r="Y8" s="182">
        <f>SUM(E2:E82)/SUM(H2:H82)</f>
        <v>3.566749999999999</v>
      </c>
      <c r="Z8" s="26" t="b">
        <f>gpa&gt;=2</f>
        <v>1</v>
      </c>
      <c r="AB8" s="16"/>
      <c r="AC8" s="123" t="s">
        <v>103</v>
      </c>
      <c r="AD8" s="7" t="b">
        <f t="shared" si="5"/>
        <v>0</v>
      </c>
      <c r="AE8" s="7">
        <f t="shared" si="6"/>
        <v>0</v>
      </c>
      <c r="AF8" s="7">
        <f t="shared" si="7"/>
        <v>3</v>
      </c>
      <c r="AG8" s="7" t="b">
        <f t="shared" si="8"/>
        <v>1</v>
      </c>
      <c r="AH8" s="9"/>
      <c r="AI8" s="7" t="b">
        <f t="shared" si="9"/>
        <v>1</v>
      </c>
      <c r="AJ8" s="7">
        <f t="shared" si="10"/>
        <v>2</v>
      </c>
      <c r="AK8" s="7"/>
      <c r="AL8" s="7" t="str">
        <f t="shared" si="11"/>
        <v/>
      </c>
      <c r="AM8" s="7" t="b">
        <v>1</v>
      </c>
      <c r="AN8" s="7" t="str">
        <f t="shared" si="12"/>
        <v/>
      </c>
      <c r="AO8" s="105">
        <v>4</v>
      </c>
      <c r="AP8" s="137" t="s">
        <v>138</v>
      </c>
      <c r="AQ8" s="7" t="b">
        <f t="shared" si="13"/>
        <v>0</v>
      </c>
      <c r="AR8" s="7">
        <f t="shared" si="14"/>
        <v>0</v>
      </c>
      <c r="AS8" s="7" t="b">
        <f t="shared" si="15"/>
        <v>0</v>
      </c>
      <c r="AT8" s="137"/>
      <c r="AU8" s="7" t="str">
        <f t="shared" si="16"/>
        <v/>
      </c>
      <c r="AV8" s="7" t="str">
        <f t="shared" si="17"/>
        <v/>
      </c>
      <c r="AW8" s="7" t="str">
        <f t="shared" si="18"/>
        <v/>
      </c>
      <c r="AX8" s="44" t="b">
        <v>1</v>
      </c>
      <c r="AY8" s="6" t="s">
        <v>154</v>
      </c>
      <c r="AZ8" s="15" t="s">
        <v>121</v>
      </c>
      <c r="BB8" s="56" t="s">
        <v>145</v>
      </c>
      <c r="BD8" s="77" t="s">
        <v>146</v>
      </c>
      <c r="BE8" s="99" t="s">
        <v>147</v>
      </c>
      <c r="BF8" s="24"/>
    </row>
    <row r="9" spans="1:61">
      <c r="A9">
        <v>0</v>
      </c>
      <c r="B9">
        <v>1</v>
      </c>
      <c r="C9">
        <v>1</v>
      </c>
      <c r="D9">
        <f t="shared" si="0"/>
        <v>0</v>
      </c>
      <c r="E9">
        <f t="shared" si="2"/>
        <v>0</v>
      </c>
      <c r="F9">
        <f t="shared" si="1"/>
        <v>0</v>
      </c>
      <c r="G9">
        <f t="shared" si="3"/>
        <v>0</v>
      </c>
      <c r="H9">
        <f t="shared" si="4"/>
        <v>0</v>
      </c>
      <c r="I9">
        <f>IF(Statistics!gpa_tf, G9*B9, G9*A9)</f>
        <v>0</v>
      </c>
      <c r="J9" s="45">
        <v>1</v>
      </c>
      <c r="K9" s="41"/>
      <c r="L9" s="41"/>
      <c r="M9" s="24" t="str">
        <v/>
      </c>
      <c r="N9" s="24" t="str">
        <v/>
      </c>
      <c r="O9" s="41"/>
      <c r="P9" s="48"/>
      <c r="AB9" s="14"/>
      <c r="AC9" s="125" t="s">
        <v>163</v>
      </c>
      <c r="AD9" s="7" t="b">
        <f t="shared" si="5"/>
        <v>1</v>
      </c>
      <c r="AE9" s="7">
        <f t="shared" si="6"/>
        <v>0</v>
      </c>
      <c r="AF9" s="7" t="str">
        <f t="shared" si="7"/>
        <v/>
      </c>
      <c r="AG9" s="7" t="b">
        <f t="shared" si="8"/>
        <v>1</v>
      </c>
      <c r="AH9" s="9"/>
      <c r="AI9" s="7" t="b">
        <f t="shared" si="9"/>
        <v>1</v>
      </c>
      <c r="AJ9" s="7">
        <f t="shared" si="10"/>
        <v>2</v>
      </c>
      <c r="AK9" s="7"/>
      <c r="AL9" s="7" t="str">
        <f t="shared" si="11"/>
        <v/>
      </c>
      <c r="AM9" s="7" t="b">
        <v>1</v>
      </c>
      <c r="AN9" s="7" t="b">
        <f t="shared" si="12"/>
        <v>1</v>
      </c>
      <c r="AO9" s="105">
        <v>2</v>
      </c>
      <c r="AP9" s="137" t="s">
        <v>138</v>
      </c>
      <c r="AQ9" s="7" t="b">
        <f t="shared" si="13"/>
        <v>0</v>
      </c>
      <c r="AR9" s="7">
        <f t="shared" si="14"/>
        <v>0</v>
      </c>
      <c r="AS9" s="7" t="b">
        <f t="shared" si="15"/>
        <v>0</v>
      </c>
      <c r="AT9" s="137"/>
      <c r="AU9" s="7" t="str">
        <f t="shared" si="16"/>
        <v/>
      </c>
      <c r="AV9" s="7" t="str">
        <f t="shared" si="17"/>
        <v/>
      </c>
      <c r="AW9" s="7" t="str">
        <f t="shared" si="18"/>
        <v/>
      </c>
      <c r="AX9" s="44" t="b">
        <v>1</v>
      </c>
      <c r="AY9" s="6" t="s">
        <v>154</v>
      </c>
      <c r="AZ9" s="118" t="s">
        <v>121</v>
      </c>
      <c r="BB9" s="33"/>
      <c r="BD9" s="80" t="s">
        <v>150</v>
      </c>
      <c r="BE9" s="98" t="s">
        <v>151</v>
      </c>
      <c r="BF9" s="24"/>
    </row>
    <row r="10" spans="1:61">
      <c r="A10">
        <v>0</v>
      </c>
      <c r="B10">
        <v>1</v>
      </c>
      <c r="C10">
        <v>1</v>
      </c>
      <c r="D10">
        <f t="shared" si="0"/>
        <v>0</v>
      </c>
      <c r="E10">
        <f t="shared" si="2"/>
        <v>0</v>
      </c>
      <c r="F10">
        <f t="shared" si="1"/>
        <v>0</v>
      </c>
      <c r="G10">
        <f t="shared" si="3"/>
        <v>0</v>
      </c>
      <c r="H10">
        <f t="shared" si="4"/>
        <v>0</v>
      </c>
      <c r="I10">
        <f>IF(Statistics!gpa_tf, G10*B10, G10*A10)</f>
        <v>0</v>
      </c>
      <c r="J10" s="54">
        <v>1</v>
      </c>
      <c r="K10" s="43"/>
      <c r="L10" s="43"/>
      <c r="M10" s="10" t="str">
        <v/>
      </c>
      <c r="N10" s="10" t="str">
        <v/>
      </c>
      <c r="O10" s="43"/>
      <c r="P10" s="49"/>
      <c r="R10" s="302" t="s">
        <v>43</v>
      </c>
      <c r="S10" s="303"/>
      <c r="T10" s="303"/>
      <c r="U10" s="303"/>
      <c r="V10" s="304"/>
      <c r="AB10" s="14"/>
      <c r="AC10" s="125" t="s">
        <v>165</v>
      </c>
      <c r="AD10" s="9" t="b">
        <f t="shared" si="5"/>
        <v>1</v>
      </c>
      <c r="AE10" s="7">
        <f t="shared" si="6"/>
        <v>1</v>
      </c>
      <c r="AF10" s="7" t="str">
        <f t="shared" si="7"/>
        <v/>
      </c>
      <c r="AG10" s="7" t="b">
        <f t="shared" si="8"/>
        <v>1</v>
      </c>
      <c r="AH10" s="9"/>
      <c r="AI10" s="7" t="b">
        <f t="shared" si="9"/>
        <v>1</v>
      </c>
      <c r="AJ10" s="7">
        <f t="shared" si="10"/>
        <v>1</v>
      </c>
      <c r="AK10" s="7"/>
      <c r="AL10" s="7" t="str">
        <f t="shared" si="11"/>
        <v/>
      </c>
      <c r="AM10" s="6" t="b">
        <v>1</v>
      </c>
      <c r="AN10" s="7" t="b">
        <f t="shared" si="12"/>
        <v>1</v>
      </c>
      <c r="AO10" s="9">
        <v>4</v>
      </c>
      <c r="AP10" s="138" t="s">
        <v>103</v>
      </c>
      <c r="AQ10" s="7" t="b">
        <f t="shared" si="13"/>
        <v>0</v>
      </c>
      <c r="AR10" s="7">
        <f t="shared" si="14"/>
        <v>0</v>
      </c>
      <c r="AS10" s="7" t="b">
        <f t="shared" si="15"/>
        <v>1</v>
      </c>
      <c r="AT10" s="137"/>
      <c r="AU10" s="7" t="str">
        <f t="shared" si="16"/>
        <v/>
      </c>
      <c r="AV10" s="7" t="str">
        <f t="shared" si="17"/>
        <v/>
      </c>
      <c r="AW10" s="7" t="str">
        <f t="shared" si="18"/>
        <v/>
      </c>
      <c r="AX10" s="44"/>
      <c r="AY10" s="6"/>
      <c r="AZ10" s="118" t="s">
        <v>121</v>
      </c>
      <c r="BB10" s="33" t="s">
        <v>155</v>
      </c>
      <c r="BD10" s="81" t="s">
        <v>156</v>
      </c>
      <c r="BE10" s="99" t="s">
        <v>157</v>
      </c>
      <c r="BF10" s="24"/>
    </row>
    <row r="11" spans="1:61">
      <c r="A11">
        <v>1</v>
      </c>
      <c r="B11">
        <v>1</v>
      </c>
      <c r="C11">
        <v>1</v>
      </c>
      <c r="D11">
        <f t="shared" si="0"/>
        <v>9.99</v>
      </c>
      <c r="E11">
        <f t="shared" si="2"/>
        <v>9.99</v>
      </c>
      <c r="F11">
        <f t="shared" si="1"/>
        <v>9.99</v>
      </c>
      <c r="G11">
        <f t="shared" si="3"/>
        <v>3</v>
      </c>
      <c r="H11">
        <f t="shared" si="4"/>
        <v>3</v>
      </c>
      <c r="I11">
        <f>IF(Statistics!gpa_tf, G11*B11, G11*A11)</f>
        <v>3</v>
      </c>
      <c r="J11" s="50">
        <v>2</v>
      </c>
      <c r="K11" s="51" t="s">
        <v>309</v>
      </c>
      <c r="L11" s="51" t="s">
        <v>152</v>
      </c>
      <c r="M11" s="55">
        <v>3</v>
      </c>
      <c r="N11" s="55" t="str">
        <v>GS</v>
      </c>
      <c r="O11" s="51"/>
      <c r="P11" s="52"/>
      <c r="R11" s="13" t="s">
        <v>33</v>
      </c>
      <c r="S11" s="27" t="s">
        <v>45</v>
      </c>
      <c r="T11" s="263" t="s">
        <v>47</v>
      </c>
      <c r="U11" s="263" t="s">
        <v>49</v>
      </c>
      <c r="V11" s="32" t="s">
        <v>51</v>
      </c>
      <c r="AB11" s="14"/>
      <c r="AC11" s="123" t="s">
        <v>346</v>
      </c>
      <c r="AD11" s="9" t="b">
        <f t="shared" si="5"/>
        <v>1</v>
      </c>
      <c r="AE11" s="7">
        <f t="shared" si="6"/>
        <v>1</v>
      </c>
      <c r="AF11" s="7" t="str">
        <f t="shared" si="7"/>
        <v/>
      </c>
      <c r="AG11" s="7" t="b">
        <f t="shared" si="8"/>
        <v>1</v>
      </c>
      <c r="AH11" s="9"/>
      <c r="AI11" s="7" t="b">
        <f t="shared" si="9"/>
        <v>1</v>
      </c>
      <c r="AJ11" s="7">
        <f t="shared" si="10"/>
        <v>1</v>
      </c>
      <c r="AK11" s="7"/>
      <c r="AL11" s="7" t="str">
        <f t="shared" si="11"/>
        <v/>
      </c>
      <c r="AM11" s="6"/>
      <c r="AN11" s="7" t="str">
        <f t="shared" si="12"/>
        <v/>
      </c>
      <c r="AO11" s="9">
        <v>1</v>
      </c>
      <c r="AP11" s="137"/>
      <c r="AQ11" s="7" t="str">
        <f t="shared" si="13"/>
        <v/>
      </c>
      <c r="AR11" s="7" t="str">
        <f t="shared" si="14"/>
        <v/>
      </c>
      <c r="AS11" s="7" t="str">
        <f t="shared" si="15"/>
        <v/>
      </c>
      <c r="AT11" s="137"/>
      <c r="AU11" s="7" t="str">
        <f t="shared" si="16"/>
        <v/>
      </c>
      <c r="AV11" s="7" t="str">
        <f t="shared" si="17"/>
        <v/>
      </c>
      <c r="AW11" s="7" t="str">
        <f t="shared" si="18"/>
        <v/>
      </c>
      <c r="AX11" s="44"/>
      <c r="AY11" s="6" t="s">
        <v>184</v>
      </c>
      <c r="AZ11" s="118" t="s">
        <v>121</v>
      </c>
      <c r="BB11" s="33" t="s">
        <v>160</v>
      </c>
      <c r="BD11" s="82" t="s">
        <v>161</v>
      </c>
      <c r="BE11" s="99" t="s">
        <v>162</v>
      </c>
      <c r="BF11" s="24"/>
    </row>
    <row r="12" spans="1:61">
      <c r="A12">
        <v>1</v>
      </c>
      <c r="B12">
        <v>1</v>
      </c>
      <c r="C12">
        <v>1</v>
      </c>
      <c r="D12">
        <f t="shared" si="0"/>
        <v>12</v>
      </c>
      <c r="E12">
        <f t="shared" si="2"/>
        <v>12</v>
      </c>
      <c r="F12">
        <f t="shared" si="1"/>
        <v>12</v>
      </c>
      <c r="G12">
        <f t="shared" si="3"/>
        <v>3</v>
      </c>
      <c r="H12">
        <f t="shared" si="4"/>
        <v>3</v>
      </c>
      <c r="I12">
        <f>IF(Statistics!gpa_tf, G12*B12, G12*A12)</f>
        <v>3</v>
      </c>
      <c r="J12" s="46">
        <v>2</v>
      </c>
      <c r="K12" s="41" t="s">
        <v>96</v>
      </c>
      <c r="L12" s="41" t="s">
        <v>133</v>
      </c>
      <c r="M12" s="24">
        <v>3</v>
      </c>
      <c r="N12" s="24" t="str">
        <v>GWS</v>
      </c>
      <c r="O12" s="41"/>
      <c r="P12" s="48"/>
      <c r="R12" s="14" t="s">
        <v>154</v>
      </c>
      <c r="S12" s="24">
        <v>6</v>
      </c>
      <c r="T12" s="24">
        <f>SUMIF(schedule_gecode, R12, schedule_credits)</f>
        <v>5</v>
      </c>
      <c r="U12" s="41">
        <v>0</v>
      </c>
      <c r="V12" s="15" t="b">
        <f>(T12+U12)&gt;=S12</f>
        <v>0</v>
      </c>
      <c r="AB12" s="14"/>
      <c r="AC12" s="125" t="s">
        <v>350</v>
      </c>
      <c r="AD12" s="9" t="b">
        <f t="shared" si="5"/>
        <v>1</v>
      </c>
      <c r="AE12" s="7">
        <f t="shared" si="6"/>
        <v>4</v>
      </c>
      <c r="AF12" s="7" t="str">
        <f t="shared" si="7"/>
        <v/>
      </c>
      <c r="AG12" s="7" t="b">
        <f t="shared" si="8"/>
        <v>1</v>
      </c>
      <c r="AH12" s="9">
        <f>MAX(Statistics!etm_semester, 4)</f>
        <v>4</v>
      </c>
      <c r="AI12" s="7" t="b">
        <f t="shared" si="9"/>
        <v>1</v>
      </c>
      <c r="AJ12" s="7">
        <f t="shared" si="10"/>
        <v>2</v>
      </c>
      <c r="AK12" s="7"/>
      <c r="AL12" s="7" t="str">
        <f t="shared" si="11"/>
        <v/>
      </c>
      <c r="AM12" s="7"/>
      <c r="AN12" s="7" t="str">
        <f t="shared" si="12"/>
        <v/>
      </c>
      <c r="AO12" s="9">
        <v>3</v>
      </c>
      <c r="AP12" s="137"/>
      <c r="AQ12" s="7" t="str">
        <f t="shared" si="13"/>
        <v/>
      </c>
      <c r="AR12" s="7" t="str">
        <f t="shared" si="14"/>
        <v/>
      </c>
      <c r="AS12" s="7" t="str">
        <f t="shared" si="15"/>
        <v/>
      </c>
      <c r="AT12" s="137"/>
      <c r="AU12" s="7" t="str">
        <f t="shared" si="16"/>
        <v/>
      </c>
      <c r="AV12" s="7" t="str">
        <f t="shared" si="17"/>
        <v/>
      </c>
      <c r="AW12" s="7" t="str">
        <f t="shared" si="18"/>
        <v/>
      </c>
      <c r="AX12" s="44"/>
      <c r="AY12" s="7"/>
      <c r="AZ12" s="118" t="s">
        <v>121</v>
      </c>
      <c r="BB12" s="33" t="s">
        <v>168</v>
      </c>
      <c r="BD12" s="84" t="s">
        <v>169</v>
      </c>
      <c r="BE12" s="98" t="s">
        <v>170</v>
      </c>
      <c r="BF12" s="24"/>
    </row>
    <row r="13" spans="1:61">
      <c r="A13">
        <v>1</v>
      </c>
      <c r="B13">
        <v>1</v>
      </c>
      <c r="C13">
        <v>1</v>
      </c>
      <c r="D13">
        <f t="shared" si="0"/>
        <v>8</v>
      </c>
      <c r="E13">
        <f t="shared" si="2"/>
        <v>8</v>
      </c>
      <c r="F13">
        <f t="shared" si="1"/>
        <v>8</v>
      </c>
      <c r="G13">
        <f t="shared" si="3"/>
        <v>2</v>
      </c>
      <c r="H13">
        <f t="shared" si="4"/>
        <v>2</v>
      </c>
      <c r="I13">
        <f>IF(Statistics!gpa_tf, G13*B13, G13*A13)</f>
        <v>2</v>
      </c>
      <c r="J13" s="46">
        <v>2</v>
      </c>
      <c r="K13" s="41" t="s">
        <v>96</v>
      </c>
      <c r="L13" s="41" t="s">
        <v>163</v>
      </c>
      <c r="M13" s="24">
        <v>2</v>
      </c>
      <c r="N13" s="24" t="str">
        <v>GQ</v>
      </c>
      <c r="O13" s="41"/>
      <c r="P13" s="48"/>
      <c r="R13" s="14" t="s">
        <v>140</v>
      </c>
      <c r="S13" s="24">
        <v>9</v>
      </c>
      <c r="T13" s="24">
        <f t="shared" ref="T13:T18" si="19">SUMIF(schedule_gecode, R13, schedule_credits)</f>
        <v>9</v>
      </c>
      <c r="U13" s="41">
        <v>0</v>
      </c>
      <c r="V13" s="15" t="b">
        <f t="shared" ref="V13:V22" si="20">(T13+U13)&gt;=S13</f>
        <v>1</v>
      </c>
      <c r="AB13" s="14"/>
      <c r="AC13" s="127" t="s">
        <v>191</v>
      </c>
      <c r="AD13" s="19" t="b">
        <f t="shared" si="5"/>
        <v>1</v>
      </c>
      <c r="AE13" s="7">
        <f t="shared" si="6"/>
        <v>4</v>
      </c>
      <c r="AF13" s="7" t="str">
        <f t="shared" si="7"/>
        <v/>
      </c>
      <c r="AG13" s="7" t="b">
        <f t="shared" si="8"/>
        <v>1</v>
      </c>
      <c r="AH13" s="9">
        <f xml:space="preserve"> MAX(3,Statistics!etm_semester)</f>
        <v>3</v>
      </c>
      <c r="AI13" s="7" t="b">
        <f t="shared" si="9"/>
        <v>1</v>
      </c>
      <c r="AJ13" s="7">
        <f t="shared" si="10"/>
        <v>2</v>
      </c>
      <c r="AK13" s="7"/>
      <c r="AL13" s="7" t="str">
        <f t="shared" si="11"/>
        <v/>
      </c>
      <c r="AM13" s="7" t="b">
        <v>1</v>
      </c>
      <c r="AN13" s="7" t="str">
        <f t="shared" si="12"/>
        <v/>
      </c>
      <c r="AO13" s="105">
        <v>3</v>
      </c>
      <c r="AP13" s="137" t="s">
        <v>187</v>
      </c>
      <c r="AQ13" s="7" t="b">
        <f t="shared" si="13"/>
        <v>1</v>
      </c>
      <c r="AR13" s="7">
        <f t="shared" si="14"/>
        <v>3</v>
      </c>
      <c r="AS13" s="7" t="b">
        <f t="shared" si="15"/>
        <v>1</v>
      </c>
      <c r="AT13" s="137"/>
      <c r="AU13" s="7" t="str">
        <f t="shared" si="16"/>
        <v/>
      </c>
      <c r="AV13" s="7" t="str">
        <f t="shared" si="17"/>
        <v/>
      </c>
      <c r="AW13" s="7" t="str">
        <f t="shared" si="18"/>
        <v/>
      </c>
      <c r="AX13" s="44"/>
      <c r="AY13" s="7"/>
      <c r="AZ13" s="118" t="s">
        <v>121</v>
      </c>
      <c r="BB13" s="33" t="s">
        <v>172</v>
      </c>
      <c r="BD13" s="78" t="s">
        <v>173</v>
      </c>
      <c r="BE13" s="99" t="s">
        <v>174</v>
      </c>
      <c r="BF13" s="24"/>
    </row>
    <row r="14" spans="1:61">
      <c r="A14">
        <v>1</v>
      </c>
      <c r="B14">
        <v>1</v>
      </c>
      <c r="C14">
        <v>1</v>
      </c>
      <c r="D14">
        <f t="shared" si="0"/>
        <v>13.32</v>
      </c>
      <c r="E14">
        <f t="shared" si="2"/>
        <v>13.32</v>
      </c>
      <c r="F14">
        <f t="shared" si="1"/>
        <v>13.32</v>
      </c>
      <c r="G14">
        <f t="shared" si="3"/>
        <v>4</v>
      </c>
      <c r="H14">
        <f t="shared" si="4"/>
        <v>4</v>
      </c>
      <c r="I14">
        <f>IF(Statistics!gpa_tf, G14*B14, G14*A14)</f>
        <v>4</v>
      </c>
      <c r="J14" s="46">
        <v>2</v>
      </c>
      <c r="K14" s="41" t="s">
        <v>309</v>
      </c>
      <c r="L14" s="41" t="s">
        <v>159</v>
      </c>
      <c r="M14" s="24">
        <v>4</v>
      </c>
      <c r="N14" s="24" t="str">
        <v/>
      </c>
      <c r="O14" s="41"/>
      <c r="P14" s="48"/>
      <c r="R14" s="14" t="s">
        <v>197</v>
      </c>
      <c r="S14" s="24">
        <v>6</v>
      </c>
      <c r="T14" s="24">
        <f t="shared" si="19"/>
        <v>6</v>
      </c>
      <c r="U14" s="41">
        <v>0</v>
      </c>
      <c r="V14" s="15" t="b">
        <f t="shared" si="20"/>
        <v>1</v>
      </c>
      <c r="AB14" s="14"/>
      <c r="AC14" s="128" t="s">
        <v>191</v>
      </c>
      <c r="AD14" s="9" t="b">
        <f t="shared" si="5"/>
        <v>1</v>
      </c>
      <c r="AE14" s="7">
        <f t="shared" si="6"/>
        <v>4</v>
      </c>
      <c r="AF14" s="7" t="str">
        <f t="shared" si="7"/>
        <v/>
      </c>
      <c r="AG14" s="7" t="b">
        <f t="shared" si="8"/>
        <v>1</v>
      </c>
      <c r="AH14" s="9">
        <f xml:space="preserve"> MAX(3,Statistics!etm_semester)</f>
        <v>3</v>
      </c>
      <c r="AI14" s="7" t="b">
        <f t="shared" si="9"/>
        <v>1</v>
      </c>
      <c r="AJ14" s="7">
        <f t="shared" si="10"/>
        <v>2</v>
      </c>
      <c r="AK14" s="7"/>
      <c r="AL14" s="7" t="str">
        <f t="shared" si="11"/>
        <v/>
      </c>
      <c r="AM14" s="7" t="b">
        <v>1</v>
      </c>
      <c r="AN14" s="7" t="str">
        <f t="shared" si="12"/>
        <v/>
      </c>
      <c r="AO14" s="105">
        <v>3</v>
      </c>
      <c r="AP14" s="137" t="s">
        <v>165</v>
      </c>
      <c r="AQ14" s="7" t="b">
        <f t="shared" si="13"/>
        <v>1</v>
      </c>
      <c r="AR14" s="7">
        <f t="shared" si="14"/>
        <v>1</v>
      </c>
      <c r="AS14" s="7" t="b">
        <f t="shared" si="15"/>
        <v>1</v>
      </c>
      <c r="AT14" s="137"/>
      <c r="AU14" s="7" t="str">
        <f t="shared" si="16"/>
        <v/>
      </c>
      <c r="AV14" s="7" t="str">
        <f t="shared" si="17"/>
        <v/>
      </c>
      <c r="AW14" s="7" t="str">
        <f t="shared" si="18"/>
        <v/>
      </c>
      <c r="AX14" s="44"/>
      <c r="AY14" s="7"/>
      <c r="AZ14" s="118" t="s">
        <v>121</v>
      </c>
      <c r="BB14" s="34" t="s">
        <v>177</v>
      </c>
      <c r="BD14" s="16" t="s">
        <v>178</v>
      </c>
      <c r="BE14" s="15"/>
      <c r="BF14" s="24"/>
    </row>
    <row r="15" spans="1:61">
      <c r="A15">
        <v>1</v>
      </c>
      <c r="B15">
        <v>1</v>
      </c>
      <c r="C15">
        <v>1</v>
      </c>
      <c r="D15">
        <f t="shared" si="0"/>
        <v>7.34</v>
      </c>
      <c r="E15">
        <f t="shared" si="2"/>
        <v>7.34</v>
      </c>
      <c r="F15">
        <f t="shared" si="1"/>
        <v>7.34</v>
      </c>
      <c r="G15">
        <f t="shared" si="3"/>
        <v>2</v>
      </c>
      <c r="H15">
        <f t="shared" si="4"/>
        <v>2</v>
      </c>
      <c r="I15">
        <f>IF(Statistics!gpa_tf, G15*B15, G15*A15)</f>
        <v>2</v>
      </c>
      <c r="J15" s="46">
        <v>2</v>
      </c>
      <c r="K15" s="41" t="s">
        <v>132</v>
      </c>
      <c r="L15" s="41" t="s">
        <v>411</v>
      </c>
      <c r="M15" s="24">
        <v>2</v>
      </c>
      <c r="N15" s="24" t="str">
        <v/>
      </c>
      <c r="O15" s="41"/>
      <c r="P15" s="48"/>
      <c r="R15" s="14" t="s">
        <v>202</v>
      </c>
      <c r="S15" s="24">
        <v>3</v>
      </c>
      <c r="T15" s="24">
        <f t="shared" si="19"/>
        <v>3</v>
      </c>
      <c r="U15" s="42">
        <v>0</v>
      </c>
      <c r="V15" s="15" t="b">
        <f t="shared" si="20"/>
        <v>1</v>
      </c>
      <c r="AB15" s="14"/>
      <c r="AC15" s="129" t="s">
        <v>196</v>
      </c>
      <c r="AD15" s="19" t="b">
        <f t="shared" si="5"/>
        <v>1</v>
      </c>
      <c r="AE15" s="7">
        <f t="shared" si="6"/>
        <v>6</v>
      </c>
      <c r="AF15" s="7" t="str">
        <f t="shared" si="7"/>
        <v/>
      </c>
      <c r="AG15" s="7" t="b">
        <f t="shared" si="8"/>
        <v>1</v>
      </c>
      <c r="AH15" s="9">
        <f xml:space="preserve"> MAX(4,Statistics!etm_semester)</f>
        <v>4</v>
      </c>
      <c r="AI15" s="7" t="b">
        <f t="shared" si="9"/>
        <v>1</v>
      </c>
      <c r="AJ15" s="7">
        <f t="shared" si="10"/>
        <v>2</v>
      </c>
      <c r="AK15" s="7">
        <v>2</v>
      </c>
      <c r="AL15" s="7" t="b">
        <f t="shared" si="11"/>
        <v>0</v>
      </c>
      <c r="AM15" s="7" t="b">
        <v>1</v>
      </c>
      <c r="AN15" s="7" t="str">
        <f t="shared" si="12"/>
        <v/>
      </c>
      <c r="AO15" s="19">
        <v>3</v>
      </c>
      <c r="AP15" s="139" t="s">
        <v>191</v>
      </c>
      <c r="AQ15" s="7" t="b">
        <f t="shared" si="13"/>
        <v>1</v>
      </c>
      <c r="AR15" s="21">
        <f t="shared" si="14"/>
        <v>4</v>
      </c>
      <c r="AS15" s="21" t="b">
        <f t="shared" si="15"/>
        <v>1</v>
      </c>
      <c r="AT15" s="145"/>
      <c r="AU15" s="7" t="str">
        <f t="shared" si="16"/>
        <v/>
      </c>
      <c r="AV15" s="7" t="str">
        <f t="shared" si="17"/>
        <v/>
      </c>
      <c r="AW15" s="7" t="str">
        <f t="shared" si="18"/>
        <v/>
      </c>
      <c r="AX15" s="95"/>
      <c r="AY15" s="22"/>
      <c r="AZ15" s="118" t="s">
        <v>121</v>
      </c>
      <c r="BD15" s="78" t="s">
        <v>142</v>
      </c>
      <c r="BE15" s="98" t="s">
        <v>182</v>
      </c>
      <c r="BF15" s="24"/>
    </row>
    <row r="16" spans="1:61">
      <c r="A16">
        <v>1</v>
      </c>
      <c r="B16">
        <v>1</v>
      </c>
      <c r="C16">
        <v>1</v>
      </c>
      <c r="D16">
        <f t="shared" si="0"/>
        <v>9.99</v>
      </c>
      <c r="E16">
        <f t="shared" si="2"/>
        <v>9.99</v>
      </c>
      <c r="F16">
        <f t="shared" si="1"/>
        <v>9.99</v>
      </c>
      <c r="G16">
        <f t="shared" si="3"/>
        <v>3</v>
      </c>
      <c r="H16">
        <f t="shared" si="4"/>
        <v>3</v>
      </c>
      <c r="I16">
        <f>IF(Statistics!gpa_tf, G16*B16, G16*A16)</f>
        <v>3</v>
      </c>
      <c r="J16" s="46">
        <v>2</v>
      </c>
      <c r="K16" s="41" t="s">
        <v>309</v>
      </c>
      <c r="L16" s="41" t="s">
        <v>329</v>
      </c>
      <c r="M16" s="24">
        <v>3</v>
      </c>
      <c r="N16" s="24" t="str">
        <v/>
      </c>
      <c r="O16" s="41"/>
      <c r="P16" s="48"/>
      <c r="R16" s="14" t="s">
        <v>207</v>
      </c>
      <c r="S16" s="24">
        <v>6</v>
      </c>
      <c r="T16" s="24">
        <f t="shared" si="19"/>
        <v>3</v>
      </c>
      <c r="U16" s="42">
        <v>3</v>
      </c>
      <c r="V16" s="15" t="b">
        <f t="shared" si="20"/>
        <v>1</v>
      </c>
      <c r="AB16" s="16"/>
      <c r="AC16" s="127" t="s">
        <v>198</v>
      </c>
      <c r="AD16" s="9" t="b">
        <f t="shared" si="5"/>
        <v>1</v>
      </c>
      <c r="AE16" s="7">
        <f t="shared" si="6"/>
        <v>7</v>
      </c>
      <c r="AF16" s="7" t="str">
        <f t="shared" si="7"/>
        <v/>
      </c>
      <c r="AG16" s="7" t="b">
        <f t="shared" si="8"/>
        <v>1</v>
      </c>
      <c r="AH16" s="9">
        <f xml:space="preserve"> MAX(5,Statistics!etm_semester)</f>
        <v>5</v>
      </c>
      <c r="AI16" s="7" t="b">
        <f t="shared" si="9"/>
        <v>1</v>
      </c>
      <c r="AJ16" s="7">
        <f t="shared" si="10"/>
        <v>1</v>
      </c>
      <c r="AK16" s="7">
        <v>1</v>
      </c>
      <c r="AL16" s="7" t="b">
        <f t="shared" si="11"/>
        <v>0</v>
      </c>
      <c r="AM16" s="6" t="b">
        <v>1</v>
      </c>
      <c r="AN16" s="7" t="str">
        <f t="shared" si="12"/>
        <v/>
      </c>
      <c r="AO16" s="105">
        <v>3</v>
      </c>
      <c r="AP16" s="140" t="s">
        <v>196</v>
      </c>
      <c r="AQ16" s="7" t="b">
        <f t="shared" si="13"/>
        <v>1</v>
      </c>
      <c r="AR16" s="21">
        <f t="shared" si="14"/>
        <v>6</v>
      </c>
      <c r="AS16" s="21" t="b">
        <f t="shared" si="15"/>
        <v>1</v>
      </c>
      <c r="AT16" s="137"/>
      <c r="AU16" s="7" t="str">
        <f t="shared" si="16"/>
        <v/>
      </c>
      <c r="AV16" s="7" t="str">
        <f t="shared" si="17"/>
        <v/>
      </c>
      <c r="AW16" s="7" t="str">
        <f t="shared" si="18"/>
        <v/>
      </c>
      <c r="AX16" s="44"/>
      <c r="AY16" s="7"/>
      <c r="AZ16" s="118" t="s">
        <v>121</v>
      </c>
      <c r="BD16" s="77" t="s">
        <v>146</v>
      </c>
      <c r="BE16" s="99" t="s">
        <v>185</v>
      </c>
      <c r="BF16" s="24"/>
    </row>
    <row r="17" spans="1:58">
      <c r="A17">
        <v>1</v>
      </c>
      <c r="B17">
        <v>1</v>
      </c>
      <c r="C17">
        <v>1</v>
      </c>
      <c r="D17">
        <f t="shared" si="0"/>
        <v>12</v>
      </c>
      <c r="E17">
        <f t="shared" si="2"/>
        <v>12</v>
      </c>
      <c r="F17">
        <f t="shared" si="1"/>
        <v>12</v>
      </c>
      <c r="G17">
        <f t="shared" si="3"/>
        <v>3</v>
      </c>
      <c r="H17">
        <f t="shared" si="4"/>
        <v>3</v>
      </c>
      <c r="I17">
        <f>IF(Statistics!gpa_tf, G17*B17, G17*A17)</f>
        <v>3</v>
      </c>
      <c r="J17" s="46">
        <v>2</v>
      </c>
      <c r="K17" s="41" t="s">
        <v>96</v>
      </c>
      <c r="L17" s="41" t="s">
        <v>245</v>
      </c>
      <c r="M17" s="24">
        <v>3</v>
      </c>
      <c r="N17" s="24" t="str">
        <v>GS</v>
      </c>
      <c r="O17" s="41"/>
      <c r="P17" s="48"/>
      <c r="R17" s="14" t="s">
        <v>213</v>
      </c>
      <c r="S17" s="24">
        <v>6</v>
      </c>
      <c r="T17" s="24">
        <f t="shared" si="19"/>
        <v>13</v>
      </c>
      <c r="U17" s="42">
        <v>3</v>
      </c>
      <c r="V17" s="15" t="b">
        <f t="shared" si="20"/>
        <v>1</v>
      </c>
      <c r="AB17" s="14"/>
      <c r="AC17" s="125" t="s">
        <v>276</v>
      </c>
      <c r="AD17" s="9" t="b">
        <f t="shared" si="5"/>
        <v>1</v>
      </c>
      <c r="AE17" s="7">
        <f t="shared" si="6"/>
        <v>1</v>
      </c>
      <c r="AF17" s="7" t="str">
        <f t="shared" si="7"/>
        <v/>
      </c>
      <c r="AG17" s="7" t="b">
        <f t="shared" si="8"/>
        <v>1</v>
      </c>
      <c r="AH17" s="9"/>
      <c r="AI17" s="7" t="b">
        <f t="shared" si="9"/>
        <v>1</v>
      </c>
      <c r="AJ17" s="7">
        <f t="shared" si="10"/>
        <v>1</v>
      </c>
      <c r="AK17" s="7"/>
      <c r="AL17" s="7" t="str">
        <f t="shared" si="11"/>
        <v/>
      </c>
      <c r="AM17" s="6" t="b">
        <v>1</v>
      </c>
      <c r="AN17" s="7" t="b">
        <f t="shared" si="12"/>
        <v>1</v>
      </c>
      <c r="AO17" s="105">
        <v>2</v>
      </c>
      <c r="AP17" s="137"/>
      <c r="AQ17" s="7" t="str">
        <f t="shared" si="13"/>
        <v/>
      </c>
      <c r="AR17" s="7" t="str">
        <f t="shared" si="14"/>
        <v/>
      </c>
      <c r="AS17" s="7" t="str">
        <f t="shared" si="15"/>
        <v/>
      </c>
      <c r="AT17" s="137"/>
      <c r="AU17" s="7" t="str">
        <f t="shared" si="16"/>
        <v/>
      </c>
      <c r="AV17" s="7" t="str">
        <f t="shared" si="17"/>
        <v/>
      </c>
      <c r="AW17" s="7" t="str">
        <f t="shared" si="18"/>
        <v/>
      </c>
      <c r="AX17" s="44"/>
      <c r="AY17" s="6"/>
      <c r="AZ17" s="118" t="s">
        <v>121</v>
      </c>
      <c r="BD17" s="80" t="s">
        <v>150</v>
      </c>
      <c r="BE17" s="100" t="s">
        <v>188</v>
      </c>
      <c r="BF17" s="24"/>
    </row>
    <row r="18" spans="1:58">
      <c r="A18">
        <v>1</v>
      </c>
      <c r="B18">
        <v>1</v>
      </c>
      <c r="C18">
        <v>1</v>
      </c>
      <c r="D18">
        <f t="shared" si="0"/>
        <v>11.01</v>
      </c>
      <c r="E18">
        <f t="shared" si="2"/>
        <v>11.01</v>
      </c>
      <c r="F18">
        <f t="shared" si="1"/>
        <v>11.01</v>
      </c>
      <c r="G18">
        <f t="shared" si="3"/>
        <v>3</v>
      </c>
      <c r="H18">
        <f t="shared" si="4"/>
        <v>3</v>
      </c>
      <c r="I18">
        <f>IF(Statistics!gpa_tf, G18*B18, G18*A18)</f>
        <v>3</v>
      </c>
      <c r="J18" s="46">
        <v>2</v>
      </c>
      <c r="K18" s="41" t="s">
        <v>132</v>
      </c>
      <c r="L18" s="41" t="s">
        <v>139</v>
      </c>
      <c r="M18" s="24">
        <v>3</v>
      </c>
      <c r="N18" s="24" t="str">
        <v>GWS</v>
      </c>
      <c r="O18" s="41"/>
      <c r="P18" s="159"/>
      <c r="R18" s="14" t="s">
        <v>218</v>
      </c>
      <c r="S18" s="24">
        <v>9</v>
      </c>
      <c r="T18" s="24">
        <f t="shared" si="19"/>
        <v>9</v>
      </c>
      <c r="U18" s="42">
        <v>8</v>
      </c>
      <c r="V18" s="15" t="b">
        <f t="shared" si="20"/>
        <v>1</v>
      </c>
      <c r="AB18" s="14"/>
      <c r="AC18" s="125" t="s">
        <v>119</v>
      </c>
      <c r="AD18" s="9" t="b">
        <f t="shared" si="5"/>
        <v>0</v>
      </c>
      <c r="AE18" s="7">
        <f t="shared" si="6"/>
        <v>0</v>
      </c>
      <c r="AF18" s="7" t="str">
        <f t="shared" si="7"/>
        <v/>
      </c>
      <c r="AG18" s="7" t="b">
        <f t="shared" si="8"/>
        <v>1</v>
      </c>
      <c r="AH18" s="9"/>
      <c r="AI18" s="7" t="b">
        <f t="shared" si="9"/>
        <v>1</v>
      </c>
      <c r="AJ18" s="7">
        <f t="shared" si="10"/>
        <v>2</v>
      </c>
      <c r="AK18" s="7"/>
      <c r="AL18" s="7" t="str">
        <f t="shared" si="11"/>
        <v/>
      </c>
      <c r="AM18" s="6" t="b">
        <v>1</v>
      </c>
      <c r="AN18" s="7" t="str">
        <f t="shared" si="12"/>
        <v/>
      </c>
      <c r="AO18" s="105">
        <v>4</v>
      </c>
      <c r="AP18" s="137"/>
      <c r="AQ18" s="7" t="str">
        <f t="shared" si="13"/>
        <v/>
      </c>
      <c r="AR18" s="7" t="str">
        <f t="shared" si="14"/>
        <v/>
      </c>
      <c r="AS18" s="7" t="str">
        <f t="shared" si="15"/>
        <v/>
      </c>
      <c r="AT18" s="137"/>
      <c r="AU18" s="7" t="str">
        <f t="shared" si="16"/>
        <v/>
      </c>
      <c r="AV18" s="7" t="str">
        <f t="shared" si="17"/>
        <v/>
      </c>
      <c r="AW18" s="7" t="str">
        <f t="shared" si="18"/>
        <v/>
      </c>
      <c r="AX18" s="44" t="b">
        <v>1</v>
      </c>
      <c r="AY18" s="6"/>
      <c r="AZ18" s="118" t="s">
        <v>121</v>
      </c>
      <c r="BD18" s="78" t="s">
        <v>173</v>
      </c>
      <c r="BE18" s="97" t="s">
        <v>189</v>
      </c>
      <c r="BF18" s="24"/>
    </row>
    <row r="19" spans="1:58">
      <c r="A19">
        <v>1</v>
      </c>
      <c r="B19">
        <v>1</v>
      </c>
      <c r="C19">
        <v>1</v>
      </c>
      <c r="D19">
        <f t="shared" si="0"/>
        <v>0</v>
      </c>
      <c r="E19">
        <f t="shared" si="2"/>
        <v>0</v>
      </c>
      <c r="F19">
        <f t="shared" si="1"/>
        <v>0</v>
      </c>
      <c r="G19">
        <f t="shared" si="3"/>
        <v>0</v>
      </c>
      <c r="H19">
        <f t="shared" si="4"/>
        <v>0</v>
      </c>
      <c r="I19">
        <f>IF(Statistics!gpa_tf, G19*B19, G19*A19)</f>
        <v>0</v>
      </c>
      <c r="J19" s="47">
        <v>2</v>
      </c>
      <c r="K19" s="43"/>
      <c r="L19" s="43"/>
      <c r="M19" s="10" t="str">
        <v/>
      </c>
      <c r="N19" s="10" t="str">
        <v/>
      </c>
      <c r="O19" s="43"/>
      <c r="P19" s="49"/>
      <c r="R19" s="14" t="s">
        <v>184</v>
      </c>
      <c r="S19" s="24">
        <v>1</v>
      </c>
      <c r="T19" s="24">
        <f>SUMIF(schedule_gecode, R19, schedule_credits)</f>
        <v>1</v>
      </c>
      <c r="U19" s="42">
        <v>0</v>
      </c>
      <c r="V19" s="15" t="b">
        <f t="shared" si="20"/>
        <v>1</v>
      </c>
      <c r="AB19" s="14"/>
      <c r="AC19" s="125" t="s">
        <v>351</v>
      </c>
      <c r="AD19" s="9" t="b">
        <f t="shared" si="5"/>
        <v>1</v>
      </c>
      <c r="AE19" s="7">
        <f t="shared" si="6"/>
        <v>0</v>
      </c>
      <c r="AF19" s="7" t="str">
        <f t="shared" si="7"/>
        <v/>
      </c>
      <c r="AG19" s="7" t="b">
        <f t="shared" si="8"/>
        <v>1</v>
      </c>
      <c r="AH19" s="9"/>
      <c r="AI19" s="7" t="b">
        <f t="shared" si="9"/>
        <v>1</v>
      </c>
      <c r="AJ19" s="7">
        <f t="shared" si="10"/>
        <v>2</v>
      </c>
      <c r="AK19" s="7"/>
      <c r="AL19" s="7" t="str">
        <f t="shared" si="11"/>
        <v/>
      </c>
      <c r="AM19" s="6" t="b">
        <v>1</v>
      </c>
      <c r="AN19" s="7" t="str">
        <f t="shared" si="12"/>
        <v/>
      </c>
      <c r="AO19" s="105">
        <v>3</v>
      </c>
      <c r="AP19" s="137" t="s">
        <v>119</v>
      </c>
      <c r="AQ19" s="7" t="b">
        <f t="shared" si="13"/>
        <v>0</v>
      </c>
      <c r="AR19" s="7">
        <f t="shared" si="14"/>
        <v>0</v>
      </c>
      <c r="AS19" s="7" t="b">
        <f t="shared" si="15"/>
        <v>0</v>
      </c>
      <c r="AT19" s="137"/>
      <c r="AU19" s="7" t="str">
        <f t="shared" si="16"/>
        <v/>
      </c>
      <c r="AV19" s="7" t="str">
        <f t="shared" si="17"/>
        <v/>
      </c>
      <c r="AW19" s="7" t="str">
        <f t="shared" si="18"/>
        <v/>
      </c>
      <c r="AX19" s="44" t="b">
        <v>1</v>
      </c>
      <c r="AY19" s="7"/>
      <c r="AZ19" s="118" t="s">
        <v>121</v>
      </c>
      <c r="BD19" s="16" t="s">
        <v>43</v>
      </c>
      <c r="BE19" s="15"/>
      <c r="BF19" s="24"/>
    </row>
    <row r="20" spans="1:58">
      <c r="A20">
        <v>0</v>
      </c>
      <c r="B20">
        <v>0</v>
      </c>
      <c r="C20">
        <v>0</v>
      </c>
      <c r="D20">
        <f t="shared" si="0"/>
        <v>0</v>
      </c>
      <c r="E20">
        <f t="shared" si="2"/>
        <v>0</v>
      </c>
      <c r="F20">
        <f t="shared" si="1"/>
        <v>0</v>
      </c>
      <c r="G20">
        <f t="shared" si="3"/>
        <v>2</v>
      </c>
      <c r="H20">
        <f t="shared" si="4"/>
        <v>0</v>
      </c>
      <c r="I20">
        <f>IF(Statistics!gpa_tf, G20*B20, G20*A20)</f>
        <v>0</v>
      </c>
      <c r="J20" s="53">
        <v>3</v>
      </c>
      <c r="K20" s="51"/>
      <c r="L20" s="51" t="s">
        <v>412</v>
      </c>
      <c r="M20" s="55">
        <v>2</v>
      </c>
      <c r="N20" s="55" t="str">
        <v/>
      </c>
      <c r="O20" s="51"/>
      <c r="P20" s="52"/>
      <c r="R20" s="14" t="s">
        <v>225</v>
      </c>
      <c r="S20" s="24">
        <v>6</v>
      </c>
      <c r="T20" s="24">
        <f>SUMIF(schedule_n, TRUE, schedule_credits)</f>
        <v>0</v>
      </c>
      <c r="U20" s="42">
        <v>0</v>
      </c>
      <c r="V20" s="15" t="b">
        <f t="shared" si="20"/>
        <v>0</v>
      </c>
      <c r="AB20" s="14"/>
      <c r="AC20" s="128" t="s">
        <v>351</v>
      </c>
      <c r="AD20" s="9" t="b">
        <f t="shared" si="5"/>
        <v>1</v>
      </c>
      <c r="AE20" s="7">
        <f t="shared" si="6"/>
        <v>4</v>
      </c>
      <c r="AF20" s="7" t="str">
        <f t="shared" si="7"/>
        <v/>
      </c>
      <c r="AG20" s="7" t="b">
        <f t="shared" si="8"/>
        <v>1</v>
      </c>
      <c r="AH20" s="9"/>
      <c r="AI20" s="7" t="b">
        <f t="shared" si="9"/>
        <v>1</v>
      </c>
      <c r="AJ20" s="7">
        <f t="shared" si="10"/>
        <v>2</v>
      </c>
      <c r="AK20" s="7"/>
      <c r="AL20" s="7" t="str">
        <f t="shared" si="11"/>
        <v/>
      </c>
      <c r="AM20" s="6" t="b">
        <v>1</v>
      </c>
      <c r="AN20" s="7" t="str">
        <f t="shared" si="12"/>
        <v/>
      </c>
      <c r="AO20" s="105">
        <v>3</v>
      </c>
      <c r="AP20" s="137" t="s">
        <v>276</v>
      </c>
      <c r="AQ20" s="7" t="b">
        <f t="shared" si="13"/>
        <v>1</v>
      </c>
      <c r="AR20" s="7">
        <f t="shared" si="14"/>
        <v>1</v>
      </c>
      <c r="AS20" s="7" t="b">
        <f t="shared" si="15"/>
        <v>1</v>
      </c>
      <c r="AT20" s="137"/>
      <c r="AU20" s="7" t="str">
        <f t="shared" si="16"/>
        <v/>
      </c>
      <c r="AV20" s="7" t="str">
        <f t="shared" si="17"/>
        <v/>
      </c>
      <c r="AW20" s="7" t="str">
        <f t="shared" si="18"/>
        <v/>
      </c>
      <c r="AX20" s="44"/>
      <c r="AY20" s="7"/>
      <c r="AZ20" s="118" t="s">
        <v>121</v>
      </c>
      <c r="BD20" s="77" t="s">
        <v>192</v>
      </c>
      <c r="BE20" s="97" t="s">
        <v>352</v>
      </c>
      <c r="BF20" s="24"/>
    </row>
    <row r="21" spans="1:58">
      <c r="A21">
        <v>0</v>
      </c>
      <c r="B21">
        <v>0</v>
      </c>
      <c r="C21">
        <v>0</v>
      </c>
      <c r="D21">
        <f t="shared" si="0"/>
        <v>0</v>
      </c>
      <c r="E21">
        <f t="shared" si="2"/>
        <v>0</v>
      </c>
      <c r="F21">
        <f t="shared" si="1"/>
        <v>0</v>
      </c>
      <c r="G21">
        <f t="shared" si="3"/>
        <v>3</v>
      </c>
      <c r="H21">
        <f t="shared" si="4"/>
        <v>0</v>
      </c>
      <c r="I21">
        <f>IF(Statistics!gpa_tf, G21*B21, G21*A21)</f>
        <v>0</v>
      </c>
      <c r="J21" s="45">
        <v>3</v>
      </c>
      <c r="K21" s="41"/>
      <c r="L21" s="41" t="s">
        <v>238</v>
      </c>
      <c r="M21" s="24">
        <v>3</v>
      </c>
      <c r="N21" s="24" t="str">
        <v>GA</v>
      </c>
      <c r="O21" s="41"/>
      <c r="P21" s="48"/>
      <c r="R21" s="28" t="s">
        <v>228</v>
      </c>
      <c r="S21" s="29">
        <v>3</v>
      </c>
      <c r="T21" s="24">
        <f>SUMIF(schedule_usil, "US", schedule_credits)</f>
        <v>0</v>
      </c>
      <c r="U21" s="42">
        <v>0</v>
      </c>
      <c r="V21" s="15" t="b">
        <f t="shared" si="20"/>
        <v>0</v>
      </c>
      <c r="AB21" s="14"/>
      <c r="AC21" s="125" t="s">
        <v>187</v>
      </c>
      <c r="AD21" s="9" t="b">
        <f t="shared" si="5"/>
        <v>1</v>
      </c>
      <c r="AE21" s="7">
        <f t="shared" si="6"/>
        <v>3</v>
      </c>
      <c r="AF21" s="7" t="str">
        <f t="shared" si="7"/>
        <v/>
      </c>
      <c r="AG21" s="7" t="b">
        <f t="shared" si="8"/>
        <v>1</v>
      </c>
      <c r="AH21" s="9"/>
      <c r="AI21" s="7" t="b">
        <f t="shared" si="9"/>
        <v>1</v>
      </c>
      <c r="AJ21" s="7">
        <f t="shared" si="10"/>
        <v>1</v>
      </c>
      <c r="AK21" s="7"/>
      <c r="AL21" s="7" t="str">
        <f t="shared" si="11"/>
        <v/>
      </c>
      <c r="AM21" s="7" t="b">
        <v>1</v>
      </c>
      <c r="AN21" s="7" t="str">
        <f t="shared" si="12"/>
        <v/>
      </c>
      <c r="AO21" s="105">
        <v>3</v>
      </c>
      <c r="AP21" s="137"/>
      <c r="AQ21" s="7" t="str">
        <f t="shared" si="13"/>
        <v/>
      </c>
      <c r="AR21" s="7" t="str">
        <f t="shared" si="14"/>
        <v/>
      </c>
      <c r="AS21" s="7" t="str">
        <f t="shared" si="15"/>
        <v/>
      </c>
      <c r="AT21" s="137" t="s">
        <v>165</v>
      </c>
      <c r="AU21" s="7" t="b">
        <f t="shared" si="16"/>
        <v>1</v>
      </c>
      <c r="AV21" s="7">
        <f t="shared" si="17"/>
        <v>1</v>
      </c>
      <c r="AW21" s="7" t="b">
        <f t="shared" si="18"/>
        <v>1</v>
      </c>
      <c r="AX21" s="44"/>
      <c r="AY21" s="7"/>
      <c r="AZ21" s="118" t="s">
        <v>121</v>
      </c>
      <c r="BD21" s="78" t="s">
        <v>194</v>
      </c>
      <c r="BE21" s="98" t="s">
        <v>353</v>
      </c>
      <c r="BF21" s="24"/>
    </row>
    <row r="22" spans="1:58">
      <c r="A22">
        <v>0</v>
      </c>
      <c r="B22">
        <v>0</v>
      </c>
      <c r="C22">
        <v>0</v>
      </c>
      <c r="D22">
        <f t="shared" si="0"/>
        <v>0</v>
      </c>
      <c r="E22">
        <f t="shared" si="2"/>
        <v>0</v>
      </c>
      <c r="F22">
        <f t="shared" si="1"/>
        <v>0</v>
      </c>
      <c r="G22">
        <f t="shared" si="3"/>
        <v>3</v>
      </c>
      <c r="H22">
        <f t="shared" si="4"/>
        <v>0</v>
      </c>
      <c r="I22">
        <f>IF(Statistics!gpa_tf, G22*B22, G22*A22)</f>
        <v>0</v>
      </c>
      <c r="J22" s="45">
        <v>3</v>
      </c>
      <c r="K22" s="41"/>
      <c r="L22" s="41" t="s">
        <v>354</v>
      </c>
      <c r="M22" s="24">
        <v>3</v>
      </c>
      <c r="N22" s="24" t="str">
        <v>GQ</v>
      </c>
      <c r="O22" s="41"/>
      <c r="P22" s="48"/>
      <c r="R22" s="30" t="s">
        <v>232</v>
      </c>
      <c r="S22" s="31">
        <v>3</v>
      </c>
      <c r="T22" s="10">
        <f>SUMIF(schedule_usil, "IL", schedule_credits)</f>
        <v>0</v>
      </c>
      <c r="U22" s="239">
        <v>0</v>
      </c>
      <c r="V22" s="26" t="b">
        <f t="shared" si="20"/>
        <v>0</v>
      </c>
      <c r="AB22" s="14"/>
      <c r="AC22" s="128" t="s">
        <v>187</v>
      </c>
      <c r="AD22" s="9" t="b">
        <f t="shared" si="5"/>
        <v>1</v>
      </c>
      <c r="AE22" s="7">
        <f t="shared" si="6"/>
        <v>3</v>
      </c>
      <c r="AF22" s="7" t="str">
        <f t="shared" si="7"/>
        <v/>
      </c>
      <c r="AG22" s="7" t="b">
        <f t="shared" si="8"/>
        <v>1</v>
      </c>
      <c r="AH22" s="9"/>
      <c r="AI22" s="7" t="b">
        <f t="shared" si="9"/>
        <v>1</v>
      </c>
      <c r="AJ22" s="7">
        <f t="shared" si="10"/>
        <v>1</v>
      </c>
      <c r="AK22" s="7"/>
      <c r="AL22" s="7" t="str">
        <f t="shared" si="11"/>
        <v/>
      </c>
      <c r="AM22" s="7" t="b">
        <v>1</v>
      </c>
      <c r="AN22" s="7" t="str">
        <f t="shared" si="12"/>
        <v/>
      </c>
      <c r="AO22" s="105">
        <v>3</v>
      </c>
      <c r="AP22" s="137"/>
      <c r="AQ22" s="7" t="str">
        <f t="shared" si="13"/>
        <v/>
      </c>
      <c r="AR22" s="7" t="str">
        <f t="shared" si="14"/>
        <v/>
      </c>
      <c r="AS22" s="7" t="str">
        <f t="shared" si="15"/>
        <v/>
      </c>
      <c r="AT22" s="137" t="s">
        <v>186</v>
      </c>
      <c r="AU22" s="7" t="b">
        <f t="shared" si="16"/>
        <v>1</v>
      </c>
      <c r="AV22" s="7">
        <f t="shared" si="17"/>
        <v>3</v>
      </c>
      <c r="AW22" s="7" t="b">
        <f t="shared" si="18"/>
        <v>1</v>
      </c>
      <c r="AX22" s="44"/>
      <c r="AY22" s="7"/>
      <c r="AZ22" s="118" t="s">
        <v>121</v>
      </c>
      <c r="BD22" s="16" t="s">
        <v>53</v>
      </c>
      <c r="BE22" s="15"/>
      <c r="BF22" s="24"/>
    </row>
    <row r="23" spans="1:58">
      <c r="A23">
        <v>0</v>
      </c>
      <c r="B23">
        <v>0</v>
      </c>
      <c r="C23">
        <v>0</v>
      </c>
      <c r="D23">
        <f t="shared" si="0"/>
        <v>0</v>
      </c>
      <c r="E23">
        <f t="shared" si="2"/>
        <v>0</v>
      </c>
      <c r="F23">
        <f t="shared" si="1"/>
        <v>0</v>
      </c>
      <c r="G23">
        <f t="shared" si="3"/>
        <v>3</v>
      </c>
      <c r="H23">
        <f t="shared" si="4"/>
        <v>0</v>
      </c>
      <c r="I23">
        <f>IF(Statistics!gpa_tf, G23*B23, G23*A23)</f>
        <v>0</v>
      </c>
      <c r="J23" s="45">
        <v>3</v>
      </c>
      <c r="K23" s="41"/>
      <c r="L23" s="41" t="s">
        <v>187</v>
      </c>
      <c r="M23" s="24">
        <v>3</v>
      </c>
      <c r="N23" s="24" t="str">
        <v/>
      </c>
      <c r="O23" s="41"/>
      <c r="P23" s="48"/>
      <c r="R23" s="29"/>
      <c r="S23" s="29"/>
      <c r="T23" s="24"/>
      <c r="U23" s="69"/>
      <c r="V23" s="24"/>
      <c r="AA23" s="251" t="s">
        <v>355</v>
      </c>
      <c r="AB23" s="116"/>
      <c r="AC23" s="125" t="s">
        <v>329</v>
      </c>
      <c r="AD23" s="9" t="b">
        <f t="shared" si="5"/>
        <v>1</v>
      </c>
      <c r="AE23" s="7">
        <f t="shared" si="6"/>
        <v>0</v>
      </c>
      <c r="AF23" s="7" t="str">
        <f t="shared" si="7"/>
        <v/>
      </c>
      <c r="AG23" s="7" t="b">
        <f t="shared" si="8"/>
        <v>1</v>
      </c>
      <c r="AH23" s="9"/>
      <c r="AI23" s="7" t="b">
        <f t="shared" si="9"/>
        <v>1</v>
      </c>
      <c r="AJ23" s="7">
        <f t="shared" si="10"/>
        <v>2</v>
      </c>
      <c r="AK23" s="7"/>
      <c r="AL23" s="7" t="str">
        <f t="shared" si="11"/>
        <v/>
      </c>
      <c r="AM23" s="6" t="b">
        <v>1</v>
      </c>
      <c r="AN23" s="7" t="b">
        <f t="shared" si="12"/>
        <v>1</v>
      </c>
      <c r="AO23" s="105">
        <v>3</v>
      </c>
      <c r="AP23" s="138" t="s">
        <v>119</v>
      </c>
      <c r="AQ23" s="7" t="b">
        <f t="shared" si="13"/>
        <v>0</v>
      </c>
      <c r="AR23" s="7">
        <f t="shared" si="14"/>
        <v>0</v>
      </c>
      <c r="AS23" s="7" t="b">
        <f t="shared" si="15"/>
        <v>0</v>
      </c>
      <c r="AT23" s="137"/>
      <c r="AU23" s="7" t="str">
        <f t="shared" si="16"/>
        <v/>
      </c>
      <c r="AV23" s="7" t="str">
        <f t="shared" ref="AV23:AV50" si="21">IF(IFERROR(INDEX(req_tr_AP_credit, MATCH(AT23, req_course)), FALSE),0,IFERROR(INDEX(schedule_semester,MATCH(AT23,schedule_courses,0)), ""))</f>
        <v/>
      </c>
      <c r="AW23" s="7" t="str">
        <f t="shared" ref="AW23:AW50" si="22">IF(AV23&lt;&gt;"", AV23&lt;=AE23, "")</f>
        <v/>
      </c>
      <c r="AX23" s="44" t="b">
        <v>1</v>
      </c>
      <c r="AY23" s="7"/>
      <c r="AZ23" s="118" t="s">
        <v>121</v>
      </c>
      <c r="BD23" s="77" t="s">
        <v>199</v>
      </c>
      <c r="BE23" s="99" t="s">
        <v>200</v>
      </c>
      <c r="BF23" s="24"/>
    </row>
    <row r="24" spans="1:58">
      <c r="A24">
        <v>0</v>
      </c>
      <c r="B24">
        <v>0</v>
      </c>
      <c r="C24">
        <v>0</v>
      </c>
      <c r="D24">
        <f t="shared" si="0"/>
        <v>0</v>
      </c>
      <c r="E24">
        <f t="shared" si="2"/>
        <v>0</v>
      </c>
      <c r="F24">
        <f t="shared" si="1"/>
        <v>0</v>
      </c>
      <c r="G24">
        <f t="shared" si="3"/>
        <v>3</v>
      </c>
      <c r="H24">
        <f t="shared" si="4"/>
        <v>0</v>
      </c>
      <c r="I24">
        <f>IF(Statistics!gpa_tf, G24*B24, G24*A24)</f>
        <v>0</v>
      </c>
      <c r="J24" s="45">
        <v>3</v>
      </c>
      <c r="K24" s="41"/>
      <c r="L24" s="41" t="s">
        <v>175</v>
      </c>
      <c r="M24" s="24">
        <v>3</v>
      </c>
      <c r="N24" s="24" t="str">
        <v/>
      </c>
      <c r="O24" s="41"/>
      <c r="P24" s="48"/>
      <c r="AA24" s="251" t="s">
        <v>356</v>
      </c>
      <c r="AB24" s="14"/>
      <c r="AC24" s="125" t="s">
        <v>235</v>
      </c>
      <c r="AD24" s="9" t="b">
        <f t="shared" si="5"/>
        <v>1</v>
      </c>
      <c r="AE24" s="7">
        <f t="shared" si="6"/>
        <v>0</v>
      </c>
      <c r="AF24" s="7" t="str">
        <f t="shared" si="7"/>
        <v/>
      </c>
      <c r="AG24" s="7" t="b">
        <f t="shared" si="8"/>
        <v>1</v>
      </c>
      <c r="AH24" s="9"/>
      <c r="AI24" s="7" t="b">
        <f t="shared" si="9"/>
        <v>1</v>
      </c>
      <c r="AJ24" s="7">
        <f t="shared" si="10"/>
        <v>2</v>
      </c>
      <c r="AK24" s="7"/>
      <c r="AL24" s="7" t="str">
        <f t="shared" si="11"/>
        <v/>
      </c>
      <c r="AM24" s="6" t="b">
        <v>1</v>
      </c>
      <c r="AN24" s="7" t="b">
        <f t="shared" si="12"/>
        <v>1</v>
      </c>
      <c r="AO24" s="117">
        <v>3</v>
      </c>
      <c r="AP24" s="138" t="s">
        <v>119</v>
      </c>
      <c r="AQ24" s="7" t="b">
        <f t="shared" si="13"/>
        <v>0</v>
      </c>
      <c r="AR24" s="7">
        <f t="shared" si="14"/>
        <v>0</v>
      </c>
      <c r="AS24" s="7" t="b">
        <f t="shared" si="15"/>
        <v>0</v>
      </c>
      <c r="AT24" s="137"/>
      <c r="AU24" s="7" t="str">
        <f t="shared" si="16"/>
        <v/>
      </c>
      <c r="AV24" s="7" t="str">
        <f t="shared" si="21"/>
        <v/>
      </c>
      <c r="AW24" s="7" t="str">
        <f t="shared" si="22"/>
        <v/>
      </c>
      <c r="AX24" s="44" t="b">
        <v>1</v>
      </c>
      <c r="AY24" s="7"/>
      <c r="AZ24" s="118" t="s">
        <v>121</v>
      </c>
      <c r="BD24" s="78" t="s">
        <v>205</v>
      </c>
      <c r="BE24" s="99" t="s">
        <v>206</v>
      </c>
      <c r="BF24" s="24"/>
    </row>
    <row r="25" spans="1:58">
      <c r="A25">
        <v>0</v>
      </c>
      <c r="B25">
        <v>0</v>
      </c>
      <c r="C25">
        <v>0</v>
      </c>
      <c r="D25">
        <f t="shared" si="0"/>
        <v>0</v>
      </c>
      <c r="E25">
        <f t="shared" si="2"/>
        <v>0</v>
      </c>
      <c r="F25">
        <f t="shared" si="1"/>
        <v>0</v>
      </c>
      <c r="G25">
        <f t="shared" si="3"/>
        <v>3</v>
      </c>
      <c r="H25">
        <f t="shared" si="4"/>
        <v>0</v>
      </c>
      <c r="I25">
        <f>IF(Statistics!gpa_tf, G25*B25, G25*A25)</f>
        <v>0</v>
      </c>
      <c r="J25" s="45">
        <v>3</v>
      </c>
      <c r="K25" s="41"/>
      <c r="L25" s="41" t="s">
        <v>208</v>
      </c>
      <c r="M25" s="24">
        <v>3</v>
      </c>
      <c r="N25" s="24" t="str">
        <v/>
      </c>
      <c r="O25" s="41"/>
      <c r="P25" s="48"/>
      <c r="AA25" s="251" t="s">
        <v>354</v>
      </c>
      <c r="AB25" s="16"/>
      <c r="AC25" s="125" t="s">
        <v>357</v>
      </c>
      <c r="AD25" s="9" t="b">
        <f t="shared" si="5"/>
        <v>1</v>
      </c>
      <c r="AE25" s="7">
        <f t="shared" si="6"/>
        <v>7</v>
      </c>
      <c r="AF25" s="7" t="str">
        <f t="shared" si="7"/>
        <v/>
      </c>
      <c r="AG25" s="7" t="b">
        <f t="shared" si="8"/>
        <v>1</v>
      </c>
      <c r="AH25" s="9">
        <v>7</v>
      </c>
      <c r="AI25" s="7" t="b">
        <f t="shared" si="9"/>
        <v>1</v>
      </c>
      <c r="AJ25" s="7">
        <f t="shared" si="10"/>
        <v>1</v>
      </c>
      <c r="AK25" s="7"/>
      <c r="AL25" s="7" t="str">
        <f t="shared" si="11"/>
        <v/>
      </c>
      <c r="AM25" s="6" t="b">
        <v>1</v>
      </c>
      <c r="AN25" s="7" t="str">
        <f t="shared" si="12"/>
        <v/>
      </c>
      <c r="AO25" s="18">
        <v>3</v>
      </c>
      <c r="AP25" s="137"/>
      <c r="AQ25" s="7" t="str">
        <f t="shared" si="13"/>
        <v/>
      </c>
      <c r="AR25" s="7" t="str">
        <f t="shared" ref="AR25:AR50" si="23">IF(IFERROR(INDEX(req_tr_AP_credit, MATCH(AP25, req_course,0)), FALSE),0,IFERROR(INDEX(schedule_semester,MATCH(AP25,schedule_courses,0)), ""))</f>
        <v/>
      </c>
      <c r="AS25" s="7" t="str">
        <f t="shared" ref="AS25:AS50" si="24">IF(AR25&lt;&gt;"", AR25&lt;AE25, "")</f>
        <v/>
      </c>
      <c r="AT25" s="137"/>
      <c r="AU25" s="7" t="str">
        <f t="shared" si="16"/>
        <v/>
      </c>
      <c r="AV25" s="7" t="str">
        <f t="shared" si="21"/>
        <v/>
      </c>
      <c r="AW25" s="7" t="str">
        <f t="shared" si="22"/>
        <v/>
      </c>
      <c r="AX25" s="44"/>
      <c r="AY25" s="7"/>
      <c r="AZ25" s="118" t="s">
        <v>121</v>
      </c>
      <c r="BD25" s="77" t="s">
        <v>211</v>
      </c>
      <c r="BE25" s="98" t="s">
        <v>212</v>
      </c>
      <c r="BF25" s="24"/>
    </row>
    <row r="26" spans="1:58">
      <c r="A26">
        <v>0</v>
      </c>
      <c r="B26">
        <v>0</v>
      </c>
      <c r="C26">
        <v>0</v>
      </c>
      <c r="D26">
        <f t="shared" si="0"/>
        <v>0</v>
      </c>
      <c r="E26">
        <f t="shared" si="2"/>
        <v>0</v>
      </c>
      <c r="F26">
        <f t="shared" si="1"/>
        <v>0</v>
      </c>
      <c r="G26">
        <f t="shared" si="3"/>
        <v>1.5</v>
      </c>
      <c r="H26">
        <f t="shared" si="4"/>
        <v>0</v>
      </c>
      <c r="I26">
        <f>IF(Statistics!gpa_tf, G26*B26, G26*A26)</f>
        <v>0</v>
      </c>
      <c r="J26" s="45">
        <v>3</v>
      </c>
      <c r="K26" s="41"/>
      <c r="L26" s="41" t="s">
        <v>186</v>
      </c>
      <c r="M26" s="24">
        <v>1.5</v>
      </c>
      <c r="N26" s="24" t="str">
        <v/>
      </c>
      <c r="O26" s="41"/>
      <c r="P26" s="48"/>
      <c r="R26" s="72" t="s">
        <v>61</v>
      </c>
      <c r="S26" s="262" t="s">
        <v>29</v>
      </c>
      <c r="T26" s="318" t="s">
        <v>244</v>
      </c>
      <c r="U26" s="318"/>
      <c r="V26" s="319"/>
      <c r="AA26" s="251" t="s">
        <v>358</v>
      </c>
      <c r="AB26" s="253"/>
      <c r="AC26" s="252" t="s">
        <v>208</v>
      </c>
      <c r="AD26" s="9" t="b">
        <f t="shared" si="5"/>
        <v>1</v>
      </c>
      <c r="AE26" s="7">
        <f t="shared" si="6"/>
        <v>3</v>
      </c>
      <c r="AF26" s="7" t="str">
        <f t="shared" si="7"/>
        <v/>
      </c>
      <c r="AG26" s="7" t="b">
        <f t="shared" si="8"/>
        <v>1</v>
      </c>
      <c r="AH26" s="9"/>
      <c r="AI26" s="7" t="b">
        <f t="shared" si="9"/>
        <v>1</v>
      </c>
      <c r="AJ26" s="7">
        <f t="shared" si="10"/>
        <v>1</v>
      </c>
      <c r="AK26" s="7"/>
      <c r="AL26" s="7" t="str">
        <f t="shared" si="11"/>
        <v/>
      </c>
      <c r="AM26" s="6" t="b">
        <v>1</v>
      </c>
      <c r="AN26" s="7" t="str">
        <f t="shared" si="12"/>
        <v/>
      </c>
      <c r="AO26" s="105" cm="1">
        <f t="array" ref="AO26">IFERROR(_xlfn.IFS(AC26="STAT 480", 1, AC26="STAT 481", 1, AC26="STAT 482",1, AC26="STAT 483", 3),0)</f>
        <v>3</v>
      </c>
      <c r="AP26" s="137" cm="1">
        <f t="array" ref="AP26">IFERROR(_xlfn.IFS(AC26="STAT 480", 0, AC26="STAT 481", "STAT 480", AC26="STAT 482", "STAT 481", AC26="STAT 483", 0), 0)</f>
        <v>0</v>
      </c>
      <c r="AQ26" s="7" t="str">
        <f t="shared" si="13"/>
        <v/>
      </c>
      <c r="AR26" s="7" t="str">
        <f t="shared" si="23"/>
        <v/>
      </c>
      <c r="AS26" s="7" t="str">
        <f t="shared" si="24"/>
        <v/>
      </c>
      <c r="AT26" s="137"/>
      <c r="AU26" s="7" t="str">
        <f t="shared" si="16"/>
        <v/>
      </c>
      <c r="AV26" s="7" t="str">
        <f t="shared" si="21"/>
        <v/>
      </c>
      <c r="AW26" s="7" t="str">
        <f t="shared" si="22"/>
        <v/>
      </c>
      <c r="AX26" s="44"/>
      <c r="AY26" s="7"/>
      <c r="AZ26" s="118" t="s">
        <v>121</v>
      </c>
      <c r="BD26" s="78" t="s">
        <v>216</v>
      </c>
      <c r="BE26" s="99" t="s">
        <v>217</v>
      </c>
      <c r="BF26" s="24"/>
    </row>
    <row r="27" spans="1:58" ht="78">
      <c r="A27">
        <v>0</v>
      </c>
      <c r="B27">
        <v>0</v>
      </c>
      <c r="C27">
        <v>0</v>
      </c>
      <c r="D27">
        <f t="shared" si="0"/>
        <v>0</v>
      </c>
      <c r="E27">
        <f t="shared" si="2"/>
        <v>0</v>
      </c>
      <c r="F27">
        <f t="shared" si="1"/>
        <v>0</v>
      </c>
      <c r="G27">
        <f t="shared" si="3"/>
        <v>0</v>
      </c>
      <c r="H27">
        <f t="shared" si="4"/>
        <v>0</v>
      </c>
      <c r="I27">
        <f>IF(Statistics!gpa_tf, G27*B27, G27*A27)</f>
        <v>0</v>
      </c>
      <c r="J27" s="45">
        <v>3</v>
      </c>
      <c r="K27" s="41"/>
      <c r="L27" s="41"/>
      <c r="M27" s="24" t="str">
        <v/>
      </c>
      <c r="N27" s="24" t="str">
        <v/>
      </c>
      <c r="O27" s="41"/>
      <c r="P27" s="48"/>
      <c r="R27" s="14" t="s">
        <v>248</v>
      </c>
      <c r="S27" s="24" cm="1">
        <f t="array" ref="S27">IFERROR(INDEX(schedule_semester, MAX(MATCH(T27, schedule_courses, 0))), "Take more courses")</f>
        <v>3</v>
      </c>
      <c r="T27" s="24" t="s">
        <v>186</v>
      </c>
      <c r="U27" s="24"/>
      <c r="V27" s="15"/>
      <c r="AA27" s="251" t="s">
        <v>359</v>
      </c>
      <c r="AB27" s="144" t="s">
        <v>360</v>
      </c>
      <c r="AC27" s="141" t="s">
        <v>354</v>
      </c>
      <c r="AD27" s="9" t="b">
        <f t="shared" si="5"/>
        <v>1</v>
      </c>
      <c r="AE27" s="7">
        <f t="shared" si="6"/>
        <v>3</v>
      </c>
      <c r="AF27" s="7" t="str">
        <f t="shared" si="7"/>
        <v/>
      </c>
      <c r="AG27" s="7" t="b">
        <f t="shared" si="8"/>
        <v>1</v>
      </c>
      <c r="AH27" s="9"/>
      <c r="AI27" s="7" t="b">
        <f t="shared" si="9"/>
        <v>1</v>
      </c>
      <c r="AJ27" s="7">
        <f t="shared" si="10"/>
        <v>1</v>
      </c>
      <c r="AK27" s="7"/>
      <c r="AL27" s="7" t="str">
        <f t="shared" si="11"/>
        <v/>
      </c>
      <c r="AM27" s="6" t="b">
        <v>1</v>
      </c>
      <c r="AN27" s="7" t="str">
        <f t="shared" si="12"/>
        <v/>
      </c>
      <c r="AO27" s="9">
        <v>3</v>
      </c>
      <c r="AP27" s="138" cm="1">
        <f t="array" ref="AP27">IFERROR(_xlfn.IFS(AC27="CMPSC 101", 0, AC27="CMPSC 102", 0, AC27="CMPSC 121", 0, AC27="CMPSC 200", "MATH 140", AC27="CMPSC 201", "MATH 140"),0)</f>
        <v>0</v>
      </c>
      <c r="AQ27" s="7" t="str">
        <f t="shared" si="13"/>
        <v/>
      </c>
      <c r="AR27" s="7" t="str">
        <f t="shared" si="23"/>
        <v/>
      </c>
      <c r="AS27" s="7" t="str">
        <f t="shared" si="24"/>
        <v/>
      </c>
      <c r="AT27" s="137" t="str" cm="1">
        <f t="array" ref="AT27">IFERROR(_xlfn.IFS(AC27="CMPSC 101", 0, AC27="CMPSC 102", 0, AC27="CMPSC 121", "MATH 140", AC27="CMPSC 200", "MATH 141", AC27="CMPSC 201", "MATH 141"), 0)</f>
        <v>MATH 140</v>
      </c>
      <c r="AU27" s="7" t="b">
        <f t="shared" si="16"/>
        <v>0</v>
      </c>
      <c r="AV27" s="7" t="str">
        <f t="shared" si="21"/>
        <v/>
      </c>
      <c r="AW27" s="7" t="str">
        <f t="shared" si="22"/>
        <v/>
      </c>
      <c r="AX27" s="44"/>
      <c r="AY27" s="7" t="s">
        <v>154</v>
      </c>
      <c r="AZ27" s="118" t="s">
        <v>121</v>
      </c>
      <c r="BD27" s="77" t="s">
        <v>220</v>
      </c>
      <c r="BE27" s="99" t="s">
        <v>361</v>
      </c>
      <c r="BF27" s="24"/>
    </row>
    <row r="28" spans="1:58" ht="15.9" customHeight="1">
      <c r="A28">
        <v>0</v>
      </c>
      <c r="B28">
        <v>0</v>
      </c>
      <c r="C28">
        <v>0</v>
      </c>
      <c r="D28">
        <f t="shared" si="0"/>
        <v>0</v>
      </c>
      <c r="E28">
        <f t="shared" si="2"/>
        <v>0</v>
      </c>
      <c r="F28">
        <f t="shared" si="1"/>
        <v>0</v>
      </c>
      <c r="G28">
        <f t="shared" si="3"/>
        <v>0</v>
      </c>
      <c r="H28">
        <f t="shared" si="4"/>
        <v>0</v>
      </c>
      <c r="I28">
        <f>IF(Statistics!gpa_tf, G28*B28, G28*A28)</f>
        <v>0</v>
      </c>
      <c r="J28" s="54">
        <v>3</v>
      </c>
      <c r="K28" s="43"/>
      <c r="L28" s="43"/>
      <c r="M28" s="10" t="str">
        <v/>
      </c>
      <c r="N28" s="10" t="str">
        <v/>
      </c>
      <c r="O28" s="43"/>
      <c r="P28" s="49"/>
      <c r="R28" s="14" t="s">
        <v>251</v>
      </c>
      <c r="S28" s="24" cm="1">
        <f t="array" ref="S28">IFERROR(INDEX(schedule_semester, MAX(MATCH(T28, schedule_courses, 0))), "Take more courses")</f>
        <v>4</v>
      </c>
      <c r="T28" s="24" t="s">
        <v>191</v>
      </c>
      <c r="U28" s="24"/>
      <c r="V28" s="15"/>
      <c r="AA28" s="251" t="s">
        <v>362</v>
      </c>
      <c r="AB28" s="315" t="s">
        <v>363</v>
      </c>
      <c r="AC28" s="133" t="s">
        <v>258</v>
      </c>
      <c r="AD28" s="9" t="b">
        <f t="shared" si="5"/>
        <v>1</v>
      </c>
      <c r="AE28" s="7">
        <f t="shared" si="6"/>
        <v>5</v>
      </c>
      <c r="AF28" s="7" t="str">
        <f t="shared" si="7"/>
        <v/>
      </c>
      <c r="AG28" s="7" t="b">
        <f t="shared" si="8"/>
        <v>1</v>
      </c>
      <c r="AH28" s="9"/>
      <c r="AI28" s="7" t="b">
        <f t="shared" si="9"/>
        <v>1</v>
      </c>
      <c r="AJ28" s="7">
        <f t="shared" si="10"/>
        <v>1</v>
      </c>
      <c r="AK28" s="7"/>
      <c r="AL28" s="7" t="str">
        <f t="shared" si="11"/>
        <v/>
      </c>
      <c r="AM28" s="6" t="b">
        <v>1</v>
      </c>
      <c r="AN28" s="7" t="str">
        <f t="shared" si="12"/>
        <v/>
      </c>
      <c r="AO28" s="105">
        <v>3</v>
      </c>
      <c r="AP28" s="138" t="str" cm="1">
        <f t="array" ref="AP28">IFERROR(_xlfn.IFS(AC28="IE 434", 0, AC28="IE 436", 0, AC28="MATH 441", "MATH 220", AC28="MATH 451", "MATH 230", AC28="MATH 455", AC27, AC28="STAT 416","STAT 414", AC28="STAT 440", "STAT 200", AC28="STAT 463", "STAT 462", AC28="STAT 464", "STAT 200", AC28="STAT 466", "STAT 200"), 0)</f>
        <v>STAT 462</v>
      </c>
      <c r="AQ28" s="7" t="b">
        <f t="shared" si="13"/>
        <v>1</v>
      </c>
      <c r="AR28" s="7">
        <f t="shared" si="23"/>
        <v>0</v>
      </c>
      <c r="AS28" s="7" t="b">
        <f t="shared" si="24"/>
        <v>1</v>
      </c>
      <c r="AT28" s="137"/>
      <c r="AU28" s="7" t="str">
        <f t="shared" si="16"/>
        <v/>
      </c>
      <c r="AV28" s="7" t="str">
        <f t="shared" si="21"/>
        <v/>
      </c>
      <c r="AW28" s="7" t="str">
        <f t="shared" si="22"/>
        <v/>
      </c>
      <c r="AX28" s="44"/>
      <c r="AY28" s="7"/>
      <c r="AZ28" s="118" t="s">
        <v>121</v>
      </c>
      <c r="BD28" s="78" t="s">
        <v>223</v>
      </c>
      <c r="BE28" s="99" t="s">
        <v>364</v>
      </c>
      <c r="BF28" s="24"/>
    </row>
    <row r="29" spans="1:58">
      <c r="A29">
        <v>0</v>
      </c>
      <c r="B29">
        <v>0</v>
      </c>
      <c r="C29">
        <v>0</v>
      </c>
      <c r="D29">
        <f t="shared" si="0"/>
        <v>0</v>
      </c>
      <c r="E29">
        <f t="shared" si="2"/>
        <v>0</v>
      </c>
      <c r="F29">
        <f t="shared" si="1"/>
        <v>0</v>
      </c>
      <c r="G29">
        <f t="shared" si="3"/>
        <v>3</v>
      </c>
      <c r="H29">
        <f t="shared" si="4"/>
        <v>0</v>
      </c>
      <c r="I29">
        <f>IF(Statistics!gpa_tf, G29*B29, G29*A29)</f>
        <v>0</v>
      </c>
      <c r="J29" s="50">
        <v>4</v>
      </c>
      <c r="K29" s="51"/>
      <c r="L29" s="51" t="s">
        <v>350</v>
      </c>
      <c r="M29" s="55">
        <v>3</v>
      </c>
      <c r="N29" s="55" t="str">
        <v/>
      </c>
      <c r="O29" s="51"/>
      <c r="P29" s="52"/>
      <c r="R29" s="14" t="s">
        <v>254</v>
      </c>
      <c r="S29" s="24" cm="1">
        <f t="array" ref="S29">IFERROR(INDEX(schedule_semester, MAX(MATCH(T29, schedule_courses, 0))), "Take more courses")</f>
        <v>5</v>
      </c>
      <c r="T29" s="24" t="s">
        <v>203</v>
      </c>
      <c r="U29" s="24"/>
      <c r="V29" s="15"/>
      <c r="AA29" s="251" t="s">
        <v>365</v>
      </c>
      <c r="AB29" s="316"/>
      <c r="AC29" s="135" t="str">
        <f>AC28</f>
        <v>STAT 463</v>
      </c>
      <c r="AD29" s="9" t="b">
        <f t="shared" si="5"/>
        <v>1</v>
      </c>
      <c r="AE29" s="7">
        <f t="shared" ref="AE29:AE30" si="25">IF(AX29,0,IFERROR(INDEX(schedule_semester,MATCH(AC29,schedule_courses,0)), ""))</f>
        <v>5</v>
      </c>
      <c r="AF29" s="7" t="str">
        <f t="shared" si="7"/>
        <v/>
      </c>
      <c r="AG29" s="7" t="b">
        <f t="shared" ref="AG29:AG30" si="26">IF(AE29="", "", AE29&lt;AF29)</f>
        <v>1</v>
      </c>
      <c r="AH29" s="9"/>
      <c r="AI29" s="7" t="b">
        <f t="shared" ref="AI29:AI30" si="27">IF(AE29="", "", AE29&gt;=AH29)</f>
        <v>1</v>
      </c>
      <c r="AJ29" s="7">
        <f t="shared" ref="AJ29:AJ30" si="28">IF(AE29="","",IF(MOD(AE29,2)=0,2,1))</f>
        <v>1</v>
      </c>
      <c r="AK29" s="7"/>
      <c r="AL29" s="7" t="str">
        <f t="shared" ref="AL29:AL30" si="29">IF(AK29&lt;&gt;0, AK29&lt;&gt;AJ29, "")</f>
        <v/>
      </c>
      <c r="AM29" s="6" t="b">
        <v>1</v>
      </c>
      <c r="AN29" s="7" t="str">
        <f t="shared" ref="AN29:AN30" si="30">IFERROR(IF(AM29, INDEX(grade_number, MATCH(INDEX(schedule_grades, MATCH(AC29, schedule_courses, 0)), grade_letter, 0))&gt;=2, ""), "")</f>
        <v/>
      </c>
      <c r="AO29" s="105">
        <v>3</v>
      </c>
      <c r="AP29" s="138" t="str" cm="1">
        <f t="array" ref="AP29">IFERROR(_xlfn.IFS(AC29="IE 434", 0, AC29="IE 436", 0, AC29="MATH 441", 0, AC29="MATH 451", 0, AC29="MATH 455", "MATH 220", AC29="STAT 416", "MATH 230", AC29="STAT 440", "MATH 220", AC29="STAT 463", "STAT 414", AC29="STAT 464", 0, AC29="STAT 466", 0), 0)</f>
        <v>STAT 414</v>
      </c>
      <c r="AQ29" s="7" t="b">
        <f t="shared" si="13"/>
        <v>1</v>
      </c>
      <c r="AR29" s="7">
        <f t="shared" si="23"/>
        <v>3</v>
      </c>
      <c r="AS29" s="7" t="b">
        <f t="shared" si="24"/>
        <v>1</v>
      </c>
      <c r="AT29" s="137"/>
      <c r="AU29" s="7" t="str">
        <f t="shared" si="16"/>
        <v/>
      </c>
      <c r="AV29" s="7" t="str">
        <f t="shared" si="21"/>
        <v/>
      </c>
      <c r="AW29" s="7" t="str">
        <f t="shared" si="22"/>
        <v/>
      </c>
      <c r="AX29" s="44"/>
      <c r="AY29" s="7"/>
      <c r="AZ29" s="118" t="s">
        <v>121</v>
      </c>
      <c r="BD29" s="16" t="s">
        <v>226</v>
      </c>
      <c r="BE29" s="101"/>
      <c r="BF29" s="24"/>
    </row>
    <row r="30" spans="1:58" ht="15.9" customHeight="1">
      <c r="A30">
        <v>0</v>
      </c>
      <c r="B30">
        <v>0</v>
      </c>
      <c r="C30">
        <v>0</v>
      </c>
      <c r="D30">
        <f t="shared" si="0"/>
        <v>0</v>
      </c>
      <c r="E30">
        <f t="shared" si="2"/>
        <v>0</v>
      </c>
      <c r="F30">
        <f t="shared" si="1"/>
        <v>0</v>
      </c>
      <c r="G30">
        <f t="shared" si="3"/>
        <v>3</v>
      </c>
      <c r="H30">
        <f t="shared" si="4"/>
        <v>0</v>
      </c>
      <c r="I30">
        <f>IF(Statistics!gpa_tf, G30*B30, G30*A30)</f>
        <v>0</v>
      </c>
      <c r="J30" s="46">
        <v>4</v>
      </c>
      <c r="K30" s="41"/>
      <c r="L30" s="41" t="s">
        <v>351</v>
      </c>
      <c r="M30" s="24">
        <v>3</v>
      </c>
      <c r="N30" s="24" t="str">
        <v/>
      </c>
      <c r="O30" s="41"/>
      <c r="P30" s="48"/>
      <c r="R30" s="14" t="s">
        <v>257</v>
      </c>
      <c r="S30" s="24" cm="1">
        <f t="array" ref="S30">IFERROR(INDEX(schedule_semester, MAX(MATCH(T30, schedule_courses, 0),MATCH(U30, schedule_courses, 0))), "Take more courses")</f>
        <v>5</v>
      </c>
      <c r="T30" s="24" t="s">
        <v>235</v>
      </c>
      <c r="U30" s="24" t="s">
        <v>258</v>
      </c>
      <c r="V30" s="15"/>
      <c r="AA30" s="251" t="s">
        <v>366</v>
      </c>
      <c r="AB30" s="316"/>
      <c r="AC30" s="135" t="str">
        <f>AC28</f>
        <v>STAT 463</v>
      </c>
      <c r="AD30" s="9" t="b">
        <f t="shared" si="5"/>
        <v>1</v>
      </c>
      <c r="AE30" s="7">
        <f t="shared" si="25"/>
        <v>5</v>
      </c>
      <c r="AF30" s="7" t="str">
        <f t="shared" si="7"/>
        <v/>
      </c>
      <c r="AG30" s="7" t="b">
        <f t="shared" si="26"/>
        <v>1</v>
      </c>
      <c r="AH30" s="9"/>
      <c r="AI30" s="7" t="b">
        <f t="shared" si="27"/>
        <v>1</v>
      </c>
      <c r="AJ30" s="7">
        <f t="shared" si="28"/>
        <v>1</v>
      </c>
      <c r="AK30" s="7"/>
      <c r="AL30" s="7" t="str">
        <f t="shared" si="29"/>
        <v/>
      </c>
      <c r="AM30" s="6" t="b">
        <v>1</v>
      </c>
      <c r="AN30" s="7" t="str">
        <f t="shared" si="30"/>
        <v/>
      </c>
      <c r="AO30" s="105">
        <v>3</v>
      </c>
      <c r="AP30" s="138" cm="1">
        <f t="array" ref="AP30">IFERROR(_xlfn.IFS(AC30="IE 434", 0, AC30="IE 436", 0, AC30="MATH 441", 0, AC30="MATH 451", 0, AC30="MATH 455", "MATH 230", AC30="STAT 416", 0, AC30="STAT 440", "STAT 415", AC30="STAT 463", 0, AC30="STAT 464", 0, AC30="STAT 466", 0), 0)</f>
        <v>0</v>
      </c>
      <c r="AQ30" s="7" t="str">
        <f t="shared" si="13"/>
        <v/>
      </c>
      <c r="AR30" s="7" t="str">
        <f t="shared" si="23"/>
        <v/>
      </c>
      <c r="AS30" s="7" t="str">
        <f t="shared" si="24"/>
        <v/>
      </c>
      <c r="AT30" s="137"/>
      <c r="AU30" s="7" t="str">
        <f t="shared" si="16"/>
        <v/>
      </c>
      <c r="AV30" s="7" t="str">
        <f t="shared" si="21"/>
        <v/>
      </c>
      <c r="AW30" s="7" t="str">
        <f t="shared" si="22"/>
        <v/>
      </c>
      <c r="AX30" s="44"/>
      <c r="AY30" s="7"/>
      <c r="AZ30" s="118" t="s">
        <v>121</v>
      </c>
      <c r="BD30" s="85" t="s">
        <v>367</v>
      </c>
      <c r="BE30" s="102" t="s">
        <v>368</v>
      </c>
      <c r="BF30" s="24"/>
    </row>
    <row r="31" spans="1:58">
      <c r="A31">
        <v>0</v>
      </c>
      <c r="B31">
        <v>0</v>
      </c>
      <c r="C31">
        <v>0</v>
      </c>
      <c r="D31">
        <f t="shared" si="0"/>
        <v>0</v>
      </c>
      <c r="E31">
        <f t="shared" si="2"/>
        <v>0</v>
      </c>
      <c r="F31">
        <f t="shared" si="1"/>
        <v>0</v>
      </c>
      <c r="G31">
        <f t="shared" si="3"/>
        <v>3</v>
      </c>
      <c r="H31">
        <f t="shared" si="4"/>
        <v>0</v>
      </c>
      <c r="I31">
        <f>IF(Statistics!gpa_tf, G31*B31, G31*A31)</f>
        <v>0</v>
      </c>
      <c r="J31" s="46">
        <v>4</v>
      </c>
      <c r="K31" s="41"/>
      <c r="L31" s="41" t="s">
        <v>191</v>
      </c>
      <c r="M31" s="24">
        <v>3</v>
      </c>
      <c r="N31" s="24" t="str">
        <v/>
      </c>
      <c r="O31" s="41"/>
      <c r="P31" s="48"/>
      <c r="R31" s="14" t="s">
        <v>262</v>
      </c>
      <c r="S31" s="24" cm="1">
        <f t="array" ref="S31">IFERROR(INDEX(schedule_semester, MAX(MATCH(T31, schedule_courses, 0),MATCH(U31, schedule_courses, 0))), "Take more courses")</f>
        <v>7</v>
      </c>
      <c r="T31" s="24" t="s">
        <v>196</v>
      </c>
      <c r="U31" s="24" t="s">
        <v>198</v>
      </c>
      <c r="V31" s="15"/>
      <c r="AA31" s="251" t="s">
        <v>369</v>
      </c>
      <c r="AB31" s="316"/>
      <c r="AC31" s="134" t="s">
        <v>266</v>
      </c>
      <c r="AD31" s="9" t="b">
        <f t="shared" si="5"/>
        <v>1</v>
      </c>
      <c r="AE31" s="7">
        <f t="shared" ref="AE31:AE39" si="31">IF(AX31,0,IFERROR(INDEX(schedule_semester,MATCH(AC31,schedule_courses,0)), ""))</f>
        <v>5</v>
      </c>
      <c r="AF31" s="7" t="str">
        <f t="shared" si="7"/>
        <v/>
      </c>
      <c r="AG31" s="7" t="b">
        <f t="shared" ref="AG31:AG39" si="32">IF(AE31="", "", AE31&lt;AF31)</f>
        <v>1</v>
      </c>
      <c r="AH31" s="9"/>
      <c r="AI31" s="7" t="b">
        <f t="shared" ref="AI31:AI39" si="33">IF(AE31="", "", AE31&gt;=AH31)</f>
        <v>1</v>
      </c>
      <c r="AJ31" s="7">
        <f t="shared" ref="AJ31:AJ39" si="34">IF(AE31="","",IF(MOD(AE31,2)=0,2,1))</f>
        <v>1</v>
      </c>
      <c r="AK31" s="7"/>
      <c r="AL31" s="7" t="str">
        <f t="shared" ref="AL31:AL39" si="35">IF(AK31&lt;&gt;0, AK31&lt;&gt;AJ31, "")</f>
        <v/>
      </c>
      <c r="AM31" s="6" t="b">
        <v>1</v>
      </c>
      <c r="AN31" s="7" t="str">
        <f t="shared" ref="AN31:AN39" si="36">IFERROR(IF(AM31, INDEX(grade_number, MATCH(INDEX(schedule_grades, MATCH(AC31, schedule_courses, 0)), grade_letter, 0))&gt;=2, ""), "")</f>
        <v/>
      </c>
      <c r="AO31" s="105">
        <v>3</v>
      </c>
      <c r="AP31" s="138" t="str" cm="1">
        <f t="array" ref="AP31">IFERROR(_xlfn.IFS(AC31="IE 434", 0, AC31="IE 436", 0, AC31="MATH 441", "MATH 220", AC31="MATH 451", "MATH 230", AC31="MATH 455", AC27, AC31="STAT 416","STAT 414", AC31="STAT 440", "STAT 200", AC31="STAT 463", "STAT 462", AC31="STAT 464", "STAT 200", AC31="STAT 466", "STAT 200"), 0)</f>
        <v>STAT 414</v>
      </c>
      <c r="AQ31" s="7" t="b">
        <f t="shared" si="13"/>
        <v>1</v>
      </c>
      <c r="AR31" s="7">
        <f t="shared" si="23"/>
        <v>3</v>
      </c>
      <c r="AS31" s="7" t="b">
        <f t="shared" si="24"/>
        <v>1</v>
      </c>
      <c r="AT31" s="137"/>
      <c r="AU31" s="7" t="str">
        <f t="shared" si="16"/>
        <v/>
      </c>
      <c r="AV31" s="7" t="str">
        <f t="shared" si="21"/>
        <v/>
      </c>
      <c r="AW31" s="7" t="str">
        <f t="shared" si="22"/>
        <v/>
      </c>
      <c r="AX31" s="44"/>
      <c r="AY31" s="7"/>
      <c r="AZ31" s="118" t="s">
        <v>121</v>
      </c>
      <c r="BD31" s="87" t="s">
        <v>370</v>
      </c>
      <c r="BE31" s="102" t="s">
        <v>371</v>
      </c>
      <c r="BF31" s="24"/>
    </row>
    <row r="32" spans="1:58">
      <c r="A32">
        <v>0</v>
      </c>
      <c r="B32">
        <v>0</v>
      </c>
      <c r="C32">
        <v>0</v>
      </c>
      <c r="D32">
        <f t="shared" si="0"/>
        <v>0</v>
      </c>
      <c r="E32">
        <f t="shared" si="2"/>
        <v>0</v>
      </c>
      <c r="F32">
        <f t="shared" si="1"/>
        <v>0</v>
      </c>
      <c r="G32">
        <f t="shared" si="3"/>
        <v>3</v>
      </c>
      <c r="H32">
        <f t="shared" si="4"/>
        <v>0</v>
      </c>
      <c r="I32">
        <f>IF(Statistics!gpa_tf, G32*B32, G32*A32)</f>
        <v>0</v>
      </c>
      <c r="J32" s="46">
        <v>4</v>
      </c>
      <c r="K32" s="41"/>
      <c r="L32" s="41" t="s">
        <v>227</v>
      </c>
      <c r="M32" s="24">
        <v>3</v>
      </c>
      <c r="N32" s="24" t="str">
        <v/>
      </c>
      <c r="O32" s="41"/>
      <c r="P32" s="48"/>
      <c r="R32" s="14" t="s">
        <v>265</v>
      </c>
      <c r="S32" s="24" cm="1">
        <f t="array" ref="S32">IFERROR(INDEX(schedule_semester, MAX(MATCH(T32, schedule_courses, 0))), "Take more courses")</f>
        <v>5</v>
      </c>
      <c r="T32" s="29" t="s">
        <v>266</v>
      </c>
      <c r="U32" s="24"/>
      <c r="V32" s="15"/>
      <c r="AA32" s="251" t="s">
        <v>372</v>
      </c>
      <c r="AB32" s="316"/>
      <c r="AC32" s="135" t="str">
        <f>AC31</f>
        <v>STAT 416</v>
      </c>
      <c r="AD32" s="9" t="b">
        <f t="shared" si="5"/>
        <v>1</v>
      </c>
      <c r="AE32" s="7">
        <f t="shared" si="31"/>
        <v>5</v>
      </c>
      <c r="AF32" s="7" t="str">
        <f t="shared" si="7"/>
        <v/>
      </c>
      <c r="AG32" s="7" t="b">
        <f t="shared" si="32"/>
        <v>1</v>
      </c>
      <c r="AH32" s="9"/>
      <c r="AI32" s="7" t="b">
        <f t="shared" si="33"/>
        <v>1</v>
      </c>
      <c r="AJ32" s="7">
        <f t="shared" si="34"/>
        <v>1</v>
      </c>
      <c r="AK32" s="7"/>
      <c r="AL32" s="7" t="str">
        <f t="shared" si="35"/>
        <v/>
      </c>
      <c r="AM32" s="6" t="b">
        <v>1</v>
      </c>
      <c r="AN32" s="7" t="str">
        <f t="shared" si="36"/>
        <v/>
      </c>
      <c r="AO32" s="105">
        <v>3</v>
      </c>
      <c r="AP32" s="138" t="str" cm="1">
        <f t="array" ref="AP32">IFERROR(_xlfn.IFS(AC32="IE 434", 0, AC32="IE 436", 0, AC32="MATH 441", 0, AC32="MATH 451", 0, AC32="MATH 455", "MATH 220", AC32="STAT 416", "MATH 230", AC32="STAT 440", "MATH 220", AC32="STAT 463", "STAT 414", AC32="STAT 464", 0, AC32="STAT 466", 0), 0)</f>
        <v>MATH 230</v>
      </c>
      <c r="AQ32" s="7" t="b">
        <f t="shared" si="13"/>
        <v>1</v>
      </c>
      <c r="AR32" s="7">
        <f t="shared" si="23"/>
        <v>1</v>
      </c>
      <c r="AS32" s="7" t="b">
        <f t="shared" si="24"/>
        <v>1</v>
      </c>
      <c r="AT32" s="137"/>
      <c r="AU32" s="7" t="str">
        <f t="shared" si="16"/>
        <v/>
      </c>
      <c r="AV32" s="7" t="str">
        <f t="shared" si="21"/>
        <v/>
      </c>
      <c r="AW32" s="7" t="str">
        <f t="shared" si="22"/>
        <v/>
      </c>
      <c r="AX32" s="44"/>
      <c r="AY32" s="7"/>
      <c r="AZ32" s="118" t="s">
        <v>121</v>
      </c>
      <c r="BD32" s="85" t="s">
        <v>255</v>
      </c>
      <c r="BE32" s="103" t="s">
        <v>373</v>
      </c>
      <c r="BF32" s="24"/>
    </row>
    <row r="33" spans="1:58">
      <c r="A33">
        <v>0</v>
      </c>
      <c r="B33">
        <v>0</v>
      </c>
      <c r="C33">
        <v>0</v>
      </c>
      <c r="D33">
        <f t="shared" si="0"/>
        <v>0</v>
      </c>
      <c r="E33">
        <f t="shared" si="2"/>
        <v>0</v>
      </c>
      <c r="F33">
        <f t="shared" si="1"/>
        <v>0</v>
      </c>
      <c r="G33">
        <f t="shared" si="3"/>
        <v>1</v>
      </c>
      <c r="H33">
        <f t="shared" si="4"/>
        <v>0</v>
      </c>
      <c r="I33">
        <f>IF(Statistics!gpa_tf, G33*B33, G33*A33)</f>
        <v>0</v>
      </c>
      <c r="J33" s="46">
        <v>4</v>
      </c>
      <c r="K33" s="41"/>
      <c r="L33" s="41" t="s">
        <v>419</v>
      </c>
      <c r="M33" s="24">
        <v>1</v>
      </c>
      <c r="N33" s="24" t="str">
        <v>GA</v>
      </c>
      <c r="O33" s="41"/>
      <c r="P33" s="48"/>
      <c r="R33" s="14" t="s">
        <v>270</v>
      </c>
      <c r="S33" s="24" cm="1">
        <f t="array" ref="S33">IFERROR(INDEX(schedule_semester, MAX(MATCH(T33, schedule_courses, 0),MATCH(U33, schedule_courses, 0))), "Take more courses")</f>
        <v>8</v>
      </c>
      <c r="T33" s="24" t="s">
        <v>227</v>
      </c>
      <c r="U33" s="24" t="s">
        <v>210</v>
      </c>
      <c r="V33" s="15"/>
      <c r="AA33" s="251" t="s">
        <v>266</v>
      </c>
      <c r="AB33" s="316"/>
      <c r="AC33" s="135" t="str">
        <f>AC31</f>
        <v>STAT 416</v>
      </c>
      <c r="AD33" s="9" t="b">
        <f t="shared" si="5"/>
        <v>1</v>
      </c>
      <c r="AE33" s="7">
        <f t="shared" ref="AE33:AE37" si="37">IF(AX33,0,IFERROR(INDEX(schedule_semester,MATCH(AC33,schedule_courses,0)), ""))</f>
        <v>5</v>
      </c>
      <c r="AF33" s="7" t="str">
        <f t="shared" si="7"/>
        <v/>
      </c>
      <c r="AG33" s="7" t="b">
        <f t="shared" ref="AG33:AG37" si="38">IF(AE33="", "", AE33&lt;AF33)</f>
        <v>1</v>
      </c>
      <c r="AH33" s="9"/>
      <c r="AI33" s="7" t="b">
        <f t="shared" ref="AI33:AI37" si="39">IF(AE33="", "", AE33&gt;=AH33)</f>
        <v>1</v>
      </c>
      <c r="AJ33" s="7">
        <f t="shared" ref="AJ33:AJ37" si="40">IF(AE33="","",IF(MOD(AE33,2)=0,2,1))</f>
        <v>1</v>
      </c>
      <c r="AK33" s="7"/>
      <c r="AL33" s="7" t="str">
        <f t="shared" ref="AL33:AL37" si="41">IF(AK33&lt;&gt;0, AK33&lt;&gt;AJ33, "")</f>
        <v/>
      </c>
      <c r="AM33" s="6" t="b">
        <v>1</v>
      </c>
      <c r="AN33" s="7" t="str">
        <f t="shared" ref="AN33:AN37" si="42">IFERROR(IF(AM33, INDEX(grade_number, MATCH(INDEX(schedule_grades, MATCH(AC33, schedule_courses, 0)), grade_letter, 0))&gt;=2, ""), "")</f>
        <v/>
      </c>
      <c r="AO33" s="105">
        <v>3</v>
      </c>
      <c r="AP33" s="138" cm="1">
        <f t="array" ref="AP33">IFERROR(_xlfn.IFS(AC33="IE 434", 0, AC33="IE 436", 0, AC33="MATH 441", 0, AC33="MATH 451", 0, AC33="MATH 455", "MATH 230", AC33="STAT 416", 0, AC33="STAT 440", "STAT 415", AC33="STAT 463", 0, AC33="STAT 464", 0, AC33="STAT 466", 0), 0)</f>
        <v>0</v>
      </c>
      <c r="AQ33" s="7" t="str">
        <f t="shared" si="13"/>
        <v/>
      </c>
      <c r="AR33" s="7" t="str">
        <f t="shared" si="23"/>
        <v/>
      </c>
      <c r="AS33" s="7" t="str">
        <f t="shared" si="24"/>
        <v/>
      </c>
      <c r="AT33" s="137"/>
      <c r="AU33" s="7" t="str">
        <f t="shared" si="16"/>
        <v/>
      </c>
      <c r="AV33" s="7" t="str">
        <f t="shared" si="21"/>
        <v/>
      </c>
      <c r="AW33" s="7" t="str">
        <f t="shared" si="22"/>
        <v/>
      </c>
      <c r="AX33" s="44"/>
      <c r="AY33" s="7"/>
      <c r="AZ33" s="118" t="s">
        <v>121</v>
      </c>
      <c r="BD33" s="86" t="s">
        <v>260</v>
      </c>
      <c r="BE33" s="131" t="s">
        <v>374</v>
      </c>
      <c r="BF33" s="24"/>
    </row>
    <row r="34" spans="1:58">
      <c r="A34">
        <v>0</v>
      </c>
      <c r="B34">
        <v>0</v>
      </c>
      <c r="C34">
        <v>0</v>
      </c>
      <c r="D34">
        <f t="shared" ref="D34:D65" si="43">IFERROR(INDEX(grade_number, MATCH(K34, grade_letter, 0))*M34,0)</f>
        <v>0</v>
      </c>
      <c r="E34">
        <f t="shared" si="2"/>
        <v>0</v>
      </c>
      <c r="F34">
        <f t="shared" ref="F34:F65" si="44">IF(gpa_tf, D34*B34, D34*A34)</f>
        <v>0</v>
      </c>
      <c r="G34">
        <f t="shared" si="3"/>
        <v>2</v>
      </c>
      <c r="H34">
        <f t="shared" si="4"/>
        <v>0</v>
      </c>
      <c r="I34">
        <f>IF(Statistics!gpa_tf, G34*B34, G34*A34)</f>
        <v>0</v>
      </c>
      <c r="J34" s="46">
        <v>4</v>
      </c>
      <c r="K34" s="41"/>
      <c r="L34" s="41" t="s">
        <v>413</v>
      </c>
      <c r="M34" s="24">
        <v>2</v>
      </c>
      <c r="N34" s="24" t="str">
        <v/>
      </c>
      <c r="O34" s="41"/>
      <c r="P34" s="48"/>
      <c r="R34" s="13" t="s">
        <v>274</v>
      </c>
      <c r="S34" s="10" cm="1">
        <f t="array" ref="S34">IFERROR(INDEX(schedule_semester, MAX(MATCH(T34, schedule_courses, 0))), "Take more courses")</f>
        <v>8</v>
      </c>
      <c r="T34" s="10" t="s">
        <v>275</v>
      </c>
      <c r="U34" s="10"/>
      <c r="V34" s="26"/>
      <c r="AA34" s="251" t="s">
        <v>275</v>
      </c>
      <c r="AB34" s="316"/>
      <c r="AC34" s="134" t="s">
        <v>275</v>
      </c>
      <c r="AD34" s="9" t="b">
        <f t="shared" si="5"/>
        <v>1</v>
      </c>
      <c r="AE34" s="7">
        <f t="shared" si="37"/>
        <v>0</v>
      </c>
      <c r="AF34" s="7" t="str">
        <f t="shared" si="7"/>
        <v/>
      </c>
      <c r="AG34" s="7" t="b">
        <f t="shared" si="38"/>
        <v>1</v>
      </c>
      <c r="AH34" s="9"/>
      <c r="AI34" s="7" t="b">
        <f t="shared" si="39"/>
        <v>1</v>
      </c>
      <c r="AJ34" s="7">
        <f t="shared" si="40"/>
        <v>2</v>
      </c>
      <c r="AK34" s="7"/>
      <c r="AL34" s="7" t="str">
        <f t="shared" si="41"/>
        <v/>
      </c>
      <c r="AM34" s="6" t="b">
        <v>1</v>
      </c>
      <c r="AN34" s="7" t="str">
        <f t="shared" si="42"/>
        <v/>
      </c>
      <c r="AO34" s="105">
        <v>3</v>
      </c>
      <c r="AP34" s="138" t="str" cm="1">
        <f t="array" ref="AP34">IFERROR(_xlfn.IFS(AC34="IE 434", 0, AC34="IE 436", 0, AC34="MATH 441", "MATH 220", AC34="MATH 451", "MATH 230", AC34="MATH 455", AC27, AC34="STAT 416","STAT 414", AC34="STAT 440", "STAT 200", AC34="STAT 463", "STAT 462", AC34="STAT 464", "STAT 200", AC34="STAT 466", "STAT 200"), 0)</f>
        <v>STAT 200</v>
      </c>
      <c r="AQ34" s="7" t="b">
        <f t="shared" si="13"/>
        <v>0</v>
      </c>
      <c r="AR34" s="7">
        <f t="shared" si="23"/>
        <v>0</v>
      </c>
      <c r="AS34" s="7" t="b">
        <f t="shared" si="24"/>
        <v>0</v>
      </c>
      <c r="AT34" s="137"/>
      <c r="AU34" s="7" t="str">
        <f t="shared" si="16"/>
        <v/>
      </c>
      <c r="AV34" s="7" t="str">
        <f t="shared" si="21"/>
        <v/>
      </c>
      <c r="AW34" s="7" t="str">
        <f t="shared" si="22"/>
        <v/>
      </c>
      <c r="AX34" s="44" t="b">
        <v>1</v>
      </c>
      <c r="AY34" s="7"/>
      <c r="AZ34" s="118" t="s">
        <v>121</v>
      </c>
      <c r="BD34" s="83"/>
      <c r="BE34" s="83"/>
      <c r="BF34" s="24"/>
    </row>
    <row r="35" spans="1:58">
      <c r="A35">
        <v>0</v>
      </c>
      <c r="B35">
        <v>0</v>
      </c>
      <c r="C35">
        <v>0</v>
      </c>
      <c r="D35">
        <f t="shared" si="43"/>
        <v>0</v>
      </c>
      <c r="E35">
        <f t="shared" si="2"/>
        <v>0</v>
      </c>
      <c r="F35">
        <f t="shared" si="44"/>
        <v>0</v>
      </c>
      <c r="G35">
        <f t="shared" si="3"/>
        <v>1</v>
      </c>
      <c r="H35">
        <f t="shared" si="4"/>
        <v>0</v>
      </c>
      <c r="I35">
        <f>IF(Statistics!gpa_tf, G35*B35, G35*A35)</f>
        <v>0</v>
      </c>
      <c r="J35" s="46">
        <v>4</v>
      </c>
      <c r="K35" s="41"/>
      <c r="L35" s="41" t="s">
        <v>419</v>
      </c>
      <c r="M35" s="24">
        <v>1</v>
      </c>
      <c r="N35" s="24" t="str">
        <v>GA</v>
      </c>
      <c r="O35" s="41"/>
      <c r="P35" s="48"/>
      <c r="AA35" s="251" t="s">
        <v>258</v>
      </c>
      <c r="AB35" s="316"/>
      <c r="AC35" s="135" t="str">
        <f>AC34</f>
        <v>STAT 440</v>
      </c>
      <c r="AD35" s="9" t="b">
        <f t="shared" si="5"/>
        <v>1</v>
      </c>
      <c r="AE35" s="7">
        <f t="shared" si="37"/>
        <v>8</v>
      </c>
      <c r="AF35" s="7" t="str">
        <f t="shared" si="7"/>
        <v/>
      </c>
      <c r="AG35" s="7" t="b">
        <f t="shared" si="38"/>
        <v>1</v>
      </c>
      <c r="AH35" s="9"/>
      <c r="AI35" s="7" t="b">
        <f t="shared" si="39"/>
        <v>1</v>
      </c>
      <c r="AJ35" s="7">
        <f t="shared" si="40"/>
        <v>2</v>
      </c>
      <c r="AK35" s="7"/>
      <c r="AL35" s="7" t="str">
        <f t="shared" si="41"/>
        <v/>
      </c>
      <c r="AM35" s="6" t="b">
        <v>1</v>
      </c>
      <c r="AN35" s="7" t="str">
        <f t="shared" si="42"/>
        <v/>
      </c>
      <c r="AO35" s="105">
        <v>3</v>
      </c>
      <c r="AP35" s="138" t="str" cm="1">
        <f t="array" ref="AP35">IFERROR(_xlfn.IFS(AC35="IE 434", 0, AC35="IE 436", 0, AC35="MATH 441", 0, AC35="MATH 451", 0, AC35="MATH 455", "MATH 220", AC35="STAT 416", "MATH 230", AC35="STAT 440", "MATH 220", AC35="STAT 463", "STAT 414", AC35="STAT 464", 0, AC35="STAT 466", 0), 0)</f>
        <v>MATH 220</v>
      </c>
      <c r="AQ35" s="7" t="b">
        <f t="shared" si="13"/>
        <v>1</v>
      </c>
      <c r="AR35" s="7">
        <f t="shared" si="23"/>
        <v>0</v>
      </c>
      <c r="AS35" s="7" t="b">
        <f t="shared" si="24"/>
        <v>1</v>
      </c>
      <c r="AT35" s="137"/>
      <c r="AU35" s="7" t="str">
        <f t="shared" si="16"/>
        <v/>
      </c>
      <c r="AV35" s="7" t="str">
        <f t="shared" si="21"/>
        <v/>
      </c>
      <c r="AW35" s="7" t="str">
        <f t="shared" si="22"/>
        <v/>
      </c>
      <c r="AX35" s="44"/>
      <c r="AY35" s="7"/>
      <c r="AZ35" s="118" t="s">
        <v>121</v>
      </c>
      <c r="BD35" s="240" t="s">
        <v>267</v>
      </c>
      <c r="BE35" s="245" t="s">
        <v>268</v>
      </c>
      <c r="BF35" s="12" t="s">
        <v>269</v>
      </c>
    </row>
    <row r="36" spans="1:58" ht="93.6">
      <c r="A36">
        <v>0</v>
      </c>
      <c r="B36">
        <v>0</v>
      </c>
      <c r="C36">
        <v>0</v>
      </c>
      <c r="D36">
        <f t="shared" si="43"/>
        <v>0</v>
      </c>
      <c r="E36">
        <f t="shared" si="2"/>
        <v>0</v>
      </c>
      <c r="F36">
        <f t="shared" si="44"/>
        <v>0</v>
      </c>
      <c r="G36">
        <f t="shared" si="3"/>
        <v>0</v>
      </c>
      <c r="H36">
        <f t="shared" si="4"/>
        <v>0</v>
      </c>
      <c r="I36">
        <f>IF(Statistics!gpa_tf, G36*B36, G36*A36)</f>
        <v>0</v>
      </c>
      <c r="J36" s="46">
        <v>4</v>
      </c>
      <c r="K36" s="41"/>
      <c r="L36" s="198"/>
      <c r="M36" s="24" t="str">
        <v/>
      </c>
      <c r="N36" s="24" t="str">
        <v/>
      </c>
      <c r="O36" s="41"/>
      <c r="P36" s="48"/>
      <c r="R36" s="311" t="s">
        <v>65</v>
      </c>
      <c r="S36" s="312"/>
      <c r="AA36" s="251" t="s">
        <v>330</v>
      </c>
      <c r="AB36" s="316"/>
      <c r="AC36" s="135" t="str">
        <f>AC34</f>
        <v>STAT 440</v>
      </c>
      <c r="AD36" s="9" t="b">
        <f t="shared" si="5"/>
        <v>1</v>
      </c>
      <c r="AE36" s="7">
        <f t="shared" si="37"/>
        <v>8</v>
      </c>
      <c r="AF36" s="7" t="str">
        <f t="shared" si="7"/>
        <v/>
      </c>
      <c r="AG36" s="7" t="b">
        <f t="shared" si="38"/>
        <v>1</v>
      </c>
      <c r="AH36" s="9"/>
      <c r="AI36" s="7" t="b">
        <f t="shared" si="39"/>
        <v>1</v>
      </c>
      <c r="AJ36" s="7">
        <f t="shared" si="40"/>
        <v>2</v>
      </c>
      <c r="AK36" s="7"/>
      <c r="AL36" s="7" t="str">
        <f t="shared" si="41"/>
        <v/>
      </c>
      <c r="AM36" s="6" t="b">
        <v>1</v>
      </c>
      <c r="AN36" s="7" t="str">
        <f t="shared" si="42"/>
        <v/>
      </c>
      <c r="AO36" s="105">
        <v>3</v>
      </c>
      <c r="AP36" s="138" t="str" cm="1">
        <f t="array" ref="AP36">IFERROR(_xlfn.IFS(AC36="IE 434", 0, AC36="IE 436", 0, AC36="MATH 441", 0, AC36="MATH 451", 0, AC36="MATH 455", "MATH 230", AC36="STAT 416", 0, AC36="STAT 440", "STAT 415", AC36="STAT 463", 0, AC36="STAT 464", 0, AC36="STAT 466", 0), 0)</f>
        <v>STAT 415</v>
      </c>
      <c r="AQ36" s="7" t="b">
        <f t="shared" si="13"/>
        <v>1</v>
      </c>
      <c r="AR36" s="7">
        <f t="shared" si="23"/>
        <v>4</v>
      </c>
      <c r="AS36" s="7" t="b">
        <f t="shared" si="24"/>
        <v>1</v>
      </c>
      <c r="AT36" s="137"/>
      <c r="AU36" s="7" t="str">
        <f t="shared" si="16"/>
        <v/>
      </c>
      <c r="AV36" s="7" t="str">
        <f t="shared" si="21"/>
        <v/>
      </c>
      <c r="AW36" s="7" t="str">
        <f t="shared" si="22"/>
        <v/>
      </c>
      <c r="AX36" s="44"/>
      <c r="AY36" s="7"/>
      <c r="AZ36" s="118" t="s">
        <v>121</v>
      </c>
      <c r="BD36" s="241" t="s">
        <v>271</v>
      </c>
      <c r="BE36" s="243" t="s">
        <v>272</v>
      </c>
      <c r="BF36" s="249" t="s">
        <v>273</v>
      </c>
    </row>
    <row r="37" spans="1:58">
      <c r="A37">
        <v>0</v>
      </c>
      <c r="B37">
        <v>0</v>
      </c>
      <c r="C37">
        <v>0</v>
      </c>
      <c r="D37">
        <f t="shared" si="43"/>
        <v>0</v>
      </c>
      <c r="E37">
        <f t="shared" si="2"/>
        <v>0</v>
      </c>
      <c r="F37">
        <f t="shared" si="44"/>
        <v>0</v>
      </c>
      <c r="G37">
        <f t="shared" si="3"/>
        <v>0</v>
      </c>
      <c r="H37">
        <f t="shared" si="4"/>
        <v>0</v>
      </c>
      <c r="I37">
        <f>IF(Statistics!gpa_tf, G37*B37, G37*A37)</f>
        <v>0</v>
      </c>
      <c r="J37" s="47">
        <v>4</v>
      </c>
      <c r="K37" s="43"/>
      <c r="L37" s="43"/>
      <c r="M37" s="10" t="str">
        <v/>
      </c>
      <c r="N37" s="10" t="str">
        <v/>
      </c>
      <c r="O37" s="43"/>
      <c r="P37" s="49"/>
      <c r="R37" s="28" t="s">
        <v>287</v>
      </c>
      <c r="S37" s="48">
        <v>2</v>
      </c>
      <c r="AA37" s="251" t="s">
        <v>331</v>
      </c>
      <c r="AB37" s="316"/>
      <c r="AC37" s="134" t="s">
        <v>369</v>
      </c>
      <c r="AD37" s="9" t="b">
        <f t="shared" si="5"/>
        <v>1</v>
      </c>
      <c r="AE37" s="7">
        <f t="shared" si="37"/>
        <v>0</v>
      </c>
      <c r="AF37" s="7" t="str">
        <f t="shared" si="7"/>
        <v/>
      </c>
      <c r="AG37" s="7" t="b">
        <f t="shared" si="38"/>
        <v>1</v>
      </c>
      <c r="AH37" s="9"/>
      <c r="AI37" s="7" t="b">
        <f t="shared" si="39"/>
        <v>1</v>
      </c>
      <c r="AJ37" s="7">
        <f t="shared" si="40"/>
        <v>2</v>
      </c>
      <c r="AK37" s="7"/>
      <c r="AL37" s="7" t="str">
        <f t="shared" si="41"/>
        <v/>
      </c>
      <c r="AM37" s="6" t="b">
        <v>1</v>
      </c>
      <c r="AN37" s="7" t="str">
        <f t="shared" si="42"/>
        <v/>
      </c>
      <c r="AO37" s="105">
        <v>3</v>
      </c>
      <c r="AP37" s="138" t="str" cm="1">
        <f t="array" ref="AP37">IFERROR(_xlfn.IFS(AC37="IE 434", 0, AC37="IE 436", 0, AC37="MATH 441", "MATH 220", AC37="MATH 451", "MATH 230", AC37="MATH 455", AC27, AC37="STAT 416","STAT 414", AC37="STAT 440", "STAT 200", AC37="STAT 463", "STAT 462", AC37="STAT 464", "STAT 200", AC37="STAT 466", "STAT 200"), 0)</f>
        <v>MATH 230</v>
      </c>
      <c r="AQ37" s="7" t="b">
        <f t="shared" si="13"/>
        <v>1</v>
      </c>
      <c r="AR37" s="7">
        <f t="shared" si="23"/>
        <v>1</v>
      </c>
      <c r="AS37" s="7" t="b">
        <f t="shared" si="24"/>
        <v>0</v>
      </c>
      <c r="AT37" s="137"/>
      <c r="AU37" s="7" t="str">
        <f t="shared" si="16"/>
        <v/>
      </c>
      <c r="AV37" s="7" t="str">
        <f t="shared" si="21"/>
        <v/>
      </c>
      <c r="AW37" s="7" t="str">
        <f t="shared" si="22"/>
        <v/>
      </c>
      <c r="AX37" s="44" t="b">
        <v>1</v>
      </c>
      <c r="AY37" s="7"/>
      <c r="AZ37" s="118" t="s">
        <v>121</v>
      </c>
      <c r="BD37" s="116" t="s">
        <v>277</v>
      </c>
      <c r="BE37" s="244" t="s">
        <v>278</v>
      </c>
      <c r="BF37" s="249"/>
    </row>
    <row r="38" spans="1:58">
      <c r="A38">
        <v>0</v>
      </c>
      <c r="B38">
        <v>0</v>
      </c>
      <c r="C38">
        <v>0</v>
      </c>
      <c r="D38">
        <f t="shared" si="43"/>
        <v>0</v>
      </c>
      <c r="E38">
        <f t="shared" si="2"/>
        <v>0</v>
      </c>
      <c r="F38">
        <f t="shared" si="44"/>
        <v>0</v>
      </c>
      <c r="G38">
        <f t="shared" si="3"/>
        <v>3</v>
      </c>
      <c r="H38">
        <f t="shared" si="4"/>
        <v>0</v>
      </c>
      <c r="I38">
        <f>IF(Statistics!gpa_tf, G38*B38, G38*A38)</f>
        <v>0</v>
      </c>
      <c r="J38" s="53">
        <v>5</v>
      </c>
      <c r="K38" s="51"/>
      <c r="L38" s="51" t="s">
        <v>266</v>
      </c>
      <c r="M38" s="55">
        <v>3</v>
      </c>
      <c r="N38" s="55" t="str">
        <v/>
      </c>
      <c r="O38" s="51"/>
      <c r="P38" s="52"/>
      <c r="R38" s="28" t="s">
        <v>291</v>
      </c>
      <c r="S38" s="48" t="b">
        <v>1</v>
      </c>
      <c r="AB38" s="316"/>
      <c r="AC38" s="135" t="str">
        <f>AC37</f>
        <v>MATH 451</v>
      </c>
      <c r="AD38" s="9" t="b">
        <f t="shared" si="5"/>
        <v>1</v>
      </c>
      <c r="AE38" s="7">
        <f t="shared" si="31"/>
        <v>7</v>
      </c>
      <c r="AF38" s="7" t="str">
        <f t="shared" si="7"/>
        <v/>
      </c>
      <c r="AG38" s="7" t="b">
        <f t="shared" si="32"/>
        <v>1</v>
      </c>
      <c r="AH38" s="9"/>
      <c r="AI38" s="7" t="b">
        <f t="shared" si="33"/>
        <v>1</v>
      </c>
      <c r="AJ38" s="7">
        <f t="shared" si="34"/>
        <v>1</v>
      </c>
      <c r="AK38" s="7"/>
      <c r="AL38" s="7" t="str">
        <f t="shared" si="35"/>
        <v/>
      </c>
      <c r="AM38" s="6" t="b">
        <v>1</v>
      </c>
      <c r="AN38" s="7" t="str">
        <f t="shared" si="36"/>
        <v/>
      </c>
      <c r="AO38" s="105">
        <v>3</v>
      </c>
      <c r="AP38" s="138" cm="1">
        <f t="array" ref="AP38">IFERROR(_xlfn.IFS(AC38="IE 434", 0, AC38="IE 436", 0, AC38="MATH 441", 0, AC38="MATH 451", 0, AC38="MATH 455", "MATH 220", AC38="STAT 416", "MATH 230", AC38="STAT 440", "MATH 220", AC38="STAT 463", "STAT 414", AC38="STAT 464", 0, AC38="STAT 466", 0), 0)</f>
        <v>0</v>
      </c>
      <c r="AQ38" s="7" t="str">
        <f t="shared" si="13"/>
        <v/>
      </c>
      <c r="AR38" s="7" t="str">
        <f t="shared" si="23"/>
        <v/>
      </c>
      <c r="AS38" s="7" t="str">
        <f t="shared" si="24"/>
        <v/>
      </c>
      <c r="AT38" s="137"/>
      <c r="AU38" s="7" t="str">
        <f t="shared" si="16"/>
        <v/>
      </c>
      <c r="AV38" s="7" t="str">
        <f t="shared" si="21"/>
        <v/>
      </c>
      <c r="AW38" s="7" t="str">
        <f t="shared" si="22"/>
        <v/>
      </c>
      <c r="AX38" s="44"/>
      <c r="AY38" s="7"/>
      <c r="AZ38" s="118" t="s">
        <v>121</v>
      </c>
      <c r="BD38" s="116" t="s">
        <v>280</v>
      </c>
      <c r="BE38" s="244" t="s">
        <v>281</v>
      </c>
      <c r="BF38" s="249"/>
    </row>
    <row r="39" spans="1:58">
      <c r="A39">
        <v>0</v>
      </c>
      <c r="B39">
        <v>0</v>
      </c>
      <c r="C39">
        <v>0</v>
      </c>
      <c r="D39">
        <f t="shared" si="43"/>
        <v>0</v>
      </c>
      <c r="E39">
        <f t="shared" si="2"/>
        <v>0</v>
      </c>
      <c r="F39">
        <f t="shared" si="44"/>
        <v>0</v>
      </c>
      <c r="G39">
        <f t="shared" si="3"/>
        <v>3</v>
      </c>
      <c r="H39">
        <f t="shared" si="4"/>
        <v>0</v>
      </c>
      <c r="I39">
        <f>IF(Statistics!gpa_tf, G39*B39, G39*A39)</f>
        <v>0</v>
      </c>
      <c r="J39" s="45">
        <v>5</v>
      </c>
      <c r="K39" s="41"/>
      <c r="L39" s="41" t="s">
        <v>258</v>
      </c>
      <c r="M39" s="24">
        <v>3</v>
      </c>
      <c r="N39" s="24" t="str">
        <v/>
      </c>
      <c r="O39" s="41"/>
      <c r="P39" s="48"/>
      <c r="R39" s="76" t="s">
        <v>183</v>
      </c>
      <c r="S39" s="168">
        <f>SUM(F2:F82)/SUM(I2:I82)</f>
        <v>3.566749999999999</v>
      </c>
      <c r="AB39" s="317"/>
      <c r="AC39" s="136" t="str">
        <f>AC37</f>
        <v>MATH 451</v>
      </c>
      <c r="AD39" s="9" t="b">
        <f t="shared" si="5"/>
        <v>1</v>
      </c>
      <c r="AE39" s="7">
        <f t="shared" si="31"/>
        <v>7</v>
      </c>
      <c r="AF39" s="7" t="str">
        <f t="shared" si="7"/>
        <v/>
      </c>
      <c r="AG39" s="7" t="b">
        <f t="shared" si="32"/>
        <v>1</v>
      </c>
      <c r="AH39" s="9"/>
      <c r="AI39" s="7" t="b">
        <f t="shared" si="33"/>
        <v>1</v>
      </c>
      <c r="AJ39" s="7">
        <f t="shared" si="34"/>
        <v>1</v>
      </c>
      <c r="AK39" s="7"/>
      <c r="AL39" s="7" t="str">
        <f t="shared" si="35"/>
        <v/>
      </c>
      <c r="AM39" s="6" t="b">
        <v>1</v>
      </c>
      <c r="AN39" s="7" t="str">
        <f t="shared" si="36"/>
        <v/>
      </c>
      <c r="AO39" s="105">
        <v>3</v>
      </c>
      <c r="AP39" s="138" cm="1">
        <f t="array" ref="AP39">IFERROR(_xlfn.IFS(AC39="IE 434", 0, AC39="IE 436", 0, AC39="MATH 441", 0, AC39="MATH 451", 0, AC39="MATH 455", "MATH 230", AC39="STAT 416", 0, AC39="STAT 440", "STAT 415", AC39="STAT 463", 0, AC39="STAT 464", 0, AC39="STAT 466", 0), 0)</f>
        <v>0</v>
      </c>
      <c r="AQ39" s="7" t="str">
        <f t="shared" si="13"/>
        <v/>
      </c>
      <c r="AR39" s="7" t="str">
        <f t="shared" si="23"/>
        <v/>
      </c>
      <c r="AS39" s="7" t="str">
        <f t="shared" si="24"/>
        <v/>
      </c>
      <c r="AT39" s="137"/>
      <c r="AU39" s="7" t="str">
        <f t="shared" si="16"/>
        <v/>
      </c>
      <c r="AV39" s="7" t="str">
        <f t="shared" si="21"/>
        <v/>
      </c>
      <c r="AW39" s="7" t="str">
        <f t="shared" si="22"/>
        <v/>
      </c>
      <c r="AX39" s="44"/>
      <c r="AY39" s="7"/>
      <c r="AZ39" s="118" t="s">
        <v>121</v>
      </c>
      <c r="BD39" s="116" t="s">
        <v>282</v>
      </c>
      <c r="BE39" s="244" t="s">
        <v>283</v>
      </c>
      <c r="BF39" s="249"/>
    </row>
    <row r="40" spans="1:58" ht="31.2">
      <c r="A40">
        <v>0</v>
      </c>
      <c r="B40">
        <v>0</v>
      </c>
      <c r="C40">
        <v>0</v>
      </c>
      <c r="D40">
        <f t="shared" si="43"/>
        <v>0</v>
      </c>
      <c r="E40">
        <f t="shared" si="2"/>
        <v>0</v>
      </c>
      <c r="F40">
        <f t="shared" si="44"/>
        <v>0</v>
      </c>
      <c r="G40">
        <f t="shared" si="3"/>
        <v>3</v>
      </c>
      <c r="H40">
        <f t="shared" si="4"/>
        <v>0</v>
      </c>
      <c r="I40">
        <f>IF(Statistics!gpa_tf, G40*B40, G40*A40)</f>
        <v>0</v>
      </c>
      <c r="J40" s="45">
        <v>5</v>
      </c>
      <c r="K40" s="41"/>
      <c r="L40" s="41" t="s">
        <v>318</v>
      </c>
      <c r="M40" s="24">
        <v>3</v>
      </c>
      <c r="N40" s="24" t="str">
        <v>GH</v>
      </c>
      <c r="O40" s="41"/>
      <c r="P40" s="48"/>
      <c r="AB40" s="14"/>
      <c r="AC40" s="125" t="s">
        <v>159</v>
      </c>
      <c r="AD40" s="9" t="b">
        <f t="shared" si="5"/>
        <v>1</v>
      </c>
      <c r="AE40" s="7">
        <f t="shared" ref="AE40:AE49" si="45">IF(AX40,0,IFERROR(INDEX(schedule_semester,MATCH(AC40,schedule_courses,0)), ""))</f>
        <v>2</v>
      </c>
      <c r="AF40" s="7" t="str">
        <f t="shared" si="7"/>
        <v/>
      </c>
      <c r="AG40" s="7" t="b">
        <f t="shared" ref="AG40:AG49" si="46">IF(AE40="", "", AE40&lt;AF40)</f>
        <v>1</v>
      </c>
      <c r="AH40" s="9"/>
      <c r="AI40" s="7" t="b">
        <f t="shared" ref="AI40:AI49" si="47">IF(AE40="", "", AE40&gt;=AH40)</f>
        <v>1</v>
      </c>
      <c r="AJ40" s="7">
        <f t="shared" ref="AJ40:AJ49" si="48">IF(AE40="","",IF(MOD(AE40,2)=0,2,1))</f>
        <v>2</v>
      </c>
      <c r="AK40" s="7"/>
      <c r="AL40" s="7" t="str">
        <f t="shared" ref="AL40:AL49" si="49">IF(AK40&lt;&gt;0, AK40&lt;&gt;AJ40, "")</f>
        <v/>
      </c>
      <c r="AM40" s="6" t="b">
        <v>1</v>
      </c>
      <c r="AN40" s="7" t="b">
        <f t="shared" ref="AN40:AN49" si="50">IFERROR(IF(AM40, INDEX(grade_number, MATCH(INDEX(schedule_grades, MATCH(AC40, schedule_courses, 0)), grade_letter, 0))&gt;=2, ""), "")</f>
        <v>1</v>
      </c>
      <c r="AO40" s="9">
        <v>4</v>
      </c>
      <c r="AP40" s="137"/>
      <c r="AQ40" s="7" t="str">
        <f t="shared" si="13"/>
        <v/>
      </c>
      <c r="AR40" s="7" t="str">
        <f t="shared" si="23"/>
        <v/>
      </c>
      <c r="AS40" s="7" t="str">
        <f t="shared" si="24"/>
        <v/>
      </c>
      <c r="AT40" s="137"/>
      <c r="AU40" s="7" t="str">
        <f t="shared" si="16"/>
        <v/>
      </c>
      <c r="AV40" s="7" t="str">
        <f t="shared" si="21"/>
        <v/>
      </c>
      <c r="AW40" s="7" t="str">
        <f t="shared" si="22"/>
        <v/>
      </c>
      <c r="AX40" s="44"/>
      <c r="AY40" s="7"/>
      <c r="AZ40" s="15" t="s">
        <v>239</v>
      </c>
      <c r="BD40" s="116" t="s">
        <v>284</v>
      </c>
      <c r="BE40" s="244" t="s">
        <v>285</v>
      </c>
      <c r="BF40" s="249" t="s">
        <v>286</v>
      </c>
    </row>
    <row r="41" spans="1:58" ht="31.2">
      <c r="A41">
        <v>0</v>
      </c>
      <c r="B41">
        <v>0</v>
      </c>
      <c r="C41">
        <v>0</v>
      </c>
      <c r="D41">
        <f t="shared" si="43"/>
        <v>0</v>
      </c>
      <c r="E41">
        <f t="shared" si="2"/>
        <v>0</v>
      </c>
      <c r="F41">
        <f t="shared" si="44"/>
        <v>0</v>
      </c>
      <c r="G41">
        <f t="shared" si="3"/>
        <v>3</v>
      </c>
      <c r="H41">
        <f t="shared" si="4"/>
        <v>0</v>
      </c>
      <c r="I41">
        <f>IF(Statistics!gpa_tf, G41*B41, G41*A41)</f>
        <v>0</v>
      </c>
      <c r="J41" s="45">
        <v>5</v>
      </c>
      <c r="K41" s="41"/>
      <c r="L41" s="41" t="s">
        <v>416</v>
      </c>
      <c r="M41" s="24">
        <v>3</v>
      </c>
      <c r="N41" s="24" t="str">
        <v/>
      </c>
      <c r="O41" s="41"/>
      <c r="P41" s="48"/>
      <c r="AB41" s="14"/>
      <c r="AC41" s="125" t="s">
        <v>152</v>
      </c>
      <c r="AD41" s="9" t="b">
        <f t="shared" si="5"/>
        <v>1</v>
      </c>
      <c r="AE41" s="7">
        <f t="shared" si="45"/>
        <v>2</v>
      </c>
      <c r="AF41" s="7" t="str">
        <f t="shared" si="7"/>
        <v/>
      </c>
      <c r="AG41" s="7" t="b">
        <f t="shared" si="46"/>
        <v>1</v>
      </c>
      <c r="AH41" s="9"/>
      <c r="AI41" s="7" t="b">
        <f t="shared" si="47"/>
        <v>1</v>
      </c>
      <c r="AJ41" s="7">
        <f t="shared" si="48"/>
        <v>2</v>
      </c>
      <c r="AK41" s="7"/>
      <c r="AL41" s="7" t="str">
        <f t="shared" si="49"/>
        <v/>
      </c>
      <c r="AM41" s="7"/>
      <c r="AN41" s="7" t="str">
        <f t="shared" si="50"/>
        <v/>
      </c>
      <c r="AO41" s="105">
        <v>3</v>
      </c>
      <c r="AP41" s="137"/>
      <c r="AQ41" s="7" t="str">
        <f t="shared" si="13"/>
        <v/>
      </c>
      <c r="AR41" s="7" t="str">
        <f t="shared" si="23"/>
        <v/>
      </c>
      <c r="AS41" s="7" t="str">
        <f t="shared" si="24"/>
        <v/>
      </c>
      <c r="AT41" s="137"/>
      <c r="AU41" s="7" t="str">
        <f t="shared" si="16"/>
        <v/>
      </c>
      <c r="AV41" s="7" t="str">
        <f t="shared" si="21"/>
        <v/>
      </c>
      <c r="AW41" s="7" t="str">
        <f t="shared" si="22"/>
        <v/>
      </c>
      <c r="AX41" s="44"/>
      <c r="AY41" s="7" t="s">
        <v>213</v>
      </c>
      <c r="AZ41" s="15" t="s">
        <v>259</v>
      </c>
      <c r="BD41" s="116" t="s">
        <v>288</v>
      </c>
      <c r="BE41" s="244" t="s">
        <v>289</v>
      </c>
      <c r="BF41" s="249" t="s">
        <v>290</v>
      </c>
    </row>
    <row r="42" spans="1:58" ht="31.2">
      <c r="A42">
        <v>0</v>
      </c>
      <c r="B42">
        <v>0</v>
      </c>
      <c r="C42">
        <v>0</v>
      </c>
      <c r="D42">
        <f t="shared" si="43"/>
        <v>0</v>
      </c>
      <c r="E42">
        <f t="shared" si="2"/>
        <v>0</v>
      </c>
      <c r="F42">
        <f t="shared" si="44"/>
        <v>0</v>
      </c>
      <c r="G42">
        <f t="shared" si="3"/>
        <v>3</v>
      </c>
      <c r="H42">
        <f t="shared" si="4"/>
        <v>0</v>
      </c>
      <c r="I42">
        <f>IF(Statistics!gpa_tf, G42*B42, G42*A42)</f>
        <v>0</v>
      </c>
      <c r="J42" s="45">
        <v>5</v>
      </c>
      <c r="K42" s="41"/>
      <c r="L42" s="41" t="s">
        <v>203</v>
      </c>
      <c r="M42" s="24">
        <v>3</v>
      </c>
      <c r="N42" s="24" t="str">
        <v/>
      </c>
      <c r="O42" s="41"/>
      <c r="P42" s="48"/>
      <c r="AB42" s="14"/>
      <c r="AC42" s="125" t="s">
        <v>245</v>
      </c>
      <c r="AD42" s="9" t="b">
        <f t="shared" si="5"/>
        <v>1</v>
      </c>
      <c r="AE42" s="7">
        <f t="shared" si="45"/>
        <v>2</v>
      </c>
      <c r="AF42" s="7" t="str">
        <f t="shared" si="7"/>
        <v/>
      </c>
      <c r="AG42" s="7" t="b">
        <f t="shared" si="46"/>
        <v>1</v>
      </c>
      <c r="AH42" s="9"/>
      <c r="AI42" s="7" t="b">
        <f t="shared" si="47"/>
        <v>1</v>
      </c>
      <c r="AJ42" s="7">
        <f t="shared" si="48"/>
        <v>2</v>
      </c>
      <c r="AK42" s="7"/>
      <c r="AL42" s="7" t="str">
        <f t="shared" si="49"/>
        <v/>
      </c>
      <c r="AM42" s="7"/>
      <c r="AN42" s="7" t="str">
        <f t="shared" si="50"/>
        <v/>
      </c>
      <c r="AO42" s="9">
        <v>3</v>
      </c>
      <c r="AP42" s="137"/>
      <c r="AQ42" s="7" t="str">
        <f t="shared" si="13"/>
        <v/>
      </c>
      <c r="AR42" s="7" t="str">
        <f t="shared" si="23"/>
        <v/>
      </c>
      <c r="AS42" s="7" t="str">
        <f t="shared" si="24"/>
        <v/>
      </c>
      <c r="AT42" s="137"/>
      <c r="AU42" s="7" t="str">
        <f t="shared" si="16"/>
        <v/>
      </c>
      <c r="AV42" s="7" t="str">
        <f t="shared" si="21"/>
        <v/>
      </c>
      <c r="AW42" s="7" t="str">
        <f t="shared" si="22"/>
        <v/>
      </c>
      <c r="AX42" s="44"/>
      <c r="AY42" s="7" t="s">
        <v>213</v>
      </c>
      <c r="AZ42" s="15" t="s">
        <v>259</v>
      </c>
      <c r="BD42" s="116" t="s">
        <v>292</v>
      </c>
      <c r="BE42" s="244" t="s">
        <v>293</v>
      </c>
      <c r="BF42" s="249" t="s">
        <v>294</v>
      </c>
    </row>
    <row r="43" spans="1:58">
      <c r="A43">
        <v>0</v>
      </c>
      <c r="B43">
        <v>0</v>
      </c>
      <c r="C43">
        <v>0</v>
      </c>
      <c r="D43">
        <f t="shared" si="43"/>
        <v>0</v>
      </c>
      <c r="E43">
        <f t="shared" si="2"/>
        <v>0</v>
      </c>
      <c r="F43">
        <f t="shared" si="44"/>
        <v>0</v>
      </c>
      <c r="G43">
        <f t="shared" si="3"/>
        <v>1</v>
      </c>
      <c r="H43">
        <f t="shared" si="4"/>
        <v>0</v>
      </c>
      <c r="I43">
        <f>IF(Statistics!gpa_tf, G43*B43, G43*A43)</f>
        <v>0</v>
      </c>
      <c r="J43" s="45">
        <v>5</v>
      </c>
      <c r="K43" s="41"/>
      <c r="L43" s="41" t="s">
        <v>419</v>
      </c>
      <c r="M43" s="24">
        <v>1</v>
      </c>
      <c r="N43" s="24" t="str">
        <v>GA</v>
      </c>
      <c r="O43" s="41"/>
      <c r="P43" s="48"/>
      <c r="AB43" s="14"/>
      <c r="AC43" s="125" t="s">
        <v>175</v>
      </c>
      <c r="AD43" s="9" t="b">
        <f t="shared" si="5"/>
        <v>1</v>
      </c>
      <c r="AE43" s="7">
        <f t="shared" si="45"/>
        <v>3</v>
      </c>
      <c r="AF43" s="7" t="str">
        <f t="shared" si="7"/>
        <v/>
      </c>
      <c r="AG43" s="7" t="b">
        <f t="shared" si="46"/>
        <v>1</v>
      </c>
      <c r="AH43" s="9"/>
      <c r="AI43" s="7" t="b">
        <f t="shared" si="47"/>
        <v>1</v>
      </c>
      <c r="AJ43" s="7">
        <f t="shared" si="48"/>
        <v>1</v>
      </c>
      <c r="AK43" s="7"/>
      <c r="AL43" s="7" t="str">
        <f t="shared" si="49"/>
        <v/>
      </c>
      <c r="AM43" s="6" t="b">
        <v>1</v>
      </c>
      <c r="AN43" s="7" t="str">
        <f t="shared" si="50"/>
        <v/>
      </c>
      <c r="AO43" s="105">
        <v>3</v>
      </c>
      <c r="AP43" s="137" t="s">
        <v>159</v>
      </c>
      <c r="AQ43" s="7" t="b">
        <f t="shared" si="13"/>
        <v>1</v>
      </c>
      <c r="AR43" s="7">
        <f t="shared" si="23"/>
        <v>2</v>
      </c>
      <c r="AS43" s="7" t="b">
        <f t="shared" si="24"/>
        <v>1</v>
      </c>
      <c r="AT43" s="137"/>
      <c r="AU43" s="7" t="str">
        <f t="shared" si="16"/>
        <v/>
      </c>
      <c r="AV43" s="7" t="str">
        <f t="shared" si="21"/>
        <v/>
      </c>
      <c r="AW43" s="7" t="str">
        <f t="shared" si="22"/>
        <v/>
      </c>
      <c r="AX43" s="44"/>
      <c r="AY43" s="7"/>
      <c r="AZ43" s="15" t="s">
        <v>239</v>
      </c>
      <c r="BD43" s="116" t="s">
        <v>296</v>
      </c>
      <c r="BE43" s="244" t="s">
        <v>281</v>
      </c>
      <c r="BF43" s="249"/>
    </row>
    <row r="44" spans="1:58" ht="31.2">
      <c r="A44">
        <v>0</v>
      </c>
      <c r="B44">
        <v>0</v>
      </c>
      <c r="C44">
        <v>0</v>
      </c>
      <c r="D44">
        <f t="shared" si="43"/>
        <v>0</v>
      </c>
      <c r="E44">
        <f t="shared" si="2"/>
        <v>0</v>
      </c>
      <c r="F44">
        <f t="shared" si="44"/>
        <v>0</v>
      </c>
      <c r="G44">
        <f t="shared" si="3"/>
        <v>0</v>
      </c>
      <c r="H44">
        <f t="shared" si="4"/>
        <v>0</v>
      </c>
      <c r="I44">
        <f>IF(Statistics!gpa_tf, G44*B44, G44*A44)</f>
        <v>0</v>
      </c>
      <c r="J44" s="45">
        <v>5</v>
      </c>
      <c r="K44" s="41"/>
      <c r="L44" s="198"/>
      <c r="M44" s="24" t="str">
        <v/>
      </c>
      <c r="N44" s="24" t="str">
        <v/>
      </c>
      <c r="O44" s="41"/>
      <c r="P44" s="48"/>
      <c r="AB44" s="14"/>
      <c r="AC44" s="128" t="s">
        <v>175</v>
      </c>
      <c r="AD44" s="9" t="b">
        <f t="shared" si="5"/>
        <v>1</v>
      </c>
      <c r="AE44" s="7">
        <f t="shared" si="45"/>
        <v>3</v>
      </c>
      <c r="AF44" s="7" t="str">
        <f t="shared" si="7"/>
        <v/>
      </c>
      <c r="AG44" s="7" t="b">
        <f t="shared" si="46"/>
        <v>1</v>
      </c>
      <c r="AH44" s="9"/>
      <c r="AI44" s="7" t="b">
        <f t="shared" si="47"/>
        <v>1</v>
      </c>
      <c r="AJ44" s="7">
        <f t="shared" si="48"/>
        <v>1</v>
      </c>
      <c r="AK44" s="7"/>
      <c r="AL44" s="7" t="str">
        <f t="shared" si="49"/>
        <v/>
      </c>
      <c r="AM44" s="6" t="b">
        <v>1</v>
      </c>
      <c r="AN44" s="7" t="str">
        <f t="shared" si="50"/>
        <v/>
      </c>
      <c r="AO44" s="105">
        <v>3</v>
      </c>
      <c r="AP44" s="137" t="str" cm="1">
        <f t="array" ref="AP44">IF(ISNA(MATCH("ECON 102", Statistics!schedule_courses, 0)), IF(ISNA(MATCH("ECON 104", Statistics!schedule_courses, 0)), "ECON 102 OR ECON 104", "ECON 104"), IF(ISNA(MATCH("ECON 104", Statistics!schedule_courses, 0)), "ECON 102", INDEX(Statistics!schedule_courses, MIN(MATCH("ECON 102", Statistics!schedule_courses, 0), MATCH("ECON 104", Statistics!schedule_courses, 0)))))</f>
        <v>ECON 102</v>
      </c>
      <c r="AQ44" s="7" t="b">
        <f t="shared" si="13"/>
        <v>1</v>
      </c>
      <c r="AR44" s="7">
        <f t="shared" si="23"/>
        <v>2</v>
      </c>
      <c r="AS44" s="7" t="b">
        <f t="shared" si="24"/>
        <v>1</v>
      </c>
      <c r="AT44" s="137"/>
      <c r="AU44" s="7" t="str">
        <f t="shared" si="16"/>
        <v/>
      </c>
      <c r="AV44" s="7" t="str">
        <f t="shared" si="21"/>
        <v/>
      </c>
      <c r="AW44" s="7" t="str">
        <f t="shared" si="22"/>
        <v/>
      </c>
      <c r="AX44" s="44"/>
      <c r="AY44" s="7"/>
      <c r="AZ44" s="15" t="s">
        <v>239</v>
      </c>
      <c r="BD44" s="116" t="s">
        <v>297</v>
      </c>
      <c r="BE44" s="244" t="s">
        <v>285</v>
      </c>
      <c r="BF44" s="249" t="s">
        <v>298</v>
      </c>
    </row>
    <row r="45" spans="1:58" ht="31.2">
      <c r="A45">
        <v>0</v>
      </c>
      <c r="B45">
        <v>0</v>
      </c>
      <c r="C45">
        <v>0</v>
      </c>
      <c r="D45">
        <f t="shared" si="43"/>
        <v>0</v>
      </c>
      <c r="E45">
        <f t="shared" si="2"/>
        <v>0</v>
      </c>
      <c r="F45">
        <f t="shared" si="44"/>
        <v>0</v>
      </c>
      <c r="G45">
        <f t="shared" si="3"/>
        <v>0</v>
      </c>
      <c r="H45">
        <f t="shared" si="4"/>
        <v>0</v>
      </c>
      <c r="I45">
        <f>IF(Statistics!gpa_tf, G45*B45, G45*A45)</f>
        <v>0</v>
      </c>
      <c r="J45" s="45">
        <v>5</v>
      </c>
      <c r="K45" s="41"/>
      <c r="L45" s="41"/>
      <c r="M45" s="24" t="str">
        <v/>
      </c>
      <c r="N45" s="24" t="str">
        <v/>
      </c>
      <c r="O45" s="41"/>
      <c r="P45" s="48"/>
      <c r="AB45" s="14"/>
      <c r="AC45" s="128" t="s">
        <v>175</v>
      </c>
      <c r="AD45" s="9" t="b">
        <f t="shared" si="5"/>
        <v>1</v>
      </c>
      <c r="AE45" s="7">
        <f t="shared" si="45"/>
        <v>3</v>
      </c>
      <c r="AF45" s="7" t="str">
        <f t="shared" si="7"/>
        <v/>
      </c>
      <c r="AG45" s="7" t="b">
        <f t="shared" si="46"/>
        <v>1</v>
      </c>
      <c r="AH45" s="9"/>
      <c r="AI45" s="7" t="b">
        <f t="shared" si="47"/>
        <v>1</v>
      </c>
      <c r="AJ45" s="7">
        <f t="shared" si="48"/>
        <v>1</v>
      </c>
      <c r="AK45" s="7"/>
      <c r="AL45" s="7" t="str">
        <f t="shared" si="49"/>
        <v/>
      </c>
      <c r="AM45" s="6" t="b">
        <v>1</v>
      </c>
      <c r="AN45" s="7" t="str">
        <f t="shared" si="50"/>
        <v/>
      </c>
      <c r="AO45" s="105">
        <v>3</v>
      </c>
      <c r="AP45" s="137" t="str">
        <f>engl</f>
        <v>ENGL 15</v>
      </c>
      <c r="AQ45" s="7" t="b">
        <f t="shared" si="13"/>
        <v>1</v>
      </c>
      <c r="AR45" s="7">
        <f t="shared" si="23"/>
        <v>2</v>
      </c>
      <c r="AS45" s="7" t="b">
        <f t="shared" si="24"/>
        <v>1</v>
      </c>
      <c r="AT45" s="137"/>
      <c r="AU45" s="7" t="str">
        <f t="shared" si="16"/>
        <v/>
      </c>
      <c r="AV45" s="7" t="str">
        <f t="shared" si="21"/>
        <v/>
      </c>
      <c r="AW45" s="7" t="str">
        <f t="shared" si="22"/>
        <v/>
      </c>
      <c r="AX45" s="44"/>
      <c r="AY45" s="7"/>
      <c r="AZ45" s="15" t="s">
        <v>239</v>
      </c>
      <c r="BD45" s="116" t="s">
        <v>300</v>
      </c>
      <c r="BE45" s="244" t="s">
        <v>301</v>
      </c>
      <c r="BF45" s="249" t="s">
        <v>302</v>
      </c>
    </row>
    <row r="46" spans="1:58">
      <c r="A46">
        <v>0</v>
      </c>
      <c r="B46">
        <v>0</v>
      </c>
      <c r="C46">
        <v>0</v>
      </c>
      <c r="D46">
        <f t="shared" si="43"/>
        <v>0</v>
      </c>
      <c r="E46">
        <f t="shared" si="2"/>
        <v>0</v>
      </c>
      <c r="F46">
        <f t="shared" si="44"/>
        <v>0</v>
      </c>
      <c r="G46">
        <f t="shared" si="3"/>
        <v>0</v>
      </c>
      <c r="H46">
        <f t="shared" si="4"/>
        <v>0</v>
      </c>
      <c r="I46">
        <f>IF(Statistics!gpa_tf, G46*B46, G46*A46)</f>
        <v>0</v>
      </c>
      <c r="J46" s="54">
        <v>5</v>
      </c>
      <c r="K46" s="43"/>
      <c r="L46" s="43"/>
      <c r="M46" s="10" t="str">
        <v/>
      </c>
      <c r="N46" s="10" t="str">
        <v/>
      </c>
      <c r="O46" s="43"/>
      <c r="P46" s="49"/>
      <c r="V46" s="11"/>
      <c r="AB46" s="116"/>
      <c r="AC46" s="125" t="s">
        <v>227</v>
      </c>
      <c r="AD46" s="9" t="b">
        <f t="shared" si="5"/>
        <v>1</v>
      </c>
      <c r="AE46" s="7">
        <f t="shared" si="45"/>
        <v>4</v>
      </c>
      <c r="AF46" s="7" t="str">
        <f t="shared" si="7"/>
        <v/>
      </c>
      <c r="AG46" s="7" t="b">
        <f t="shared" si="46"/>
        <v>1</v>
      </c>
      <c r="AH46" s="9"/>
      <c r="AI46" s="7" t="b">
        <f t="shared" si="47"/>
        <v>1</v>
      </c>
      <c r="AJ46" s="7">
        <f t="shared" si="48"/>
        <v>2</v>
      </c>
      <c r="AK46" s="7"/>
      <c r="AL46" s="7" t="str">
        <f t="shared" si="49"/>
        <v/>
      </c>
      <c r="AM46" s="6" t="b">
        <v>1</v>
      </c>
      <c r="AN46" s="7" t="str">
        <f t="shared" si="50"/>
        <v/>
      </c>
      <c r="AO46" s="105">
        <v>3</v>
      </c>
      <c r="AP46" s="137" t="s">
        <v>187</v>
      </c>
      <c r="AQ46" s="7" t="b">
        <f t="shared" si="13"/>
        <v>1</v>
      </c>
      <c r="AR46" s="7">
        <f t="shared" si="23"/>
        <v>3</v>
      </c>
      <c r="AS46" s="7" t="b">
        <f t="shared" si="24"/>
        <v>1</v>
      </c>
      <c r="AT46" s="137"/>
      <c r="AU46" s="7" t="str">
        <f t="shared" si="16"/>
        <v/>
      </c>
      <c r="AV46" s="7" t="str">
        <f t="shared" si="21"/>
        <v/>
      </c>
      <c r="AW46" s="7" t="str">
        <f t="shared" si="22"/>
        <v/>
      </c>
      <c r="AX46" s="44"/>
      <c r="AY46" s="7"/>
      <c r="AZ46" s="118" t="s">
        <v>259</v>
      </c>
      <c r="BD46" s="116" t="s">
        <v>303</v>
      </c>
      <c r="BE46" s="244" t="s">
        <v>281</v>
      </c>
      <c r="BF46" s="249"/>
    </row>
    <row r="47" spans="1:58">
      <c r="A47">
        <v>0</v>
      </c>
      <c r="B47">
        <v>0</v>
      </c>
      <c r="C47">
        <v>0</v>
      </c>
      <c r="D47">
        <f t="shared" si="43"/>
        <v>0</v>
      </c>
      <c r="E47">
        <f t="shared" si="2"/>
        <v>0</v>
      </c>
      <c r="F47">
        <f t="shared" si="44"/>
        <v>0</v>
      </c>
      <c r="G47">
        <f t="shared" si="3"/>
        <v>3</v>
      </c>
      <c r="H47">
        <f t="shared" si="4"/>
        <v>0</v>
      </c>
      <c r="I47">
        <f>IF(Statistics!gpa_tf, G47*B47, G47*A47)</f>
        <v>0</v>
      </c>
      <c r="J47" s="50">
        <v>6</v>
      </c>
      <c r="K47" s="51"/>
      <c r="L47" s="51" t="s">
        <v>196</v>
      </c>
      <c r="M47" s="55">
        <v>3</v>
      </c>
      <c r="N47" s="55" t="str">
        <v/>
      </c>
      <c r="O47" s="51"/>
      <c r="P47" s="52"/>
      <c r="R47" s="11"/>
      <c r="S47" s="11"/>
      <c r="W47" s="11"/>
      <c r="X47" s="11"/>
      <c r="Y47" s="11"/>
      <c r="Z47" s="11"/>
      <c r="AB47" s="14"/>
      <c r="AC47" s="123" t="s">
        <v>186</v>
      </c>
      <c r="AD47" s="9" t="b">
        <f t="shared" si="5"/>
        <v>1</v>
      </c>
      <c r="AE47" s="7">
        <f t="shared" si="45"/>
        <v>3</v>
      </c>
      <c r="AF47" s="7" t="str">
        <f t="shared" si="7"/>
        <v/>
      </c>
      <c r="AG47" s="7" t="b">
        <f t="shared" si="46"/>
        <v>1</v>
      </c>
      <c r="AH47" s="9"/>
      <c r="AI47" s="7" t="b">
        <f t="shared" si="47"/>
        <v>1</v>
      </c>
      <c r="AJ47" s="7">
        <f t="shared" si="48"/>
        <v>1</v>
      </c>
      <c r="AK47" s="7"/>
      <c r="AL47" s="7" t="str">
        <f t="shared" si="49"/>
        <v/>
      </c>
      <c r="AM47" s="7"/>
      <c r="AN47" s="7" t="str">
        <f t="shared" si="50"/>
        <v/>
      </c>
      <c r="AO47" s="9">
        <v>1.5</v>
      </c>
      <c r="AP47" s="137"/>
      <c r="AQ47" s="7" t="str">
        <f t="shared" si="13"/>
        <v/>
      </c>
      <c r="AR47" s="7" t="str">
        <f t="shared" si="23"/>
        <v/>
      </c>
      <c r="AS47" s="7" t="str">
        <f t="shared" si="24"/>
        <v/>
      </c>
      <c r="AT47" s="137" t="s">
        <v>187</v>
      </c>
      <c r="AU47" s="7" t="b">
        <f t="shared" si="16"/>
        <v>1</v>
      </c>
      <c r="AV47" s="7">
        <f t="shared" si="21"/>
        <v>3</v>
      </c>
      <c r="AW47" s="7" t="b">
        <f t="shared" si="22"/>
        <v>1</v>
      </c>
      <c r="AX47" s="44"/>
      <c r="AY47" s="7"/>
      <c r="AZ47" s="118" t="s">
        <v>263</v>
      </c>
      <c r="BD47" s="242" t="s">
        <v>304</v>
      </c>
      <c r="BE47" s="246" t="s">
        <v>305</v>
      </c>
      <c r="BF47" s="250"/>
    </row>
    <row r="48" spans="1:58">
      <c r="A48">
        <v>0</v>
      </c>
      <c r="B48">
        <v>0</v>
      </c>
      <c r="C48">
        <v>0</v>
      </c>
      <c r="D48">
        <f t="shared" si="43"/>
        <v>0</v>
      </c>
      <c r="E48">
        <f t="shared" si="2"/>
        <v>0</v>
      </c>
      <c r="F48">
        <f t="shared" si="44"/>
        <v>0</v>
      </c>
      <c r="G48">
        <f t="shared" si="3"/>
        <v>3</v>
      </c>
      <c r="H48">
        <f t="shared" si="4"/>
        <v>0</v>
      </c>
      <c r="I48">
        <f>IF(Statistics!gpa_tf, G48*B48, G48*A48)</f>
        <v>0</v>
      </c>
      <c r="J48" s="46">
        <v>6</v>
      </c>
      <c r="K48" s="41"/>
      <c r="L48" s="41" t="s">
        <v>417</v>
      </c>
      <c r="M48" s="24">
        <v>3</v>
      </c>
      <c r="N48" s="24" t="str">
        <v/>
      </c>
      <c r="O48" s="41"/>
      <c r="P48" s="48"/>
      <c r="T48" s="11"/>
      <c r="U48" s="11"/>
      <c r="AB48" s="14"/>
      <c r="AC48" s="128" t="s">
        <v>186</v>
      </c>
      <c r="AD48" s="9" t="b">
        <f t="shared" si="5"/>
        <v>1</v>
      </c>
      <c r="AE48" s="7">
        <f t="shared" si="45"/>
        <v>3</v>
      </c>
      <c r="AF48" s="7" t="str">
        <f t="shared" si="7"/>
        <v/>
      </c>
      <c r="AG48" s="7" t="b">
        <f t="shared" si="46"/>
        <v>1</v>
      </c>
      <c r="AH48" s="9"/>
      <c r="AI48" s="7" t="b">
        <f t="shared" si="47"/>
        <v>1</v>
      </c>
      <c r="AJ48" s="7">
        <f t="shared" si="48"/>
        <v>1</v>
      </c>
      <c r="AK48" s="7"/>
      <c r="AL48" s="7" t="str">
        <f t="shared" si="49"/>
        <v/>
      </c>
      <c r="AM48" s="7"/>
      <c r="AN48" s="7" t="str">
        <f t="shared" si="50"/>
        <v/>
      </c>
      <c r="AO48" s="258">
        <v>1.5</v>
      </c>
      <c r="AP48" s="137"/>
      <c r="AQ48" s="7" t="str">
        <f t="shared" si="13"/>
        <v/>
      </c>
      <c r="AR48" s="7" t="str">
        <f t="shared" si="23"/>
        <v/>
      </c>
      <c r="AS48" s="7" t="str">
        <f t="shared" si="24"/>
        <v/>
      </c>
      <c r="AT48" s="137" t="s">
        <v>165</v>
      </c>
      <c r="AU48" s="7" t="b">
        <f t="shared" si="16"/>
        <v>1</v>
      </c>
      <c r="AV48" s="7">
        <f t="shared" si="21"/>
        <v>1</v>
      </c>
      <c r="AW48" s="7" t="b">
        <f t="shared" si="22"/>
        <v>1</v>
      </c>
      <c r="AX48" s="44"/>
      <c r="AY48" s="7"/>
      <c r="AZ48" s="118" t="s">
        <v>263</v>
      </c>
      <c r="BD48" s="83"/>
      <c r="BE48" s="83"/>
      <c r="BF48" s="24"/>
    </row>
    <row r="49" spans="1:57">
      <c r="A49">
        <v>0</v>
      </c>
      <c r="B49">
        <v>0</v>
      </c>
      <c r="C49">
        <v>0</v>
      </c>
      <c r="D49">
        <f t="shared" si="43"/>
        <v>0</v>
      </c>
      <c r="E49">
        <f t="shared" si="2"/>
        <v>0</v>
      </c>
      <c r="F49">
        <f t="shared" si="44"/>
        <v>0</v>
      </c>
      <c r="G49">
        <f t="shared" si="3"/>
        <v>3</v>
      </c>
      <c r="H49">
        <f t="shared" si="4"/>
        <v>0</v>
      </c>
      <c r="I49">
        <f>IF(Statistics!gpa_tf, G49*B49, G49*A49)</f>
        <v>0</v>
      </c>
      <c r="J49" s="46">
        <v>6</v>
      </c>
      <c r="K49" s="41"/>
      <c r="L49" s="41" t="s">
        <v>342</v>
      </c>
      <c r="M49" s="24">
        <v>3</v>
      </c>
      <c r="N49" s="24" t="str">
        <v/>
      </c>
      <c r="O49" s="41"/>
      <c r="P49" s="48"/>
      <c r="AB49" s="14"/>
      <c r="AC49" s="125" t="s">
        <v>203</v>
      </c>
      <c r="AD49" s="9" t="b">
        <f t="shared" si="5"/>
        <v>1</v>
      </c>
      <c r="AE49" s="7">
        <f t="shared" si="45"/>
        <v>5</v>
      </c>
      <c r="AF49" s="7" t="str">
        <f t="shared" si="7"/>
        <v/>
      </c>
      <c r="AG49" s="7" t="b">
        <f t="shared" si="46"/>
        <v>1</v>
      </c>
      <c r="AH49" s="9">
        <f>MAX(4, Statistics!etm_semester)</f>
        <v>4</v>
      </c>
      <c r="AI49" s="7" t="b">
        <f t="shared" si="47"/>
        <v>1</v>
      </c>
      <c r="AJ49" s="7">
        <f t="shared" si="48"/>
        <v>1</v>
      </c>
      <c r="AK49" s="7"/>
      <c r="AL49" s="7" t="str">
        <f t="shared" si="49"/>
        <v/>
      </c>
      <c r="AM49" s="7"/>
      <c r="AN49" s="7" t="str">
        <f t="shared" si="50"/>
        <v/>
      </c>
      <c r="AO49" s="9">
        <v>3</v>
      </c>
      <c r="AP49" s="140" t="s">
        <v>191</v>
      </c>
      <c r="AQ49" s="7" t="b">
        <f t="shared" si="13"/>
        <v>1</v>
      </c>
      <c r="AR49" s="7">
        <f t="shared" si="23"/>
        <v>4</v>
      </c>
      <c r="AS49" s="7" t="b">
        <f t="shared" si="24"/>
        <v>1</v>
      </c>
      <c r="AT49" s="146"/>
      <c r="AU49" s="7" t="str">
        <f t="shared" si="16"/>
        <v/>
      </c>
      <c r="AV49" s="7" t="str">
        <f t="shared" si="21"/>
        <v/>
      </c>
      <c r="AW49" s="7" t="str">
        <f t="shared" si="22"/>
        <v/>
      </c>
      <c r="AX49" s="41"/>
      <c r="AY49" s="24"/>
      <c r="AZ49" s="118" t="s">
        <v>263</v>
      </c>
      <c r="BD49" s="74" t="s">
        <v>31</v>
      </c>
      <c r="BE49" s="12"/>
    </row>
    <row r="50" spans="1:57">
      <c r="A50">
        <v>0</v>
      </c>
      <c r="B50">
        <v>0</v>
      </c>
      <c r="C50">
        <v>0</v>
      </c>
      <c r="D50">
        <f t="shared" si="43"/>
        <v>0</v>
      </c>
      <c r="E50">
        <f t="shared" si="2"/>
        <v>0</v>
      </c>
      <c r="F50">
        <f t="shared" si="44"/>
        <v>0</v>
      </c>
      <c r="G50">
        <f t="shared" si="3"/>
        <v>3</v>
      </c>
      <c r="H50">
        <f t="shared" si="4"/>
        <v>0</v>
      </c>
      <c r="I50">
        <f>IF(Statistics!gpa_tf, G50*B50, G50*A50)</f>
        <v>0</v>
      </c>
      <c r="J50" s="46">
        <v>6</v>
      </c>
      <c r="K50" s="41"/>
      <c r="L50" s="41" t="s">
        <v>348</v>
      </c>
      <c r="M50" s="24">
        <v>3</v>
      </c>
      <c r="N50" s="24" t="str">
        <v>GWS</v>
      </c>
      <c r="O50" s="41"/>
      <c r="P50" s="48"/>
      <c r="Q50" s="11"/>
      <c r="AB50" s="14"/>
      <c r="AC50" s="125" t="s">
        <v>210</v>
      </c>
      <c r="AD50" s="9" t="b">
        <f t="shared" si="5"/>
        <v>1</v>
      </c>
      <c r="AE50" s="7">
        <f t="shared" si="6"/>
        <v>8</v>
      </c>
      <c r="AF50" s="7" t="str">
        <f t="shared" si="7"/>
        <v/>
      </c>
      <c r="AG50" s="7" t="b">
        <f t="shared" si="8"/>
        <v>1</v>
      </c>
      <c r="AH50" s="9">
        <f>MAX(5, Statistics!etm_semester)</f>
        <v>5</v>
      </c>
      <c r="AI50" s="7" t="b">
        <f t="shared" si="9"/>
        <v>1</v>
      </c>
      <c r="AJ50" s="7">
        <f t="shared" si="10"/>
        <v>2</v>
      </c>
      <c r="AK50" s="7"/>
      <c r="AL50" s="7" t="str">
        <f t="shared" si="11"/>
        <v/>
      </c>
      <c r="AM50" s="6"/>
      <c r="AN50" s="7" t="str">
        <f t="shared" si="12"/>
        <v/>
      </c>
      <c r="AO50" s="105">
        <v>3</v>
      </c>
      <c r="AP50" s="140" t="s">
        <v>198</v>
      </c>
      <c r="AQ50" s="7" t="b">
        <f t="shared" si="13"/>
        <v>1</v>
      </c>
      <c r="AR50" s="7">
        <f t="shared" si="23"/>
        <v>7</v>
      </c>
      <c r="AS50" s="7" t="b">
        <f t="shared" si="24"/>
        <v>1</v>
      </c>
      <c r="AT50" s="137"/>
      <c r="AU50" s="7" t="str">
        <f t="shared" si="16"/>
        <v/>
      </c>
      <c r="AV50" s="7" t="str">
        <f t="shared" si="21"/>
        <v/>
      </c>
      <c r="AW50" s="7" t="str">
        <f t="shared" si="22"/>
        <v/>
      </c>
      <c r="AX50" s="44"/>
      <c r="AY50" s="7"/>
      <c r="AZ50" s="118" t="s">
        <v>263</v>
      </c>
      <c r="BD50" s="14" t="s">
        <v>96</v>
      </c>
      <c r="BE50" s="15">
        <v>4</v>
      </c>
    </row>
    <row r="51" spans="1:57">
      <c r="A51">
        <v>0</v>
      </c>
      <c r="B51">
        <v>0</v>
      </c>
      <c r="C51">
        <v>0</v>
      </c>
      <c r="D51">
        <f t="shared" si="43"/>
        <v>0</v>
      </c>
      <c r="E51">
        <f t="shared" si="2"/>
        <v>0</v>
      </c>
      <c r="F51">
        <f t="shared" si="44"/>
        <v>0</v>
      </c>
      <c r="G51">
        <f t="shared" si="3"/>
        <v>1.5</v>
      </c>
      <c r="H51">
        <f t="shared" si="4"/>
        <v>0</v>
      </c>
      <c r="I51">
        <f>IF(Statistics!gpa_tf, G51*B51, G51*A51)</f>
        <v>0</v>
      </c>
      <c r="J51" s="46">
        <v>6</v>
      </c>
      <c r="K51" s="41"/>
      <c r="L51" s="41" t="s">
        <v>299</v>
      </c>
      <c r="M51" s="24">
        <v>1.5</v>
      </c>
      <c r="N51" s="24" t="str">
        <v>GHW</v>
      </c>
      <c r="O51" s="41"/>
      <c r="P51" s="48"/>
      <c r="AB51" s="14"/>
      <c r="AC51" s="125" t="s">
        <v>375</v>
      </c>
      <c r="AD51" s="9" t="b">
        <f>NOT(ISERROR(MATCH(AC51,schedule_courses,0)))</f>
        <v>0</v>
      </c>
      <c r="AE51" s="7" t="str">
        <f>IF(AX51,0,IFERROR(INDEX(schedule_semester,MATCH(AC51,schedule_courses,0)), ""))</f>
        <v/>
      </c>
      <c r="AF51" s="7" t="str">
        <f>IF(ISNA(MATCH(AC51, $R$6:$R$7, 0)), "", $R$3)</f>
        <v/>
      </c>
      <c r="AG51" s="7" t="str">
        <f>IF(AE51="", "", AE51&lt;AF51)</f>
        <v/>
      </c>
      <c r="AH51" s="9"/>
      <c r="AI51" s="7" t="str">
        <f>IF(AE51="", "", AE51&gt;=AH51)</f>
        <v/>
      </c>
      <c r="AJ51" s="7" t="str">
        <f>IF(AE51="","",IF(MOD(AE51,2)=0,2,1))</f>
        <v/>
      </c>
      <c r="AK51" s="7"/>
      <c r="AL51" s="7" t="str">
        <f>IF(AK51&lt;&gt;0, AK51&lt;&gt;AJ51, "")</f>
        <v/>
      </c>
      <c r="AM51" s="6"/>
      <c r="AN51" s="7" t="str">
        <f>IFERROR(IF(AM51, INDEX(grade_number, MATCH(INDEX(schedule_grades, MATCH(AC51, schedule_courses, 0)), grade_letter, 0))&gt;=2, ""), "")</f>
        <v/>
      </c>
      <c r="AO51" s="105">
        <v>3</v>
      </c>
      <c r="AP51" s="140" t="s">
        <v>354</v>
      </c>
      <c r="AQ51" s="7" t="b">
        <f>IF(AP51=0,"",NOT(ISERROR(MATCH(AP51,schedule_courses,0))))</f>
        <v>1</v>
      </c>
      <c r="AR51" s="7">
        <f>IF(IFERROR(INDEX(req_tr_AP_credit, MATCH(AP51, req_course,0)), FALSE),0,IFERROR(INDEX(schedule_semester,MATCH(AP51,schedule_courses,0)), ""))</f>
        <v>3</v>
      </c>
      <c r="AS51" s="7" t="b">
        <f>IF(AR51&lt;&gt;"", AR51&lt;AE51, "")</f>
        <v>1</v>
      </c>
      <c r="AT51" s="137"/>
      <c r="AU51" s="7" t="str">
        <f>IF(AT51=0,"",NOT(ISERROR(MATCH(AT51,schedule_courses,0))))</f>
        <v/>
      </c>
      <c r="AV51" s="7" t="str">
        <f>IF(IFERROR(INDEX(req_tr_AP_credit, MATCH(AT51, req_course)), FALSE),0,IFERROR(INDEX(schedule_semester,MATCH(AT51,schedule_courses,0)), ""))</f>
        <v/>
      </c>
      <c r="AW51" s="7" t="str">
        <f>IF(AV51&lt;&gt;"", AV51&lt;=AE51, "")</f>
        <v/>
      </c>
      <c r="AX51" s="44"/>
      <c r="AY51" s="7"/>
      <c r="AZ51" s="118" t="s">
        <v>263</v>
      </c>
      <c r="BD51" s="14" t="s">
        <v>132</v>
      </c>
      <c r="BE51" s="15">
        <v>3.67</v>
      </c>
    </row>
    <row r="52" spans="1:57">
      <c r="A52">
        <v>0</v>
      </c>
      <c r="B52">
        <v>0</v>
      </c>
      <c r="C52">
        <v>0</v>
      </c>
      <c r="D52">
        <f t="shared" si="43"/>
        <v>0</v>
      </c>
      <c r="E52">
        <f t="shared" si="2"/>
        <v>0</v>
      </c>
      <c r="F52">
        <f t="shared" si="44"/>
        <v>0</v>
      </c>
      <c r="G52">
        <f t="shared" si="3"/>
        <v>3</v>
      </c>
      <c r="H52">
        <f t="shared" si="4"/>
        <v>0</v>
      </c>
      <c r="I52">
        <f>IF(Statistics!gpa_tf, G52*B52, G52*A52)</f>
        <v>0</v>
      </c>
      <c r="J52" s="46">
        <v>6</v>
      </c>
      <c r="K52" s="41"/>
      <c r="L52" s="41" t="s">
        <v>341</v>
      </c>
      <c r="M52" s="24">
        <v>3</v>
      </c>
      <c r="N52" s="24" t="str">
        <v/>
      </c>
      <c r="O52" s="41"/>
      <c r="P52" s="48"/>
      <c r="AB52" s="14"/>
      <c r="AC52" s="125" t="s">
        <v>376</v>
      </c>
      <c r="AD52" s="9" t="b">
        <f>NOT(ISERROR(MATCH(AC52,schedule_courses,0)))</f>
        <v>0</v>
      </c>
      <c r="AE52" s="7" t="str">
        <f>IF(AX52,0,IFERROR(INDEX(schedule_semester,MATCH(AC52,schedule_courses,0)), ""))</f>
        <v/>
      </c>
      <c r="AF52" s="7" t="str">
        <f>IF(ISNA(MATCH(AC52, $R$6:$R$7, 0)), "", $R$3)</f>
        <v/>
      </c>
      <c r="AG52" s="7" t="str">
        <f>IF(AE52="", "", AE52&lt;AF52)</f>
        <v/>
      </c>
      <c r="AH52" s="9"/>
      <c r="AI52" s="7" t="str">
        <f>IF(AE52="", "", AE52&gt;=AH52)</f>
        <v/>
      </c>
      <c r="AJ52" s="7" t="str">
        <f>IF(AE52="","",IF(MOD(AE52,2)=0,2,1))</f>
        <v/>
      </c>
      <c r="AK52" s="7"/>
      <c r="AL52" s="7" t="str">
        <f>IF(AK52&lt;&gt;0, AK52&lt;&gt;AJ52, "")</f>
        <v/>
      </c>
      <c r="AM52" s="6"/>
      <c r="AN52" s="7" t="str">
        <f>IFERROR(IF(AM52, INDEX(grade_number, MATCH(INDEX(schedule_grades, MATCH(AC52, schedule_courses, 0)), grade_letter, 0))&gt;=2, ""), "")</f>
        <v/>
      </c>
      <c r="AO52" s="105">
        <v>3</v>
      </c>
      <c r="AP52" s="140" t="s">
        <v>375</v>
      </c>
      <c r="AQ52" s="7" t="b">
        <f>IF(AP52=0,"",NOT(ISERROR(MATCH(AP52,schedule_courses,0))))</f>
        <v>0</v>
      </c>
      <c r="AR52" s="7" t="str">
        <f>IF(IFERROR(INDEX(req_tr_AP_credit, MATCH(AP52, req_course,0)), FALSE),0,IFERROR(INDEX(schedule_semester,MATCH(AP52,schedule_courses,0)), ""))</f>
        <v/>
      </c>
      <c r="AS52" s="7" t="str">
        <f>IF(AR52&lt;&gt;"", AR52&lt;AE52, "")</f>
        <v/>
      </c>
      <c r="AT52" s="137"/>
      <c r="AU52" s="7" t="str">
        <f>IF(AT52=0,"",NOT(ISERROR(MATCH(AT52,schedule_courses,0))))</f>
        <v/>
      </c>
      <c r="AV52" s="7" t="str">
        <f>IF(IFERROR(INDEX(req_tr_AP_credit, MATCH(AT52, req_course)), FALSE),0,IFERROR(INDEX(schedule_semester,MATCH(AT52,schedule_courses,0)), ""))</f>
        <v/>
      </c>
      <c r="AW52" s="7" t="str">
        <f>IF(AV52&lt;&gt;"", AV52&lt;=AE52, "")</f>
        <v/>
      </c>
      <c r="AX52" s="44"/>
      <c r="AY52" s="7"/>
      <c r="AZ52" s="118" t="s">
        <v>263</v>
      </c>
      <c r="BD52" s="14" t="s">
        <v>309</v>
      </c>
      <c r="BE52" s="15">
        <v>3.33</v>
      </c>
    </row>
    <row r="53" spans="1:57">
      <c r="A53">
        <v>0</v>
      </c>
      <c r="B53">
        <v>0</v>
      </c>
      <c r="C53">
        <v>0</v>
      </c>
      <c r="D53">
        <f t="shared" si="43"/>
        <v>0</v>
      </c>
      <c r="E53">
        <f t="shared" si="2"/>
        <v>0</v>
      </c>
      <c r="F53">
        <f t="shared" si="44"/>
        <v>0</v>
      </c>
      <c r="G53">
        <f t="shared" si="3"/>
        <v>0</v>
      </c>
      <c r="H53">
        <f t="shared" si="4"/>
        <v>0</v>
      </c>
      <c r="I53">
        <f>IF(Statistics!gpa_tf, G53*B53, G53*A53)</f>
        <v>0</v>
      </c>
      <c r="J53" s="46">
        <v>6</v>
      </c>
      <c r="K53" s="41"/>
      <c r="L53" s="41"/>
      <c r="M53" s="24" t="str">
        <v/>
      </c>
      <c r="N53" s="24" t="str">
        <v/>
      </c>
      <c r="O53" s="41"/>
      <c r="P53" s="48"/>
      <c r="AB53" s="14"/>
      <c r="AC53" s="128" t="s">
        <v>376</v>
      </c>
      <c r="AD53" s="9" t="b">
        <f>NOT(ISERROR(MATCH(AC53,schedule_courses,0)))</f>
        <v>0</v>
      </c>
      <c r="AE53" s="7" t="str">
        <f>IF(AX53,0,IFERROR(INDEX(schedule_semester,MATCH(AC53,schedule_courses,0)), ""))</f>
        <v/>
      </c>
      <c r="AF53" s="7" t="str">
        <f>IF(ISNA(MATCH(AC53, $R$6:$R$7, 0)), "", $R$3)</f>
        <v/>
      </c>
      <c r="AG53" s="7" t="str">
        <f>IF(AE53="", "", AE53&lt;AF53)</f>
        <v/>
      </c>
      <c r="AH53" s="9"/>
      <c r="AI53" s="7" t="str">
        <f>IF(AE53="", "", AE53&gt;=AH53)</f>
        <v/>
      </c>
      <c r="AJ53" s="7" t="str">
        <f>IF(AE53="","",IF(MOD(AE53,2)=0,2,1))</f>
        <v/>
      </c>
      <c r="AK53" s="7"/>
      <c r="AL53" s="7" t="str">
        <f>IF(AK53&lt;&gt;0, AK53&lt;&gt;AJ53, "")</f>
        <v/>
      </c>
      <c r="AM53" s="6"/>
      <c r="AN53" s="7" t="str">
        <f>IFERROR(IF(AM53, INDEX(grade_number, MATCH(INDEX(schedule_grades, MATCH(AC53, schedule_courses, 0)), grade_letter, 0))&gt;=2, ""), "")</f>
        <v/>
      </c>
      <c r="AO53" s="258">
        <v>3</v>
      </c>
      <c r="AP53" s="140" t="s">
        <v>227</v>
      </c>
      <c r="AQ53" s="7" t="b">
        <f>IF(AP53=0,"",NOT(ISERROR(MATCH(AP53,schedule_courses,0))))</f>
        <v>1</v>
      </c>
      <c r="AR53" s="7">
        <f>IF(IFERROR(INDEX(req_tr_AP_credit, MATCH(AP53, req_course,0)), FALSE),0,IFERROR(INDEX(schedule_semester,MATCH(AP53,schedule_courses,0)), ""))</f>
        <v>4</v>
      </c>
      <c r="AS53" s="7" t="b">
        <f>IF(AR53&lt;&gt;"", AR53&lt;AE53, "")</f>
        <v>1</v>
      </c>
      <c r="AT53" s="137"/>
      <c r="AU53" s="7" t="str">
        <f>IF(AT53=0,"",NOT(ISERROR(MATCH(AT53,schedule_courses,0))))</f>
        <v/>
      </c>
      <c r="AV53" s="7" t="str">
        <f>IF(IFERROR(INDEX(req_tr_AP_credit, MATCH(AT53, req_course)), FALSE),0,IFERROR(INDEX(schedule_semester,MATCH(AT53,schedule_courses,0)), ""))</f>
        <v/>
      </c>
      <c r="AW53" s="7" t="str">
        <f>IF(AV53&lt;&gt;"", AV53&lt;=AE53, "")</f>
        <v/>
      </c>
      <c r="AX53" s="44"/>
      <c r="AY53" s="7"/>
      <c r="AZ53" s="118"/>
      <c r="BD53" s="14" t="s">
        <v>311</v>
      </c>
      <c r="BE53" s="15">
        <v>3</v>
      </c>
    </row>
    <row r="54" spans="1:57">
      <c r="A54">
        <v>0</v>
      </c>
      <c r="B54">
        <v>0</v>
      </c>
      <c r="C54">
        <v>0</v>
      </c>
      <c r="D54">
        <f t="shared" si="43"/>
        <v>0</v>
      </c>
      <c r="E54">
        <f t="shared" si="2"/>
        <v>0</v>
      </c>
      <c r="F54">
        <f t="shared" si="44"/>
        <v>0</v>
      </c>
      <c r="G54">
        <f t="shared" si="3"/>
        <v>0</v>
      </c>
      <c r="H54">
        <f t="shared" si="4"/>
        <v>0</v>
      </c>
      <c r="I54">
        <f>IF(Statistics!gpa_tf, G54*B54, G54*A54)</f>
        <v>0</v>
      </c>
      <c r="J54" s="46">
        <v>6</v>
      </c>
      <c r="K54" s="41"/>
      <c r="L54" s="41"/>
      <c r="M54" s="24" t="str">
        <v/>
      </c>
      <c r="N54" s="24" t="str">
        <v/>
      </c>
      <c r="O54" s="41"/>
      <c r="P54" s="48"/>
      <c r="AB54" s="14"/>
      <c r="AC54" s="125"/>
      <c r="AD54" s="9" t="b">
        <f>NOT(ISERROR(MATCH(AC54,schedule_courses,0)))</f>
        <v>0</v>
      </c>
      <c r="AE54" s="7" t="str">
        <f>IF(AX54,0,IFERROR(INDEX(schedule_semester,MATCH(AC54,schedule_courses,0)), ""))</f>
        <v/>
      </c>
      <c r="AF54" s="7" t="str">
        <f>IF(ISNA(MATCH(AC54, $R$6:$R$7, 0)), "", $R$3)</f>
        <v/>
      </c>
      <c r="AG54" s="7" t="str">
        <f>IF(AE54="", "", AE54&lt;AF54)</f>
        <v/>
      </c>
      <c r="AH54" s="9"/>
      <c r="AI54" s="7" t="str">
        <f>IF(AE54="", "", AE54&gt;=AH54)</f>
        <v/>
      </c>
      <c r="AJ54" s="7" t="str">
        <f>IF(AE54="","",IF(MOD(AE54,2)=0,2,1))</f>
        <v/>
      </c>
      <c r="AK54" s="7"/>
      <c r="AL54" s="7" t="str">
        <f>IF(AK54&lt;&gt;0, AK54&lt;&gt;AJ54, "")</f>
        <v/>
      </c>
      <c r="AM54" s="6"/>
      <c r="AN54" s="7" t="str">
        <f>IFERROR(IF(AM54, INDEX(grade_number, MATCH(INDEX(schedule_grades, MATCH(AC54, schedule_courses, 0)), grade_letter, 0))&gt;=2, ""), "")</f>
        <v/>
      </c>
      <c r="AO54" s="105"/>
      <c r="AP54" s="140"/>
      <c r="AQ54" s="7" t="str">
        <f>IF(AP54=0,"",NOT(ISERROR(MATCH(AP54,schedule_courses,0))))</f>
        <v/>
      </c>
      <c r="AR54" s="7" t="str">
        <f>IF(IFERROR(INDEX(req_tr_AP_credit, MATCH(AP54, req_course,0)), FALSE),0,IFERROR(INDEX(schedule_semester,MATCH(AP54,schedule_courses,0)), ""))</f>
        <v/>
      </c>
      <c r="AS54" s="7" t="str">
        <f>IF(AR54&lt;&gt;"", AR54&lt;AE54, "")</f>
        <v/>
      </c>
      <c r="AT54" s="137"/>
      <c r="AU54" s="7" t="str">
        <f>IF(AT54=0,"",NOT(ISERROR(MATCH(AT54,schedule_courses,0))))</f>
        <v/>
      </c>
      <c r="AV54" s="7" t="str">
        <f>IF(IFERROR(INDEX(req_tr_AP_credit, MATCH(AT54, req_course)), FALSE),0,IFERROR(INDEX(schedule_semester,MATCH(AT54,schedule_courses,0)), ""))</f>
        <v/>
      </c>
      <c r="AW54" s="7" t="str">
        <f>IF(AV54&lt;&gt;"", AV54&lt;=AE54, "")</f>
        <v/>
      </c>
      <c r="AX54" s="44"/>
      <c r="AY54" s="7"/>
      <c r="AZ54" s="118"/>
      <c r="BD54" s="14" t="s">
        <v>312</v>
      </c>
      <c r="BE54" s="15">
        <v>2.67</v>
      </c>
    </row>
    <row r="55" spans="1:57">
      <c r="A55">
        <v>0</v>
      </c>
      <c r="B55">
        <v>0</v>
      </c>
      <c r="C55">
        <v>0</v>
      </c>
      <c r="D55">
        <f t="shared" si="43"/>
        <v>0</v>
      </c>
      <c r="E55">
        <f t="shared" si="2"/>
        <v>0</v>
      </c>
      <c r="F55">
        <f t="shared" si="44"/>
        <v>0</v>
      </c>
      <c r="G55">
        <f t="shared" si="3"/>
        <v>0</v>
      </c>
      <c r="H55">
        <f t="shared" si="4"/>
        <v>0</v>
      </c>
      <c r="I55">
        <f>IF(Statistics!gpa_tf, G55*B55, G55*A55)</f>
        <v>0</v>
      </c>
      <c r="J55" s="47">
        <v>6</v>
      </c>
      <c r="K55" s="43"/>
      <c r="L55" s="43"/>
      <c r="M55" s="10" t="str">
        <v/>
      </c>
      <c r="N55" s="10" t="str">
        <v/>
      </c>
      <c r="O55" s="43"/>
      <c r="P55" s="49"/>
      <c r="AB55" s="14"/>
      <c r="AC55" s="125"/>
      <c r="AD55" s="9" t="b">
        <f>NOT(ISERROR(MATCH(AC55,schedule_courses,0)))</f>
        <v>0</v>
      </c>
      <c r="AE55" s="7" t="str">
        <f>IF(AX55,0,IFERROR(INDEX(schedule_semester,MATCH(AC55,schedule_courses,0)), ""))</f>
        <v/>
      </c>
      <c r="AF55" s="7" t="str">
        <f>IF(ISNA(MATCH(AC55, $R$6:$R$7, 0)), "", $R$3)</f>
        <v/>
      </c>
      <c r="AG55" s="7" t="str">
        <f>IF(AE55="", "", AE55&lt;AF55)</f>
        <v/>
      </c>
      <c r="AH55" s="9"/>
      <c r="AI55" s="7" t="str">
        <f>IF(AE55="", "", AE55&gt;=AH55)</f>
        <v/>
      </c>
      <c r="AJ55" s="7" t="str">
        <f>IF(AE55="","",IF(MOD(AE55,2)=0,2,1))</f>
        <v/>
      </c>
      <c r="AK55" s="7"/>
      <c r="AL55" s="7" t="str">
        <f>IF(AK55&lt;&gt;0, AK55&lt;&gt;AJ55, "")</f>
        <v/>
      </c>
      <c r="AM55" s="6"/>
      <c r="AN55" s="7" t="str">
        <f>IFERROR(IF(AM55, INDEX(grade_number, MATCH(INDEX(schedule_grades, MATCH(AC55, schedule_courses, 0)), grade_letter, 0))&gt;=2, ""), "")</f>
        <v/>
      </c>
      <c r="AO55" s="105"/>
      <c r="AP55" s="140"/>
      <c r="AQ55" s="7" t="str">
        <f>IF(AP55=0,"",NOT(ISERROR(MATCH(AP55,schedule_courses,0))))</f>
        <v/>
      </c>
      <c r="AR55" s="7" t="str">
        <f>IF(IFERROR(INDEX(req_tr_AP_credit, MATCH(AP55, req_course,0)), FALSE),0,IFERROR(INDEX(schedule_semester,MATCH(AP55,schedule_courses,0)), ""))</f>
        <v/>
      </c>
      <c r="AS55" s="7" t="str">
        <f>IF(AR55&lt;&gt;"", AR55&lt;AE55, "")</f>
        <v/>
      </c>
      <c r="AT55" s="137"/>
      <c r="AU55" s="7" t="str">
        <f>IF(AT55=0,"",NOT(ISERROR(MATCH(AT55,schedule_courses,0))))</f>
        <v/>
      </c>
      <c r="AV55" s="7" t="str">
        <f>IF(IFERROR(INDEX(req_tr_AP_credit, MATCH(AT55, req_course)), FALSE),0,IFERROR(INDEX(schedule_semester,MATCH(AT55,schedule_courses,0)), ""))</f>
        <v/>
      </c>
      <c r="AW55" s="7" t="str">
        <f>IF(AV55&lt;&gt;"", AV55&lt;=AE55, "")</f>
        <v/>
      </c>
      <c r="AX55" s="44"/>
      <c r="AY55" s="7"/>
      <c r="AZ55" s="118"/>
      <c r="BD55" s="14" t="s">
        <v>314</v>
      </c>
      <c r="BE55" s="15">
        <v>2.33</v>
      </c>
    </row>
    <row r="56" spans="1:57">
      <c r="A56">
        <v>0</v>
      </c>
      <c r="B56">
        <v>0</v>
      </c>
      <c r="C56">
        <v>0</v>
      </c>
      <c r="D56">
        <f t="shared" si="43"/>
        <v>0</v>
      </c>
      <c r="E56">
        <f t="shared" si="2"/>
        <v>0</v>
      </c>
      <c r="F56">
        <f t="shared" si="44"/>
        <v>0</v>
      </c>
      <c r="G56">
        <f t="shared" si="3"/>
        <v>3</v>
      </c>
      <c r="H56">
        <f t="shared" si="4"/>
        <v>0</v>
      </c>
      <c r="I56">
        <f>IF(Statistics!gpa_tf, G56*B56, G56*A56)</f>
        <v>0</v>
      </c>
      <c r="J56" s="53">
        <v>7</v>
      </c>
      <c r="K56" s="51"/>
      <c r="L56" s="51" t="s">
        <v>198</v>
      </c>
      <c r="M56" s="55">
        <v>3</v>
      </c>
      <c r="N56" s="55" t="str">
        <v/>
      </c>
      <c r="O56" s="51"/>
      <c r="P56" s="52"/>
      <c r="AB56" s="13"/>
      <c r="AC56" s="183"/>
      <c r="AD56" s="104"/>
      <c r="AE56" s="5"/>
      <c r="AF56" s="5"/>
      <c r="AG56" s="5"/>
      <c r="AH56" s="104"/>
      <c r="AI56" s="5"/>
      <c r="AJ56" s="5"/>
      <c r="AK56" s="5"/>
      <c r="AL56" s="5"/>
      <c r="AM56" s="184"/>
      <c r="AN56" s="5"/>
      <c r="AO56" s="185"/>
      <c r="AP56" s="186"/>
      <c r="AQ56" s="5"/>
      <c r="AR56" s="5"/>
      <c r="AS56" s="5"/>
      <c r="AT56" s="187"/>
      <c r="AU56" s="5"/>
      <c r="AV56" s="5"/>
      <c r="AW56" s="5"/>
      <c r="AX56" s="190"/>
      <c r="AY56" s="5"/>
      <c r="AZ56" s="119"/>
      <c r="BD56" s="14" t="s">
        <v>315</v>
      </c>
      <c r="BE56" s="15">
        <v>2</v>
      </c>
    </row>
    <row r="57" spans="1:57" ht="78">
      <c r="A57">
        <v>0</v>
      </c>
      <c r="B57">
        <v>0</v>
      </c>
      <c r="C57">
        <v>0</v>
      </c>
      <c r="D57">
        <f t="shared" si="43"/>
        <v>0</v>
      </c>
      <c r="E57">
        <f t="shared" si="2"/>
        <v>0</v>
      </c>
      <c r="F57">
        <f t="shared" si="44"/>
        <v>0</v>
      </c>
      <c r="G57">
        <f t="shared" si="3"/>
        <v>3</v>
      </c>
      <c r="H57">
        <f t="shared" si="4"/>
        <v>0</v>
      </c>
      <c r="I57">
        <f>IF(Statistics!gpa_tf, G57*B57, G57*A57)</f>
        <v>0</v>
      </c>
      <c r="J57" s="45">
        <v>7</v>
      </c>
      <c r="K57" s="41"/>
      <c r="L57" s="41" t="s">
        <v>357</v>
      </c>
      <c r="M57" s="24">
        <v>3</v>
      </c>
      <c r="N57" s="24" t="str">
        <v/>
      </c>
      <c r="O57" s="41"/>
      <c r="P57" s="48"/>
      <c r="AB57" s="120" t="s">
        <v>295</v>
      </c>
      <c r="AC57" s="124" t="s">
        <v>420</v>
      </c>
      <c r="AD57" s="189" t="b">
        <f t="shared" ref="AD57" si="51">NOT(ISERROR(MATCH(AC57,schedule_courses,0)))</f>
        <v>1</v>
      </c>
      <c r="AE57" s="7">
        <f t="shared" ref="AE57" si="52">IF(AX57,0,IFERROR(INDEX(schedule_semester,MATCH(AC57,schedule_courses,0)), ""))</f>
        <v>8</v>
      </c>
      <c r="AF57" s="7" t="str">
        <f>IF(ISNA(MATCH(AC57, $R$6:$R$7, 0)), "", $R$3)</f>
        <v/>
      </c>
      <c r="AG57" s="7" t="b">
        <f t="shared" ref="AG57" si="53">IF(AE57="", "", AE57&lt;AF57)</f>
        <v>1</v>
      </c>
      <c r="AH57" s="9"/>
      <c r="AI57" s="7" t="b">
        <f t="shared" ref="AI57" si="54">IF(AE57="", "", AE57&gt;=AH57)</f>
        <v>1</v>
      </c>
      <c r="AJ57" s="7">
        <f t="shared" ref="AJ57" si="55">IF(AE57="","",IF(MOD(AE57,2)=0,2,1))</f>
        <v>2</v>
      </c>
      <c r="AK57" s="7"/>
      <c r="AL57" s="7" t="str">
        <f t="shared" ref="AL57" si="56">IF(AK57&lt;&gt;0, AK57&lt;&gt;AJ57, "")</f>
        <v/>
      </c>
      <c r="AM57" s="7"/>
      <c r="AN57" s="7" t="str">
        <f t="shared" ref="AN57" si="57">IFERROR(IF(AM57, INDEX(grade_number, MATCH(INDEX(schedule_grades, MATCH(AC57, schedule_courses, 0)), grade_letter, 0))&gt;=2, ""), "")</f>
        <v/>
      </c>
      <c r="AO57" s="188">
        <v>3</v>
      </c>
      <c r="AP57" s="7"/>
      <c r="AQ57" s="7" t="str">
        <f t="shared" ref="AQ57:AQ68" si="58">IF(AP57=0,"",NOT(ISERROR(MATCH(AP57,schedule_courses,0))))</f>
        <v/>
      </c>
      <c r="AR57" s="7" t="str">
        <f t="shared" ref="AR57:AR68" si="59">IF(IFERROR(INDEX(req_tr_AP_credit, MATCH(AP57, req_course,0)), FALSE),0,IFERROR(INDEX(schedule_semester,MATCH(AP57,schedule_courses,0)), ""))</f>
        <v/>
      </c>
      <c r="AS57" s="7" t="str">
        <f t="shared" ref="AS57:AS68" si="60">IF(AR57&lt;&gt;"", AR57&lt;AE57, "")</f>
        <v/>
      </c>
      <c r="AT57" s="7"/>
      <c r="AU57" s="7" t="str">
        <f t="shared" ref="AU57:AU68" si="61">IF(AT57=0,"",NOT(ISERROR(MATCH(AT57,schedule_courses,0))))</f>
        <v/>
      </c>
      <c r="AV57" s="7" t="str">
        <f t="shared" ref="AV57:AV68" si="62">IF(IFERROR(INDEX(req_tr_AP_credit, MATCH(AT57, req_course)), FALSE),0,IFERROR(INDEX(schedule_semester,MATCH(AT57,schedule_courses,0)), ""))</f>
        <v/>
      </c>
      <c r="AW57" s="7" t="str">
        <f t="shared" ref="AW57:AW68" si="63">IF(AV57&lt;&gt;"", AV57&lt;=AE57, "")</f>
        <v/>
      </c>
      <c r="AX57" s="44"/>
      <c r="AY57" s="44"/>
      <c r="AZ57" s="118"/>
      <c r="BD57" s="14" t="s">
        <v>316</v>
      </c>
      <c r="BE57" s="15">
        <v>1</v>
      </c>
    </row>
    <row r="58" spans="1:57">
      <c r="A58">
        <v>0</v>
      </c>
      <c r="B58">
        <v>0</v>
      </c>
      <c r="C58">
        <v>0</v>
      </c>
      <c r="D58">
        <f t="shared" si="43"/>
        <v>0</v>
      </c>
      <c r="E58">
        <f t="shared" si="2"/>
        <v>0</v>
      </c>
      <c r="F58">
        <f t="shared" si="44"/>
        <v>0</v>
      </c>
      <c r="G58">
        <f t="shared" si="3"/>
        <v>3</v>
      </c>
      <c r="H58">
        <f t="shared" si="4"/>
        <v>0</v>
      </c>
      <c r="I58">
        <f>IF(Statistics!gpa_tf, G58*B58, G58*A58)</f>
        <v>0</v>
      </c>
      <c r="J58" s="45">
        <v>7</v>
      </c>
      <c r="K58" s="41"/>
      <c r="L58" s="41" t="s">
        <v>264</v>
      </c>
      <c r="M58" s="24">
        <v>3</v>
      </c>
      <c r="N58" s="24" t="str">
        <v>GN</v>
      </c>
      <c r="O58" s="41"/>
      <c r="P58" s="48"/>
      <c r="AB58" s="14"/>
      <c r="AC58" s="124" t="s">
        <v>345</v>
      </c>
      <c r="AD58" s="189" t="b">
        <f t="shared" ref="AD58:AD68" si="64">NOT(ISERROR(MATCH(AC58,schedule_courses,0)))</f>
        <v>1</v>
      </c>
      <c r="AE58" s="7">
        <f t="shared" ref="AE58:AE68" si="65">IF(AX58,0,IFERROR(INDEX(schedule_semester,MATCH(AC58,schedule_courses,0)), ""))</f>
        <v>8</v>
      </c>
      <c r="AF58" s="7" t="str">
        <f t="shared" ref="AF58:AF68" si="66">IF(ISNA(MATCH(AC58, $R$6:$R$7, 0)), "", $R$3)</f>
        <v/>
      </c>
      <c r="AG58" s="7" t="b">
        <f t="shared" ref="AG58:AG68" si="67">IF(AE58="", "", AE58&lt;AF58)</f>
        <v>1</v>
      </c>
      <c r="AH58" s="9"/>
      <c r="AI58" s="7" t="b">
        <f t="shared" ref="AI58:AI68" si="68">IF(AE58="", "", AE58&gt;=AH58)</f>
        <v>1</v>
      </c>
      <c r="AJ58" s="7">
        <f t="shared" ref="AJ58:AJ68" si="69">IF(AE58="","",IF(MOD(AE58,2)=0,2,1))</f>
        <v>2</v>
      </c>
      <c r="AK58" s="7"/>
      <c r="AL58" s="7" t="str">
        <f t="shared" ref="AL58:AL68" si="70">IF(AK58&lt;&gt;0, AK58&lt;&gt;AJ58, "")</f>
        <v/>
      </c>
      <c r="AM58" s="7"/>
      <c r="AN58" s="7" t="str">
        <f t="shared" ref="AN58:AN68" si="71">IFERROR(IF(AM58, INDEX(grade_number, MATCH(INDEX(schedule_grades, MATCH(AC58, schedule_courses, 0)), grade_letter, 0))&gt;=2, ""), "")</f>
        <v/>
      </c>
      <c r="AO58" s="188">
        <v>3</v>
      </c>
      <c r="AP58" s="7"/>
      <c r="AQ58" s="7" t="str">
        <f t="shared" si="58"/>
        <v/>
      </c>
      <c r="AR58" s="7" t="str">
        <f t="shared" si="59"/>
        <v/>
      </c>
      <c r="AS58" s="7" t="str">
        <f t="shared" si="60"/>
        <v/>
      </c>
      <c r="AT58" s="7"/>
      <c r="AU58" s="7" t="str">
        <f t="shared" si="61"/>
        <v/>
      </c>
      <c r="AV58" s="7" t="str">
        <f t="shared" si="62"/>
        <v/>
      </c>
      <c r="AW58" s="7" t="str">
        <f t="shared" si="63"/>
        <v/>
      </c>
      <c r="AX58" s="44"/>
      <c r="AY58" s="44"/>
      <c r="AZ58" s="118"/>
      <c r="BD58" s="14" t="s">
        <v>317</v>
      </c>
      <c r="BE58" s="26">
        <v>0</v>
      </c>
    </row>
    <row r="59" spans="1:57">
      <c r="A59">
        <v>0</v>
      </c>
      <c r="B59">
        <v>0</v>
      </c>
      <c r="C59">
        <v>0</v>
      </c>
      <c r="D59">
        <f t="shared" si="43"/>
        <v>0</v>
      </c>
      <c r="E59">
        <f t="shared" si="2"/>
        <v>0</v>
      </c>
      <c r="F59">
        <f t="shared" si="44"/>
        <v>0</v>
      </c>
      <c r="G59">
        <f t="shared" si="3"/>
        <v>3</v>
      </c>
      <c r="H59">
        <f t="shared" si="4"/>
        <v>0</v>
      </c>
      <c r="I59">
        <f>IF(Statistics!gpa_tf, G59*B59, G59*A59)</f>
        <v>0</v>
      </c>
      <c r="J59" s="45">
        <v>7</v>
      </c>
      <c r="K59" s="41"/>
      <c r="L59" s="41" t="s">
        <v>369</v>
      </c>
      <c r="M59" s="24">
        <v>3</v>
      </c>
      <c r="N59" s="24" t="str">
        <v/>
      </c>
      <c r="O59" s="41"/>
      <c r="P59" s="48"/>
      <c r="AB59" s="14"/>
      <c r="AC59" s="124" t="s">
        <v>341</v>
      </c>
      <c r="AD59" s="189" t="b">
        <f t="shared" si="64"/>
        <v>1</v>
      </c>
      <c r="AE59" s="7">
        <f t="shared" si="65"/>
        <v>6</v>
      </c>
      <c r="AF59" s="7" t="str">
        <f t="shared" si="66"/>
        <v/>
      </c>
      <c r="AG59" s="7" t="b">
        <f t="shared" si="67"/>
        <v>1</v>
      </c>
      <c r="AH59" s="9"/>
      <c r="AI59" s="7" t="b">
        <f t="shared" si="68"/>
        <v>1</v>
      </c>
      <c r="AJ59" s="7">
        <f t="shared" si="69"/>
        <v>2</v>
      </c>
      <c r="AK59" s="7"/>
      <c r="AL59" s="7" t="str">
        <f t="shared" si="70"/>
        <v/>
      </c>
      <c r="AM59" s="7"/>
      <c r="AN59" s="7" t="str">
        <f t="shared" si="71"/>
        <v/>
      </c>
      <c r="AO59" s="188">
        <v>3</v>
      </c>
      <c r="AP59" s="7"/>
      <c r="AQ59" s="7" t="str">
        <f t="shared" si="58"/>
        <v/>
      </c>
      <c r="AR59" s="7" t="str">
        <f t="shared" si="59"/>
        <v/>
      </c>
      <c r="AS59" s="7" t="str">
        <f t="shared" si="60"/>
        <v/>
      </c>
      <c r="AT59" s="7"/>
      <c r="AU59" s="7" t="str">
        <f t="shared" si="61"/>
        <v/>
      </c>
      <c r="AV59" s="7" t="str">
        <f t="shared" si="62"/>
        <v/>
      </c>
      <c r="AW59" s="7" t="str">
        <f t="shared" si="63"/>
        <v/>
      </c>
      <c r="AX59" s="44"/>
      <c r="AY59" s="44"/>
      <c r="AZ59" s="118"/>
      <c r="BD59" s="55"/>
    </row>
    <row r="60" spans="1:57">
      <c r="A60">
        <v>0</v>
      </c>
      <c r="B60">
        <v>0</v>
      </c>
      <c r="C60">
        <v>0</v>
      </c>
      <c r="D60">
        <f t="shared" si="43"/>
        <v>0</v>
      </c>
      <c r="E60">
        <f t="shared" si="2"/>
        <v>0</v>
      </c>
      <c r="F60">
        <f t="shared" si="44"/>
        <v>0</v>
      </c>
      <c r="G60">
        <f t="shared" si="3"/>
        <v>1.5</v>
      </c>
      <c r="H60">
        <f t="shared" si="4"/>
        <v>0</v>
      </c>
      <c r="I60">
        <f>IF(Statistics!gpa_tf, G60*B60, G60*A60)</f>
        <v>0</v>
      </c>
      <c r="J60" s="45">
        <v>7</v>
      </c>
      <c r="K60" s="41"/>
      <c r="L60" s="198" t="s">
        <v>299</v>
      </c>
      <c r="M60" s="24">
        <v>1.5</v>
      </c>
      <c r="N60" s="24" t="str">
        <v>GHW</v>
      </c>
      <c r="O60" s="41"/>
      <c r="P60" s="48"/>
      <c r="AB60" s="14"/>
      <c r="AC60" s="124" t="s">
        <v>342</v>
      </c>
      <c r="AD60" s="189" t="b">
        <f t="shared" si="64"/>
        <v>1</v>
      </c>
      <c r="AE60" s="7">
        <f t="shared" si="65"/>
        <v>6</v>
      </c>
      <c r="AF60" s="7" t="str">
        <f t="shared" si="66"/>
        <v/>
      </c>
      <c r="AG60" s="7" t="b">
        <f t="shared" si="67"/>
        <v>1</v>
      </c>
      <c r="AH60" s="9"/>
      <c r="AI60" s="7" t="b">
        <f t="shared" si="68"/>
        <v>1</v>
      </c>
      <c r="AJ60" s="7">
        <f t="shared" si="69"/>
        <v>2</v>
      </c>
      <c r="AK60" s="7"/>
      <c r="AL60" s="7" t="str">
        <f t="shared" si="70"/>
        <v/>
      </c>
      <c r="AM60" s="7"/>
      <c r="AN60" s="7" t="str">
        <f t="shared" si="71"/>
        <v/>
      </c>
      <c r="AO60" s="188">
        <v>3</v>
      </c>
      <c r="AP60" s="7"/>
      <c r="AQ60" s="7" t="str">
        <f t="shared" si="58"/>
        <v/>
      </c>
      <c r="AR60" s="7" t="str">
        <f t="shared" si="59"/>
        <v/>
      </c>
      <c r="AS60" s="7" t="str">
        <f t="shared" si="60"/>
        <v/>
      </c>
      <c r="AT60" s="7"/>
      <c r="AU60" s="7" t="str">
        <f t="shared" si="61"/>
        <v/>
      </c>
      <c r="AV60" s="7" t="str">
        <f t="shared" si="62"/>
        <v/>
      </c>
      <c r="AW60" s="7" t="str">
        <f t="shared" si="63"/>
        <v/>
      </c>
      <c r="AX60" s="44"/>
      <c r="AY60" s="44"/>
      <c r="AZ60" s="118"/>
      <c r="BD60" s="237" t="s">
        <v>321</v>
      </c>
    </row>
    <row r="61" spans="1:57">
      <c r="A61">
        <v>0</v>
      </c>
      <c r="B61">
        <v>0</v>
      </c>
      <c r="C61">
        <v>0</v>
      </c>
      <c r="D61">
        <f t="shared" si="43"/>
        <v>0</v>
      </c>
      <c r="E61">
        <f t="shared" si="2"/>
        <v>0</v>
      </c>
      <c r="F61">
        <f t="shared" si="44"/>
        <v>0</v>
      </c>
      <c r="G61">
        <f t="shared" si="3"/>
        <v>3</v>
      </c>
      <c r="H61">
        <f t="shared" si="4"/>
        <v>0</v>
      </c>
      <c r="I61">
        <f>IF(Statistics!gpa_tf, G61*B61, G61*A61)</f>
        <v>0</v>
      </c>
      <c r="J61" s="45">
        <v>7</v>
      </c>
      <c r="K61" s="41"/>
      <c r="L61" s="41" t="s">
        <v>264</v>
      </c>
      <c r="M61" s="24">
        <v>3</v>
      </c>
      <c r="N61" s="24" t="str">
        <v>GN</v>
      </c>
      <c r="O61" s="41"/>
      <c r="P61" s="48"/>
      <c r="AB61" s="14"/>
      <c r="AC61" s="124" t="s">
        <v>411</v>
      </c>
      <c r="AD61" s="189" t="b">
        <f t="shared" si="64"/>
        <v>1</v>
      </c>
      <c r="AE61" s="7">
        <f t="shared" si="65"/>
        <v>2</v>
      </c>
      <c r="AF61" s="7" t="str">
        <f t="shared" si="66"/>
        <v/>
      </c>
      <c r="AG61" s="7" t="b">
        <f t="shared" si="67"/>
        <v>1</v>
      </c>
      <c r="AH61" s="9"/>
      <c r="AI61" s="7" t="b">
        <f t="shared" si="68"/>
        <v>1</v>
      </c>
      <c r="AJ61" s="7">
        <f t="shared" si="69"/>
        <v>2</v>
      </c>
      <c r="AK61" s="7"/>
      <c r="AL61" s="7" t="str">
        <f t="shared" si="70"/>
        <v/>
      </c>
      <c r="AM61" s="7"/>
      <c r="AN61" s="7" t="str">
        <f t="shared" si="71"/>
        <v/>
      </c>
      <c r="AO61" s="188">
        <v>2</v>
      </c>
      <c r="AP61" s="7"/>
      <c r="AQ61" s="7" t="str">
        <f t="shared" si="58"/>
        <v/>
      </c>
      <c r="AR61" s="7" t="str">
        <f t="shared" si="59"/>
        <v/>
      </c>
      <c r="AS61" s="7" t="str">
        <f t="shared" si="60"/>
        <v/>
      </c>
      <c r="AT61" s="7"/>
      <c r="AU61" s="7" t="str">
        <f t="shared" si="61"/>
        <v/>
      </c>
      <c r="AV61" s="7" t="str">
        <f t="shared" si="62"/>
        <v/>
      </c>
      <c r="AW61" s="7" t="str">
        <f t="shared" si="63"/>
        <v/>
      </c>
      <c r="AX61" s="44"/>
      <c r="AY61" s="44"/>
      <c r="AZ61" s="118"/>
      <c r="BD61" s="33" t="b">
        <v>1</v>
      </c>
    </row>
    <row r="62" spans="1:57">
      <c r="A62">
        <v>0</v>
      </c>
      <c r="B62">
        <v>0</v>
      </c>
      <c r="C62">
        <v>0</v>
      </c>
      <c r="D62">
        <f t="shared" si="43"/>
        <v>0</v>
      </c>
      <c r="E62">
        <f t="shared" si="2"/>
        <v>0</v>
      </c>
      <c r="F62">
        <f t="shared" si="44"/>
        <v>0</v>
      </c>
      <c r="G62">
        <f t="shared" si="3"/>
        <v>0</v>
      </c>
      <c r="H62">
        <f t="shared" si="4"/>
        <v>0</v>
      </c>
      <c r="I62">
        <f>IF(Statistics!gpa_tf, G62*B62, G62*A62)</f>
        <v>0</v>
      </c>
      <c r="J62" s="45">
        <v>7</v>
      </c>
      <c r="K62" s="41"/>
      <c r="L62" s="41"/>
      <c r="M62" s="24" t="str">
        <v/>
      </c>
      <c r="N62" s="24" t="str">
        <v/>
      </c>
      <c r="O62" s="41"/>
      <c r="P62" s="48"/>
      <c r="AB62" s="14"/>
      <c r="AC62" s="124" t="s">
        <v>412</v>
      </c>
      <c r="AD62" s="189" t="b">
        <f t="shared" si="64"/>
        <v>1</v>
      </c>
      <c r="AE62" s="7">
        <f t="shared" si="65"/>
        <v>3</v>
      </c>
      <c r="AF62" s="7" t="str">
        <f t="shared" si="66"/>
        <v/>
      </c>
      <c r="AG62" s="7" t="b">
        <f t="shared" si="67"/>
        <v>1</v>
      </c>
      <c r="AH62" s="9"/>
      <c r="AI62" s="7" t="b">
        <f t="shared" si="68"/>
        <v>1</v>
      </c>
      <c r="AJ62" s="7">
        <f t="shared" si="69"/>
        <v>1</v>
      </c>
      <c r="AK62" s="7"/>
      <c r="AL62" s="7" t="str">
        <f t="shared" si="70"/>
        <v/>
      </c>
      <c r="AM62" s="7"/>
      <c r="AN62" s="7" t="str">
        <f t="shared" si="71"/>
        <v/>
      </c>
      <c r="AO62" s="188">
        <v>2</v>
      </c>
      <c r="AP62" s="7"/>
      <c r="AQ62" s="7" t="str">
        <f t="shared" si="58"/>
        <v/>
      </c>
      <c r="AR62" s="7" t="str">
        <f t="shared" si="59"/>
        <v/>
      </c>
      <c r="AS62" s="7" t="str">
        <f t="shared" si="60"/>
        <v/>
      </c>
      <c r="AT62" s="7"/>
      <c r="AU62" s="7" t="str">
        <f t="shared" si="61"/>
        <v/>
      </c>
      <c r="AV62" s="7" t="str">
        <f t="shared" si="62"/>
        <v/>
      </c>
      <c r="AW62" s="7" t="str">
        <f t="shared" si="63"/>
        <v/>
      </c>
      <c r="AX62" s="44"/>
      <c r="AY62" s="44"/>
      <c r="AZ62" s="118"/>
      <c r="BD62" s="34" t="b">
        <v>0</v>
      </c>
    </row>
    <row r="63" spans="1:57">
      <c r="A63">
        <v>0</v>
      </c>
      <c r="B63">
        <v>0</v>
      </c>
      <c r="C63">
        <v>0</v>
      </c>
      <c r="D63">
        <f t="shared" si="43"/>
        <v>0</v>
      </c>
      <c r="E63">
        <f t="shared" si="2"/>
        <v>0</v>
      </c>
      <c r="F63">
        <f t="shared" si="44"/>
        <v>0</v>
      </c>
      <c r="G63">
        <f t="shared" si="3"/>
        <v>0</v>
      </c>
      <c r="H63">
        <f t="shared" si="4"/>
        <v>0</v>
      </c>
      <c r="I63">
        <f>IF(Statistics!gpa_tf, G63*B63, G63*A63)</f>
        <v>0</v>
      </c>
      <c r="J63" s="45">
        <v>7</v>
      </c>
      <c r="K63" s="41"/>
      <c r="L63" s="41"/>
      <c r="M63" s="24" t="str">
        <v/>
      </c>
      <c r="N63" s="24" t="str">
        <v/>
      </c>
      <c r="O63" s="41"/>
      <c r="P63" s="48"/>
      <c r="AB63" s="14"/>
      <c r="AC63" s="124" t="s">
        <v>413</v>
      </c>
      <c r="AD63" s="189" t="b">
        <f t="shared" si="64"/>
        <v>1</v>
      </c>
      <c r="AE63" s="7">
        <f t="shared" si="65"/>
        <v>4</v>
      </c>
      <c r="AF63" s="7" t="str">
        <f t="shared" si="66"/>
        <v/>
      </c>
      <c r="AG63" s="7" t="b">
        <f t="shared" si="67"/>
        <v>1</v>
      </c>
      <c r="AH63" s="9"/>
      <c r="AI63" s="7" t="b">
        <f t="shared" si="68"/>
        <v>1</v>
      </c>
      <c r="AJ63" s="7">
        <f t="shared" si="69"/>
        <v>2</v>
      </c>
      <c r="AK63" s="7"/>
      <c r="AL63" s="7" t="str">
        <f t="shared" si="70"/>
        <v/>
      </c>
      <c r="AM63" s="7"/>
      <c r="AN63" s="7" t="str">
        <f t="shared" si="71"/>
        <v/>
      </c>
      <c r="AO63" s="188">
        <v>2</v>
      </c>
      <c r="AP63" s="7"/>
      <c r="AQ63" s="7" t="str">
        <f t="shared" si="58"/>
        <v/>
      </c>
      <c r="AR63" s="7" t="str">
        <f t="shared" si="59"/>
        <v/>
      </c>
      <c r="AS63" s="7" t="str">
        <f t="shared" si="60"/>
        <v/>
      </c>
      <c r="AT63" s="7"/>
      <c r="AU63" s="7" t="str">
        <f t="shared" si="61"/>
        <v/>
      </c>
      <c r="AV63" s="7" t="str">
        <f t="shared" si="62"/>
        <v/>
      </c>
      <c r="AW63" s="7" t="str">
        <f t="shared" si="63"/>
        <v/>
      </c>
      <c r="AX63" s="44"/>
      <c r="AY63" s="44"/>
      <c r="AZ63" s="118"/>
      <c r="BD63" s="24"/>
    </row>
    <row r="64" spans="1:57">
      <c r="A64">
        <v>0</v>
      </c>
      <c r="B64">
        <v>0</v>
      </c>
      <c r="C64">
        <v>0</v>
      </c>
      <c r="D64">
        <f t="shared" si="43"/>
        <v>0</v>
      </c>
      <c r="E64">
        <f t="shared" si="2"/>
        <v>0</v>
      </c>
      <c r="F64">
        <f t="shared" si="44"/>
        <v>0</v>
      </c>
      <c r="G64">
        <f t="shared" si="3"/>
        <v>0</v>
      </c>
      <c r="H64">
        <f t="shared" si="4"/>
        <v>0</v>
      </c>
      <c r="I64">
        <f>IF(Statistics!gpa_tf, G64*B64, G64*A64)</f>
        <v>0</v>
      </c>
      <c r="J64" s="54">
        <v>7</v>
      </c>
      <c r="K64" s="43"/>
      <c r="L64" s="43"/>
      <c r="M64" s="10" t="str">
        <v/>
      </c>
      <c r="N64" s="10" t="str">
        <v/>
      </c>
      <c r="O64" s="43"/>
      <c r="P64" s="49"/>
      <c r="AB64" s="14"/>
      <c r="AC64" s="124" t="s">
        <v>414</v>
      </c>
      <c r="AD64" s="189" t="b">
        <f t="shared" si="64"/>
        <v>0</v>
      </c>
      <c r="AE64" s="7" t="str">
        <f t="shared" si="65"/>
        <v/>
      </c>
      <c r="AF64" s="7" t="str">
        <f t="shared" si="66"/>
        <v/>
      </c>
      <c r="AG64" s="7" t="str">
        <f t="shared" si="67"/>
        <v/>
      </c>
      <c r="AH64" s="9"/>
      <c r="AI64" s="7" t="str">
        <f t="shared" si="68"/>
        <v/>
      </c>
      <c r="AJ64" s="7" t="str">
        <f t="shared" si="69"/>
        <v/>
      </c>
      <c r="AK64" s="7"/>
      <c r="AL64" s="7" t="str">
        <f t="shared" si="70"/>
        <v/>
      </c>
      <c r="AM64" s="7"/>
      <c r="AN64" s="7" t="str">
        <f t="shared" si="71"/>
        <v/>
      </c>
      <c r="AO64" s="188">
        <v>1</v>
      </c>
      <c r="AP64" s="7"/>
      <c r="AQ64" s="7" t="str">
        <f t="shared" si="58"/>
        <v/>
      </c>
      <c r="AR64" s="7" t="str">
        <f t="shared" si="59"/>
        <v/>
      </c>
      <c r="AS64" s="7" t="str">
        <f t="shared" si="60"/>
        <v/>
      </c>
      <c r="AT64" s="7"/>
      <c r="AU64" s="7" t="str">
        <f t="shared" si="61"/>
        <v/>
      </c>
      <c r="AV64" s="7" t="str">
        <f t="shared" si="62"/>
        <v/>
      </c>
      <c r="AW64" s="7" t="str">
        <f t="shared" si="63"/>
        <v/>
      </c>
      <c r="AX64" s="44"/>
      <c r="AY64" s="44"/>
      <c r="AZ64" s="118"/>
      <c r="BD64" s="36" t="s">
        <v>325</v>
      </c>
    </row>
    <row r="65" spans="1:56">
      <c r="A65">
        <v>0</v>
      </c>
      <c r="B65">
        <v>0</v>
      </c>
      <c r="C65">
        <v>0</v>
      </c>
      <c r="D65">
        <f t="shared" si="43"/>
        <v>0</v>
      </c>
      <c r="E65">
        <f t="shared" si="2"/>
        <v>0</v>
      </c>
      <c r="F65">
        <f t="shared" si="44"/>
        <v>0</v>
      </c>
      <c r="G65">
        <f t="shared" si="3"/>
        <v>3</v>
      </c>
      <c r="H65">
        <f t="shared" si="4"/>
        <v>0</v>
      </c>
      <c r="I65">
        <f>IF(Statistics!gpa_tf, G65*B65, G65*A65)</f>
        <v>0</v>
      </c>
      <c r="J65" s="50">
        <v>8</v>
      </c>
      <c r="K65" s="41"/>
      <c r="L65" s="51" t="s">
        <v>275</v>
      </c>
      <c r="M65" s="55">
        <v>3</v>
      </c>
      <c r="N65" s="24" t="str">
        <v/>
      </c>
      <c r="O65" s="41"/>
      <c r="P65" s="48"/>
      <c r="AB65" s="14"/>
      <c r="AC65" s="124" t="s">
        <v>415</v>
      </c>
      <c r="AD65" s="189" t="b">
        <f t="shared" si="64"/>
        <v>0</v>
      </c>
      <c r="AE65" s="7" t="str">
        <f t="shared" si="65"/>
        <v/>
      </c>
      <c r="AF65" s="7" t="str">
        <f t="shared" si="66"/>
        <v/>
      </c>
      <c r="AG65" s="7" t="str">
        <f t="shared" si="67"/>
        <v/>
      </c>
      <c r="AH65" s="9"/>
      <c r="AI65" s="7" t="str">
        <f t="shared" si="68"/>
        <v/>
      </c>
      <c r="AJ65" s="7" t="str">
        <f t="shared" si="69"/>
        <v/>
      </c>
      <c r="AK65" s="7"/>
      <c r="AL65" s="7" t="str">
        <f t="shared" si="70"/>
        <v/>
      </c>
      <c r="AM65" s="7"/>
      <c r="AN65" s="7" t="str">
        <f t="shared" si="71"/>
        <v/>
      </c>
      <c r="AO65" s="188">
        <v>1</v>
      </c>
      <c r="AP65" s="7"/>
      <c r="AQ65" s="7" t="str">
        <f t="shared" si="58"/>
        <v/>
      </c>
      <c r="AR65" s="7" t="str">
        <f t="shared" si="59"/>
        <v/>
      </c>
      <c r="AS65" s="7" t="str">
        <f t="shared" si="60"/>
        <v/>
      </c>
      <c r="AT65" s="7"/>
      <c r="AU65" s="7" t="str">
        <f t="shared" si="61"/>
        <v/>
      </c>
      <c r="AV65" s="7" t="str">
        <f t="shared" si="62"/>
        <v/>
      </c>
      <c r="AW65" s="7" t="str">
        <f t="shared" si="63"/>
        <v/>
      </c>
      <c r="AX65" s="44"/>
      <c r="AY65" s="44"/>
      <c r="AZ65" s="118"/>
      <c r="BD65" s="33" t="s">
        <v>228</v>
      </c>
    </row>
    <row r="66" spans="1:56">
      <c r="A66">
        <v>0</v>
      </c>
      <c r="B66">
        <v>0</v>
      </c>
      <c r="C66">
        <v>0</v>
      </c>
      <c r="D66">
        <f t="shared" ref="D66:D82" si="72">IFERROR(INDEX(grade_number, MATCH(K66, grade_letter, 0))*M66,0)</f>
        <v>0</v>
      </c>
      <c r="E66">
        <f t="shared" si="2"/>
        <v>0</v>
      </c>
      <c r="F66">
        <f t="shared" ref="F66:F82" si="73">IF(gpa_tf, D66*B66, D66*A66)</f>
        <v>0</v>
      </c>
      <c r="G66">
        <f t="shared" si="3"/>
        <v>3</v>
      </c>
      <c r="H66">
        <f t="shared" si="4"/>
        <v>0</v>
      </c>
      <c r="I66">
        <f>IF(Statistics!gpa_tf, G66*B66, G66*A66)</f>
        <v>0</v>
      </c>
      <c r="J66" s="46">
        <v>8</v>
      </c>
      <c r="K66" s="41"/>
      <c r="L66" s="41" t="s">
        <v>210</v>
      </c>
      <c r="M66" s="24">
        <v>3</v>
      </c>
      <c r="N66" s="24" t="str">
        <v/>
      </c>
      <c r="O66" s="41"/>
      <c r="P66" s="48"/>
      <c r="AB66" s="14"/>
      <c r="AC66" s="124" t="s">
        <v>416</v>
      </c>
      <c r="AD66" s="189" t="b">
        <f t="shared" si="64"/>
        <v>1</v>
      </c>
      <c r="AE66" s="7">
        <f t="shared" si="65"/>
        <v>5</v>
      </c>
      <c r="AF66" s="7" t="str">
        <f t="shared" si="66"/>
        <v/>
      </c>
      <c r="AG66" s="7" t="b">
        <f t="shared" si="67"/>
        <v>1</v>
      </c>
      <c r="AH66" s="9"/>
      <c r="AI66" s="7" t="b">
        <f t="shared" si="68"/>
        <v>1</v>
      </c>
      <c r="AJ66" s="7">
        <f t="shared" si="69"/>
        <v>1</v>
      </c>
      <c r="AK66" s="7"/>
      <c r="AL66" s="7" t="str">
        <f t="shared" si="70"/>
        <v/>
      </c>
      <c r="AM66" s="7"/>
      <c r="AN66" s="7" t="str">
        <f t="shared" si="71"/>
        <v/>
      </c>
      <c r="AO66" s="44">
        <v>3</v>
      </c>
      <c r="AP66" s="7"/>
      <c r="AQ66" s="7" t="str">
        <f t="shared" si="58"/>
        <v/>
      </c>
      <c r="AR66" s="7" t="str">
        <f t="shared" si="59"/>
        <v/>
      </c>
      <c r="AS66" s="7" t="str">
        <f t="shared" si="60"/>
        <v/>
      </c>
      <c r="AT66" s="7"/>
      <c r="AU66" s="7" t="str">
        <f t="shared" si="61"/>
        <v/>
      </c>
      <c r="AV66" s="7" t="str">
        <f t="shared" si="62"/>
        <v/>
      </c>
      <c r="AW66" s="7" t="str">
        <f t="shared" si="63"/>
        <v/>
      </c>
      <c r="AX66" s="44"/>
      <c r="AY66" s="44"/>
      <c r="AZ66" s="118"/>
      <c r="BD66" s="34" t="s">
        <v>232</v>
      </c>
    </row>
    <row r="67" spans="1:56">
      <c r="A67">
        <v>0</v>
      </c>
      <c r="B67">
        <v>0</v>
      </c>
      <c r="C67">
        <v>0</v>
      </c>
      <c r="D67">
        <f t="shared" si="72"/>
        <v>0</v>
      </c>
      <c r="E67">
        <f t="shared" ref="E67:E82" si="74">D67*C67</f>
        <v>0</v>
      </c>
      <c r="F67">
        <f t="shared" si="73"/>
        <v>0</v>
      </c>
      <c r="G67">
        <f t="shared" ref="G67:G82" si="75">IF(M67="",0,M67)</f>
        <v>3</v>
      </c>
      <c r="H67">
        <f t="shared" ref="H67:H82" si="76">G67*C67</f>
        <v>0</v>
      </c>
      <c r="I67">
        <f>IF(Statistics!gpa_tf, G67*B67, G67*A67)</f>
        <v>0</v>
      </c>
      <c r="J67" s="46">
        <v>8</v>
      </c>
      <c r="K67" s="41"/>
      <c r="L67" s="41" t="s">
        <v>345</v>
      </c>
      <c r="M67" s="24">
        <v>3</v>
      </c>
      <c r="N67" s="24" t="str">
        <v/>
      </c>
      <c r="O67" s="41"/>
      <c r="P67" s="48"/>
      <c r="AB67" s="14"/>
      <c r="AC67" s="124" t="s">
        <v>417</v>
      </c>
      <c r="AD67" s="189" t="b">
        <f t="shared" si="64"/>
        <v>1</v>
      </c>
      <c r="AE67" s="7">
        <f t="shared" si="65"/>
        <v>6</v>
      </c>
      <c r="AF67" s="7" t="str">
        <f t="shared" si="66"/>
        <v/>
      </c>
      <c r="AG67" s="7" t="b">
        <f t="shared" si="67"/>
        <v>1</v>
      </c>
      <c r="AH67" s="9"/>
      <c r="AI67" s="7" t="b">
        <f t="shared" si="68"/>
        <v>1</v>
      </c>
      <c r="AJ67" s="7">
        <f t="shared" si="69"/>
        <v>2</v>
      </c>
      <c r="AK67" s="7"/>
      <c r="AL67" s="7" t="str">
        <f t="shared" si="70"/>
        <v/>
      </c>
      <c r="AM67" s="7"/>
      <c r="AN67" s="7" t="str">
        <f t="shared" si="71"/>
        <v/>
      </c>
      <c r="AO67" s="44">
        <v>3</v>
      </c>
      <c r="AP67" s="7"/>
      <c r="AQ67" s="7" t="str">
        <f t="shared" si="58"/>
        <v/>
      </c>
      <c r="AR67" s="7" t="str">
        <f t="shared" si="59"/>
        <v/>
      </c>
      <c r="AS67" s="7" t="str">
        <f t="shared" si="60"/>
        <v/>
      </c>
      <c r="AT67" s="7"/>
      <c r="AU67" s="7" t="str">
        <f t="shared" si="61"/>
        <v/>
      </c>
      <c r="AV67" s="7" t="str">
        <f t="shared" si="62"/>
        <v/>
      </c>
      <c r="AW67" s="7" t="str">
        <f t="shared" si="63"/>
        <v/>
      </c>
      <c r="AX67" s="44"/>
      <c r="AY67" s="44"/>
      <c r="AZ67" s="118"/>
      <c r="BD67" s="24"/>
    </row>
    <row r="68" spans="1:56">
      <c r="A68">
        <v>0</v>
      </c>
      <c r="B68">
        <v>0</v>
      </c>
      <c r="C68">
        <v>0</v>
      </c>
      <c r="D68">
        <f t="shared" si="72"/>
        <v>0</v>
      </c>
      <c r="E68">
        <f t="shared" si="74"/>
        <v>0</v>
      </c>
      <c r="F68">
        <f t="shared" si="73"/>
        <v>0</v>
      </c>
      <c r="G68">
        <f t="shared" si="75"/>
        <v>3</v>
      </c>
      <c r="H68">
        <f t="shared" si="76"/>
        <v>0</v>
      </c>
      <c r="I68">
        <f>IF(Statistics!gpa_tf, G68*B68, G68*A68)</f>
        <v>0</v>
      </c>
      <c r="J68" s="46">
        <v>8</v>
      </c>
      <c r="K68" s="41"/>
      <c r="L68" s="41" t="s">
        <v>420</v>
      </c>
      <c r="M68" s="24">
        <v>3</v>
      </c>
      <c r="N68" s="24" t="str">
        <v/>
      </c>
      <c r="O68" s="41"/>
      <c r="P68" s="48"/>
      <c r="AB68" s="14"/>
      <c r="AC68" s="124" t="s">
        <v>418</v>
      </c>
      <c r="AD68" s="189" t="b">
        <f t="shared" si="64"/>
        <v>0</v>
      </c>
      <c r="AE68" s="7" t="str">
        <f t="shared" si="65"/>
        <v/>
      </c>
      <c r="AF68" s="7" t="str">
        <f t="shared" si="66"/>
        <v/>
      </c>
      <c r="AG68" s="7" t="str">
        <f t="shared" si="67"/>
        <v/>
      </c>
      <c r="AH68" s="9"/>
      <c r="AI68" s="7" t="str">
        <f t="shared" si="68"/>
        <v/>
      </c>
      <c r="AJ68" s="7" t="str">
        <f t="shared" si="69"/>
        <v/>
      </c>
      <c r="AK68" s="7"/>
      <c r="AL68" s="7" t="str">
        <f t="shared" si="70"/>
        <v/>
      </c>
      <c r="AM68" s="7"/>
      <c r="AN68" s="7" t="str">
        <f t="shared" si="71"/>
        <v/>
      </c>
      <c r="AO68" s="44">
        <v>1</v>
      </c>
      <c r="AP68" s="7"/>
      <c r="AQ68" s="7" t="str">
        <f t="shared" si="58"/>
        <v/>
      </c>
      <c r="AR68" s="7" t="str">
        <f t="shared" si="59"/>
        <v/>
      </c>
      <c r="AS68" s="7" t="str">
        <f t="shared" si="60"/>
        <v/>
      </c>
      <c r="AT68" s="7"/>
      <c r="AU68" s="7" t="str">
        <f t="shared" si="61"/>
        <v/>
      </c>
      <c r="AV68" s="7" t="str">
        <f t="shared" si="62"/>
        <v/>
      </c>
      <c r="AW68" s="7" t="str">
        <f t="shared" si="63"/>
        <v/>
      </c>
      <c r="AX68" s="44"/>
      <c r="AY68" s="44"/>
      <c r="AZ68" s="118"/>
      <c r="BD68" s="24"/>
    </row>
    <row r="69" spans="1:56">
      <c r="A69">
        <v>0</v>
      </c>
      <c r="B69">
        <v>0</v>
      </c>
      <c r="C69">
        <v>0</v>
      </c>
      <c r="D69">
        <f t="shared" si="72"/>
        <v>0</v>
      </c>
      <c r="E69">
        <f t="shared" si="74"/>
        <v>0</v>
      </c>
      <c r="F69">
        <f t="shared" si="73"/>
        <v>0</v>
      </c>
      <c r="G69">
        <f t="shared" si="75"/>
        <v>3</v>
      </c>
      <c r="H69">
        <f t="shared" si="76"/>
        <v>0</v>
      </c>
      <c r="I69">
        <f>IF(Statistics!gpa_tf, G69*B69, G69*A69)</f>
        <v>0</v>
      </c>
      <c r="J69" s="46">
        <v>8</v>
      </c>
      <c r="K69" s="41"/>
      <c r="L69" s="41" t="s">
        <v>264</v>
      </c>
      <c r="M69" s="24">
        <v>3</v>
      </c>
      <c r="N69" s="24" t="str">
        <v>GN</v>
      </c>
      <c r="O69" s="41"/>
      <c r="P69" s="48"/>
      <c r="AB69" s="75"/>
      <c r="AC69" s="123"/>
      <c r="AD69" s="9"/>
      <c r="AE69" s="7"/>
      <c r="AF69" s="7"/>
      <c r="AG69" s="7"/>
      <c r="AH69" s="9"/>
      <c r="AI69" s="7"/>
      <c r="AJ69" s="7"/>
      <c r="AK69" s="7"/>
      <c r="AL69" s="7"/>
      <c r="AM69" s="7"/>
      <c r="AN69" s="7"/>
      <c r="AO69" s="7"/>
      <c r="AP69" s="7"/>
      <c r="AQ69" s="7"/>
      <c r="AR69" s="7"/>
      <c r="AS69" s="7"/>
      <c r="AT69" s="7"/>
      <c r="AU69" s="7"/>
      <c r="AV69" s="7"/>
      <c r="AW69" s="7"/>
      <c r="AX69" s="147"/>
      <c r="AY69" s="7"/>
      <c r="AZ69" s="118"/>
      <c r="BD69" s="24"/>
    </row>
    <row r="70" spans="1:56" ht="93.6">
      <c r="A70">
        <v>0</v>
      </c>
      <c r="B70">
        <v>0</v>
      </c>
      <c r="C70">
        <v>0</v>
      </c>
      <c r="D70">
        <f t="shared" si="72"/>
        <v>0</v>
      </c>
      <c r="E70">
        <f t="shared" si="74"/>
        <v>0</v>
      </c>
      <c r="F70">
        <f t="shared" si="73"/>
        <v>0</v>
      </c>
      <c r="G70">
        <f t="shared" si="75"/>
        <v>0</v>
      </c>
      <c r="H70">
        <f t="shared" si="76"/>
        <v>0</v>
      </c>
      <c r="I70">
        <f>IF(Statistics!gpa_tf, G70*B70, G70*A70)</f>
        <v>0</v>
      </c>
      <c r="J70" s="46">
        <v>8</v>
      </c>
      <c r="K70" s="41"/>
      <c r="L70" s="198"/>
      <c r="M70" s="24" t="str">
        <v/>
      </c>
      <c r="N70" s="24" t="str">
        <v/>
      </c>
      <c r="O70" s="41"/>
      <c r="P70" s="48"/>
      <c r="AB70" s="149" t="s">
        <v>310</v>
      </c>
      <c r="AC70" s="130"/>
      <c r="AD70" s="104"/>
      <c r="AE70" s="5"/>
      <c r="AF70" s="5"/>
      <c r="AG70" s="5"/>
      <c r="AH70" s="5"/>
      <c r="AI70" s="5"/>
      <c r="AJ70" s="5"/>
      <c r="AK70" s="5"/>
      <c r="AL70" s="5"/>
      <c r="AM70" s="5"/>
      <c r="AN70" s="5"/>
      <c r="AO70" s="5">
        <v>13</v>
      </c>
      <c r="AP70" s="10"/>
      <c r="AQ70" s="5"/>
      <c r="AR70" s="10"/>
      <c r="AS70" s="10"/>
      <c r="AT70" s="10"/>
      <c r="AU70" s="5"/>
      <c r="AV70" s="5"/>
      <c r="AW70" s="5"/>
      <c r="AX70" s="148"/>
      <c r="AY70" s="10"/>
      <c r="AZ70" s="119"/>
      <c r="BD70" s="24"/>
    </row>
    <row r="71" spans="1:56">
      <c r="A71">
        <v>0</v>
      </c>
      <c r="B71">
        <v>0</v>
      </c>
      <c r="C71">
        <v>0</v>
      </c>
      <c r="D71">
        <f t="shared" si="72"/>
        <v>0</v>
      </c>
      <c r="E71">
        <f t="shared" si="74"/>
        <v>0</v>
      </c>
      <c r="F71">
        <f t="shared" si="73"/>
        <v>0</v>
      </c>
      <c r="G71">
        <f t="shared" si="75"/>
        <v>0</v>
      </c>
      <c r="H71">
        <f t="shared" si="76"/>
        <v>0</v>
      </c>
      <c r="I71">
        <f>IF(Statistics!gpa_tf, G71*B71, G71*A71)</f>
        <v>0</v>
      </c>
      <c r="J71" s="46">
        <v>8</v>
      </c>
      <c r="K71" s="41"/>
      <c r="L71" s="41"/>
      <c r="M71" s="24" t="str">
        <v/>
      </c>
      <c r="N71" s="24" t="str">
        <v/>
      </c>
      <c r="O71" s="41"/>
      <c r="P71" s="48"/>
      <c r="AT71" s="3"/>
      <c r="AU71" s="3"/>
      <c r="AV71" s="3"/>
      <c r="AW71" s="3"/>
      <c r="AX71" s="4"/>
      <c r="AY71" s="4"/>
      <c r="AZ71" s="4"/>
      <c r="BD71" s="73"/>
    </row>
    <row r="72" spans="1:56">
      <c r="A72">
        <v>0</v>
      </c>
      <c r="B72">
        <v>0</v>
      </c>
      <c r="C72">
        <v>0</v>
      </c>
      <c r="D72">
        <f t="shared" si="72"/>
        <v>0</v>
      </c>
      <c r="E72">
        <f t="shared" si="74"/>
        <v>0</v>
      </c>
      <c r="F72">
        <f t="shared" si="73"/>
        <v>0</v>
      </c>
      <c r="G72">
        <f t="shared" si="75"/>
        <v>0</v>
      </c>
      <c r="H72">
        <f t="shared" si="76"/>
        <v>0</v>
      </c>
      <c r="I72">
        <f>IF(Statistics!gpa_tf, G72*B72, G72*A72)</f>
        <v>0</v>
      </c>
      <c r="J72" s="46">
        <v>8</v>
      </c>
      <c r="K72" s="41"/>
      <c r="L72" s="41"/>
      <c r="M72" s="24" t="str">
        <v/>
      </c>
      <c r="N72" s="24" t="str">
        <v/>
      </c>
      <c r="O72" s="41"/>
      <c r="P72" s="48"/>
      <c r="AT72" s="29"/>
      <c r="AU72" s="29"/>
      <c r="AV72" s="29"/>
      <c r="AW72" s="29"/>
      <c r="BD72" s="24"/>
    </row>
    <row r="73" spans="1:56" ht="96" customHeight="1">
      <c r="A73">
        <v>0</v>
      </c>
      <c r="B73">
        <v>0</v>
      </c>
      <c r="C73">
        <v>0</v>
      </c>
      <c r="D73">
        <f t="shared" si="72"/>
        <v>0</v>
      </c>
      <c r="E73">
        <f t="shared" si="74"/>
        <v>0</v>
      </c>
      <c r="F73">
        <f t="shared" si="73"/>
        <v>0</v>
      </c>
      <c r="G73">
        <f t="shared" si="75"/>
        <v>0</v>
      </c>
      <c r="H73">
        <f t="shared" si="76"/>
        <v>0</v>
      </c>
      <c r="I73">
        <f>IF(Statistics!gpa_tf, G73*B73, G73*A73)</f>
        <v>0</v>
      </c>
      <c r="J73" s="47">
        <v>8</v>
      </c>
      <c r="K73" s="41"/>
      <c r="L73" s="41"/>
      <c r="M73" s="24" t="str">
        <v/>
      </c>
      <c r="N73" s="24" t="str">
        <v/>
      </c>
      <c r="O73" s="41"/>
      <c r="P73" s="48"/>
      <c r="BD73" s="24"/>
    </row>
    <row r="74" spans="1:56">
      <c r="A74">
        <v>0</v>
      </c>
      <c r="B74">
        <v>1</v>
      </c>
      <c r="C74">
        <v>1</v>
      </c>
      <c r="D74">
        <f t="shared" si="72"/>
        <v>0</v>
      </c>
      <c r="E74">
        <f t="shared" si="74"/>
        <v>0</v>
      </c>
      <c r="F74">
        <f t="shared" si="73"/>
        <v>0</v>
      </c>
      <c r="G74">
        <f t="shared" si="75"/>
        <v>0</v>
      </c>
      <c r="H74">
        <f t="shared" si="76"/>
        <v>0</v>
      </c>
      <c r="I74">
        <f>IF(Statistics!gpa_tf, G74*B74, G74*A74)</f>
        <v>0</v>
      </c>
      <c r="J74" s="169"/>
      <c r="K74" s="51"/>
      <c r="L74" s="51"/>
      <c r="M74" s="55" t="str">
        <v/>
      </c>
      <c r="N74" s="55" t="str">
        <v/>
      </c>
      <c r="O74" s="51"/>
      <c r="P74" s="52"/>
      <c r="AB74" s="132" t="s">
        <v>337</v>
      </c>
      <c r="AC74" s="92"/>
      <c r="AD74" s="92"/>
      <c r="AE74" s="92"/>
      <c r="AF74" s="92"/>
      <c r="AG74" s="92"/>
      <c r="AH74" s="92"/>
      <c r="AI74" s="92"/>
      <c r="AJ74" s="92"/>
      <c r="AK74" s="92"/>
      <c r="AL74" s="92"/>
      <c r="AM74" s="92"/>
      <c r="AN74" s="92"/>
      <c r="AO74" s="92"/>
      <c r="AP74" s="92"/>
      <c r="AQ74" s="92"/>
      <c r="AR74" s="92"/>
      <c r="AS74" s="92"/>
      <c r="AT74" s="92"/>
      <c r="AU74" s="92"/>
      <c r="AV74" s="92"/>
      <c r="AW74" s="92"/>
      <c r="AX74" s="92"/>
      <c r="AY74" s="92"/>
      <c r="AZ74" s="94"/>
      <c r="BD74" s="24"/>
    </row>
    <row r="75" spans="1:56">
      <c r="A75">
        <v>0</v>
      </c>
      <c r="B75">
        <v>1</v>
      </c>
      <c r="C75">
        <v>1</v>
      </c>
      <c r="D75">
        <f t="shared" si="72"/>
        <v>0</v>
      </c>
      <c r="E75">
        <f t="shared" si="74"/>
        <v>0</v>
      </c>
      <c r="F75">
        <f t="shared" si="73"/>
        <v>0</v>
      </c>
      <c r="G75">
        <f t="shared" si="75"/>
        <v>0</v>
      </c>
      <c r="H75">
        <f t="shared" si="76"/>
        <v>0</v>
      </c>
      <c r="I75">
        <f>IF(Statistics!gpa_tf, G75*B75, G75*A75)</f>
        <v>0</v>
      </c>
      <c r="J75" s="170"/>
      <c r="K75" s="41"/>
      <c r="L75" s="41"/>
      <c r="M75" s="24" t="str">
        <v/>
      </c>
      <c r="N75" s="24" t="str">
        <v/>
      </c>
      <c r="O75" s="41"/>
      <c r="P75" s="48"/>
      <c r="AB75" s="89" t="s">
        <v>73</v>
      </c>
      <c r="AC75" s="88" t="s">
        <v>33</v>
      </c>
      <c r="AD75" s="5" t="s">
        <v>104</v>
      </c>
      <c r="AE75" s="5" t="s">
        <v>105</v>
      </c>
      <c r="AF75" s="5" t="s">
        <v>106</v>
      </c>
      <c r="AG75" s="5" t="s">
        <v>107</v>
      </c>
      <c r="AH75" s="5" t="s">
        <v>108</v>
      </c>
      <c r="AI75" s="5" t="s">
        <v>109</v>
      </c>
      <c r="AJ75" s="5" t="s">
        <v>110</v>
      </c>
      <c r="AK75" s="5" t="s">
        <v>111</v>
      </c>
      <c r="AL75" s="5" t="s">
        <v>112</v>
      </c>
      <c r="AM75" s="5" t="s">
        <v>113</v>
      </c>
      <c r="AN75" s="5" t="s">
        <v>114</v>
      </c>
      <c r="AO75" s="88" t="s">
        <v>35</v>
      </c>
      <c r="AP75" s="88" t="s">
        <v>77</v>
      </c>
      <c r="AQ75" s="91" t="s">
        <v>104</v>
      </c>
      <c r="AR75" s="5" t="s">
        <v>105</v>
      </c>
      <c r="AS75" s="5" t="s">
        <v>115</v>
      </c>
      <c r="AT75" s="88" t="s">
        <v>79</v>
      </c>
      <c r="AU75" s="91" t="s">
        <v>104</v>
      </c>
      <c r="AV75" s="91" t="s">
        <v>105</v>
      </c>
      <c r="AW75" s="5" t="s">
        <v>116</v>
      </c>
      <c r="AX75" s="88" t="s">
        <v>80</v>
      </c>
      <c r="AY75" s="88" t="s">
        <v>37</v>
      </c>
      <c r="AZ75" s="90" t="s">
        <v>83</v>
      </c>
      <c r="BD75" s="24"/>
    </row>
    <row r="76" spans="1:56" ht="180.9" customHeight="1">
      <c r="A76">
        <v>0</v>
      </c>
      <c r="B76">
        <v>1</v>
      </c>
      <c r="C76">
        <v>1</v>
      </c>
      <c r="D76">
        <f t="shared" si="72"/>
        <v>0</v>
      </c>
      <c r="E76">
        <f t="shared" si="74"/>
        <v>0</v>
      </c>
      <c r="F76">
        <f t="shared" si="73"/>
        <v>0</v>
      </c>
      <c r="G76">
        <f t="shared" si="75"/>
        <v>0</v>
      </c>
      <c r="H76">
        <f t="shared" si="76"/>
        <v>0</v>
      </c>
      <c r="I76">
        <f>IF(Statistics!gpa_tf, G76*B76, G76*A76)</f>
        <v>0</v>
      </c>
      <c r="J76" s="170"/>
      <c r="K76" s="41"/>
      <c r="L76" s="41"/>
      <c r="M76" s="24" t="str">
        <v/>
      </c>
      <c r="N76" s="24" t="str">
        <v/>
      </c>
      <c r="O76" s="41"/>
      <c r="P76" s="48"/>
      <c r="AB76" s="14"/>
      <c r="AC76" s="24" t="s">
        <v>138</v>
      </c>
      <c r="AD76" s="9" t="b">
        <f t="shared" ref="AD76:AD87" si="77">NOT(ISERROR(MATCH(AC76,schedule_courses,0)))</f>
        <v>0</v>
      </c>
      <c r="AE76" s="7">
        <f>IF(AX76,0,IFERROR(INDEX(schedule_semester,MATCH(AC76,schedule_courses,0)), ""))</f>
        <v>0</v>
      </c>
      <c r="AF76" s="7">
        <f>IF(ISNA(MATCH(AC76, $R$6:$R$7, 0)), "", $R$3)</f>
        <v>3</v>
      </c>
      <c r="AG76" s="7" t="b">
        <f>IF(AE76="", "", AE76&lt;AF76)</f>
        <v>1</v>
      </c>
      <c r="AH76" s="7"/>
      <c r="AI76" s="7" t="b">
        <f>IF(AE76="", "", AE76&gt;=AH76)</f>
        <v>1</v>
      </c>
      <c r="AJ76" s="7">
        <f>IF(AE76="","",IF(MOD(AE76,2)=0,2,1))</f>
        <v>2</v>
      </c>
      <c r="AK76" s="7"/>
      <c r="AL76" s="7" t="str">
        <f>IF(AK76&lt;&gt;0, AK76&lt;&gt;AJ76, "")</f>
        <v/>
      </c>
      <c r="AM76" s="7"/>
      <c r="AN76" s="7" t="str">
        <f>IFERROR(IF(AM76, INDEX(grade_number, MATCH(INDEX(schedule_grades, MATCH(AC76, schedule_courses, 0)), grade_letter, 0))&gt;=2, ""), "")</f>
        <v/>
      </c>
      <c r="AO76" s="24"/>
      <c r="AP76" s="24"/>
      <c r="AQ76" s="7" t="str">
        <f t="shared" ref="AQ76:AQ82" si="78">IF(AP76=0,"",NOT(ISERROR(MATCH(AP76,schedule_courses,0))))</f>
        <v/>
      </c>
      <c r="AR76" s="7" t="str">
        <f t="shared" ref="AR76:AR82" si="79">IF(IFERROR(INDEX(req_tr_AP_credit, MATCH(AP76, req_course,0)), FALSE),0,IFERROR(INDEX(schedule_semester,MATCH(AP76,schedule_courses,0)), ""))</f>
        <v/>
      </c>
      <c r="AS76" s="7" t="str">
        <f t="shared" ref="AS76:AS82" si="80">IF(AR76&lt;&gt;"", AR76&lt;AE76, "")</f>
        <v/>
      </c>
      <c r="AT76" s="24"/>
      <c r="AU76" s="7" t="str">
        <f t="shared" ref="AU76:AU82" si="81">IF(AT76=0,"",NOT(ISERROR(MATCH(AT76,schedule_courses,0))))</f>
        <v/>
      </c>
      <c r="AV76" s="7" t="str">
        <f t="shared" ref="AV76:AV82" si="82">IF(IFERROR(INDEX(req_tr_AP_credit, MATCH(AT76, req_course)), FALSE),0,IFERROR(INDEX(schedule_semester,MATCH(AT76,schedule_courses,0)), ""))</f>
        <v/>
      </c>
      <c r="AW76" s="7" t="str">
        <f t="shared" ref="AW76:AW82" si="83">IF(AV76&lt;&gt;"", AV76&lt;=AE76, "")</f>
        <v/>
      </c>
      <c r="AX76" s="41" t="b">
        <v>1</v>
      </c>
      <c r="AY76" s="24"/>
      <c r="AZ76" s="15" t="s">
        <v>154</v>
      </c>
      <c r="BD76" s="24"/>
    </row>
    <row r="77" spans="1:56">
      <c r="A77">
        <v>0</v>
      </c>
      <c r="B77">
        <v>1</v>
      </c>
      <c r="C77">
        <v>1</v>
      </c>
      <c r="D77">
        <f t="shared" si="72"/>
        <v>0</v>
      </c>
      <c r="E77">
        <f t="shared" si="74"/>
        <v>0</v>
      </c>
      <c r="F77">
        <f t="shared" si="73"/>
        <v>0</v>
      </c>
      <c r="G77">
        <f t="shared" si="75"/>
        <v>0</v>
      </c>
      <c r="H77">
        <f t="shared" si="76"/>
        <v>0</v>
      </c>
      <c r="I77">
        <f>IF(Statistics!gpa_tf, G77*B77, G77*A77)</f>
        <v>0</v>
      </c>
      <c r="J77" s="170"/>
      <c r="K77" s="41"/>
      <c r="L77" s="41"/>
      <c r="M77" s="24" t="str">
        <v/>
      </c>
      <c r="N77" s="24" t="str">
        <v/>
      </c>
      <c r="O77" s="41"/>
      <c r="P77" s="48"/>
      <c r="AB77" s="14"/>
      <c r="AC77" s="24" t="s">
        <v>103</v>
      </c>
      <c r="AD77" s="106" t="b">
        <f t="shared" si="77"/>
        <v>0</v>
      </c>
      <c r="AE77" s="24">
        <f>IF(AX77,0,IFERROR(INDEX(schedule_semester,MATCH(AC77,schedule_courses,0)), ""))</f>
        <v>0</v>
      </c>
      <c r="AF77" s="24">
        <f>IF(ISNA(MATCH(AC77, $R$6:$R$7, 0)), "", $R$3)</f>
        <v>3</v>
      </c>
      <c r="AG77" s="24" t="b">
        <f t="shared" ref="AG77:AG82" si="84">IF(AE77="", "", AE77&lt;AF77)</f>
        <v>1</v>
      </c>
      <c r="AH77" s="24"/>
      <c r="AI77" s="7" t="b">
        <f t="shared" ref="AI77:AI82" si="85">IF(AE77="", "", AE77&gt;=AH77)</f>
        <v>1</v>
      </c>
      <c r="AJ77" s="24">
        <f t="shared" ref="AJ77:AJ82" si="86">IF(AE77="","",IF(MOD(AE77,2)=0,2,1))</f>
        <v>2</v>
      </c>
      <c r="AK77" s="24"/>
      <c r="AL77" s="24" t="str">
        <f>IF(AK77&lt;&gt;0, AK77&lt;&gt;AJ77, "")</f>
        <v/>
      </c>
      <c r="AM77" s="24"/>
      <c r="AN77" s="24" t="str">
        <f>IFERROR(IF(AM77, INDEX(grade_number, MATCH(INDEX(schedule_grades, MATCH(AC77, schedule_courses, 0)), grade_letter, 0))&gt;=2, ""), "")</f>
        <v/>
      </c>
      <c r="AO77" s="24"/>
      <c r="AP77" s="24" t="s">
        <v>138</v>
      </c>
      <c r="AQ77" s="24" t="b">
        <f t="shared" si="78"/>
        <v>0</v>
      </c>
      <c r="AR77" s="24">
        <f t="shared" si="79"/>
        <v>0</v>
      </c>
      <c r="AS77" s="24" t="b">
        <f t="shared" si="80"/>
        <v>0</v>
      </c>
      <c r="AT77" s="24"/>
      <c r="AU77" s="24" t="str">
        <f t="shared" si="81"/>
        <v/>
      </c>
      <c r="AV77" s="24" t="str">
        <f t="shared" si="82"/>
        <v/>
      </c>
      <c r="AW77" s="24" t="str">
        <f t="shared" si="83"/>
        <v/>
      </c>
      <c r="AX77" s="41" t="b">
        <v>1</v>
      </c>
      <c r="AY77" s="24"/>
      <c r="AZ77" s="15" t="s">
        <v>154</v>
      </c>
    </row>
    <row r="78" spans="1:56" ht="62.4">
      <c r="A78">
        <v>0</v>
      </c>
      <c r="B78">
        <v>1</v>
      </c>
      <c r="C78">
        <v>1</v>
      </c>
      <c r="D78">
        <f t="shared" si="72"/>
        <v>0</v>
      </c>
      <c r="E78">
        <f t="shared" si="74"/>
        <v>0</v>
      </c>
      <c r="F78">
        <f t="shared" si="73"/>
        <v>0</v>
      </c>
      <c r="G78">
        <f t="shared" si="75"/>
        <v>0</v>
      </c>
      <c r="H78">
        <f t="shared" si="76"/>
        <v>0</v>
      </c>
      <c r="I78">
        <f>IF(Statistics!gpa_tf, G78*B78, G78*A78)</f>
        <v>0</v>
      </c>
      <c r="J78" s="170"/>
      <c r="K78" s="41"/>
      <c r="L78" s="41"/>
      <c r="M78" s="24" t="str">
        <v/>
      </c>
      <c r="N78" s="24" t="str">
        <v/>
      </c>
      <c r="O78" s="41"/>
      <c r="P78" s="48"/>
      <c r="AB78" s="120" t="s">
        <v>377</v>
      </c>
      <c r="AC78" s="24"/>
      <c r="AD78" s="106"/>
      <c r="AE78" s="24"/>
      <c r="AF78" s="24"/>
      <c r="AG78" s="24"/>
      <c r="AH78" s="24"/>
      <c r="AI78" s="7"/>
      <c r="AJ78" s="24"/>
      <c r="AK78" s="24"/>
      <c r="AL78" s="24"/>
      <c r="AM78" s="24"/>
      <c r="AN78" s="24"/>
      <c r="AO78" s="24"/>
      <c r="AP78" s="24"/>
      <c r="AQ78" s="24"/>
      <c r="AR78" s="24"/>
      <c r="AS78" s="24"/>
      <c r="AT78" s="24"/>
      <c r="AU78" s="24"/>
      <c r="AV78" s="24"/>
      <c r="AW78" s="24"/>
      <c r="AX78" s="69"/>
      <c r="AY78" s="24"/>
      <c r="AZ78" s="15"/>
    </row>
    <row r="79" spans="1:56">
      <c r="A79">
        <v>0</v>
      </c>
      <c r="B79">
        <v>1</v>
      </c>
      <c r="C79">
        <v>1</v>
      </c>
      <c r="D79">
        <f t="shared" si="72"/>
        <v>0</v>
      </c>
      <c r="E79">
        <f t="shared" si="74"/>
        <v>0</v>
      </c>
      <c r="F79">
        <f t="shared" si="73"/>
        <v>0</v>
      </c>
      <c r="G79">
        <f t="shared" si="75"/>
        <v>0</v>
      </c>
      <c r="H79">
        <f t="shared" si="76"/>
        <v>0</v>
      </c>
      <c r="I79">
        <f>IF(Statistics!gpa_tf, G79*B79, G79*A79)</f>
        <v>0</v>
      </c>
      <c r="J79" s="170"/>
      <c r="K79" s="41"/>
      <c r="L79" s="41"/>
      <c r="M79" s="24" t="str">
        <v/>
      </c>
      <c r="N79" s="24" t="str">
        <v/>
      </c>
      <c r="O79" s="41"/>
      <c r="P79" s="48"/>
      <c r="AB79" s="16"/>
      <c r="AC79" s="29" t="s">
        <v>163</v>
      </c>
      <c r="AD79" s="106" t="b">
        <f t="shared" si="77"/>
        <v>1</v>
      </c>
      <c r="AE79" s="24">
        <f t="shared" ref="AE79:AE80" si="87">IF(AX79,0,IFERROR(INDEX(schedule_semester,MATCH(AC79,schedule_courses,0)), ""))</f>
        <v>2</v>
      </c>
      <c r="AF79" s="24" t="str">
        <f>IF(ISNA(MATCH(AC79, $R$6:$R$7, 0)), "", $R$3)</f>
        <v/>
      </c>
      <c r="AG79" s="24" t="b">
        <f t="shared" si="84"/>
        <v>1</v>
      </c>
      <c r="AH79" s="24"/>
      <c r="AI79" s="7" t="b">
        <f t="shared" si="85"/>
        <v>1</v>
      </c>
      <c r="AJ79" s="24">
        <f t="shared" si="86"/>
        <v>2</v>
      </c>
      <c r="AK79" s="24"/>
      <c r="AL79" s="24" t="str">
        <f t="shared" ref="AL79:AL82" si="88">IF(AK79&lt;&gt;0, AK79&lt;&gt;AJ79, "")</f>
        <v/>
      </c>
      <c r="AM79" s="24"/>
      <c r="AN79" s="24" t="str">
        <f t="shared" ref="AN79:AN80" si="89">IFERROR(IF(AM79, INDEX(grade_number, MATCH(INDEX(schedule_grades, MATCH(AC79, schedule_courses, 0)), grade_letter, 0))&gt;=2, ""), "")</f>
        <v/>
      </c>
      <c r="AO79" s="24">
        <v>2</v>
      </c>
      <c r="AP79" s="7" t="s">
        <v>138</v>
      </c>
      <c r="AQ79" s="24" t="b">
        <f t="shared" si="78"/>
        <v>0</v>
      </c>
      <c r="AR79" s="24">
        <f t="shared" si="79"/>
        <v>0</v>
      </c>
      <c r="AS79" s="24" t="b">
        <f t="shared" si="80"/>
        <v>1</v>
      </c>
      <c r="AT79" s="24"/>
      <c r="AU79" s="24" t="str">
        <f t="shared" si="81"/>
        <v/>
      </c>
      <c r="AV79" s="24" t="str">
        <f t="shared" si="82"/>
        <v/>
      </c>
      <c r="AW79" s="24" t="str">
        <f t="shared" si="83"/>
        <v/>
      </c>
      <c r="AX79" s="41"/>
      <c r="AY79" s="24"/>
      <c r="AZ79" s="15" t="s">
        <v>154</v>
      </c>
    </row>
    <row r="80" spans="1:56">
      <c r="A80">
        <v>0</v>
      </c>
      <c r="B80">
        <v>1</v>
      </c>
      <c r="C80">
        <v>1</v>
      </c>
      <c r="D80">
        <f t="shared" si="72"/>
        <v>0</v>
      </c>
      <c r="E80">
        <f t="shared" si="74"/>
        <v>0</v>
      </c>
      <c r="F80">
        <f t="shared" si="73"/>
        <v>0</v>
      </c>
      <c r="G80">
        <f t="shared" si="75"/>
        <v>0</v>
      </c>
      <c r="H80">
        <f t="shared" si="76"/>
        <v>0</v>
      </c>
      <c r="I80">
        <f>IF(Statistics!gpa_tf, G80*B80, G80*A80)</f>
        <v>0</v>
      </c>
      <c r="J80" s="170"/>
      <c r="K80" s="41"/>
      <c r="L80" s="41"/>
      <c r="M80" s="24" t="str">
        <v/>
      </c>
      <c r="N80" s="24" t="str">
        <v/>
      </c>
      <c r="O80" s="41"/>
      <c r="P80" s="48"/>
      <c r="AB80" s="70"/>
      <c r="AC80" s="29" t="s">
        <v>165</v>
      </c>
      <c r="AD80" s="106" t="b">
        <f t="shared" si="77"/>
        <v>1</v>
      </c>
      <c r="AE80" s="24">
        <f t="shared" si="87"/>
        <v>1</v>
      </c>
      <c r="AF80" s="24" t="str">
        <f>IF(ISNA(MATCH(AC80, $R$6:$R$7, 0)), "", $R$3)</f>
        <v/>
      </c>
      <c r="AG80" s="24" t="b">
        <f t="shared" si="84"/>
        <v>1</v>
      </c>
      <c r="AH80" s="24"/>
      <c r="AI80" s="7" t="b">
        <f t="shared" si="85"/>
        <v>1</v>
      </c>
      <c r="AJ80" s="24">
        <f t="shared" si="86"/>
        <v>1</v>
      </c>
      <c r="AK80" s="24"/>
      <c r="AL80" s="24" t="str">
        <f t="shared" si="88"/>
        <v/>
      </c>
      <c r="AM80" s="24"/>
      <c r="AN80" s="24" t="str">
        <f t="shared" si="89"/>
        <v/>
      </c>
      <c r="AO80" s="29">
        <v>4</v>
      </c>
      <c r="AP80" s="6" t="s">
        <v>103</v>
      </c>
      <c r="AQ80" s="24" t="b">
        <f t="shared" si="78"/>
        <v>0</v>
      </c>
      <c r="AR80" s="24">
        <f t="shared" si="79"/>
        <v>0</v>
      </c>
      <c r="AS80" s="24" t="b">
        <f t="shared" si="80"/>
        <v>1</v>
      </c>
      <c r="AT80" s="24"/>
      <c r="AU80" s="24" t="str">
        <f t="shared" si="81"/>
        <v/>
      </c>
      <c r="AV80" s="24" t="str">
        <f t="shared" si="82"/>
        <v/>
      </c>
      <c r="AW80" s="24" t="str">
        <f t="shared" si="83"/>
        <v/>
      </c>
      <c r="AX80" s="41"/>
      <c r="AY80" s="24"/>
      <c r="AZ80" s="15"/>
    </row>
    <row r="81" spans="1:52" ht="156">
      <c r="A81">
        <v>0</v>
      </c>
      <c r="B81">
        <v>1</v>
      </c>
      <c r="C81">
        <v>1</v>
      </c>
      <c r="D81">
        <f t="shared" si="72"/>
        <v>0</v>
      </c>
      <c r="E81">
        <f t="shared" si="74"/>
        <v>0</v>
      </c>
      <c r="F81">
        <f t="shared" si="73"/>
        <v>0</v>
      </c>
      <c r="G81">
        <f t="shared" si="75"/>
        <v>0</v>
      </c>
      <c r="H81">
        <f t="shared" si="76"/>
        <v>0</v>
      </c>
      <c r="I81">
        <f>IF(Statistics!gpa_tf, G81*B81, G81*A81)</f>
        <v>0</v>
      </c>
      <c r="J81" s="170"/>
      <c r="K81" s="41"/>
      <c r="L81" s="41"/>
      <c r="M81" s="24" t="str">
        <v/>
      </c>
      <c r="N81" s="24" t="str">
        <v/>
      </c>
      <c r="O81" s="41"/>
      <c r="P81" s="48"/>
      <c r="AB81" s="120" t="s">
        <v>378</v>
      </c>
      <c r="AC81" s="24"/>
      <c r="AD81" s="106"/>
      <c r="AE81" s="24"/>
      <c r="AF81" s="24"/>
      <c r="AG81" s="24"/>
      <c r="AH81" s="24"/>
      <c r="AI81" s="7"/>
      <c r="AJ81" s="24"/>
      <c r="AK81" s="24"/>
      <c r="AL81" s="24"/>
      <c r="AM81" s="24"/>
      <c r="AN81" s="24"/>
      <c r="AO81" s="29"/>
      <c r="AP81" s="24"/>
      <c r="AQ81" s="24"/>
      <c r="AR81" s="24"/>
      <c r="AS81" s="24"/>
      <c r="AT81" s="24"/>
      <c r="AU81" s="24"/>
      <c r="AV81" s="24"/>
      <c r="AW81" s="24"/>
      <c r="AX81" s="69"/>
      <c r="AY81" s="24"/>
      <c r="AZ81" s="15"/>
    </row>
    <row r="82" spans="1:52">
      <c r="A82">
        <v>0</v>
      </c>
      <c r="B82">
        <v>1</v>
      </c>
      <c r="C82">
        <v>1</v>
      </c>
      <c r="D82">
        <f t="shared" si="72"/>
        <v>0</v>
      </c>
      <c r="E82">
        <f t="shared" si="74"/>
        <v>0</v>
      </c>
      <c r="F82">
        <f t="shared" si="73"/>
        <v>0</v>
      </c>
      <c r="G82">
        <f t="shared" si="75"/>
        <v>0</v>
      </c>
      <c r="H82">
        <f t="shared" si="76"/>
        <v>0</v>
      </c>
      <c r="I82">
        <f>IF(Statistics!gpa_tf, G82*B82, G82*A82)</f>
        <v>0</v>
      </c>
      <c r="J82" s="171"/>
      <c r="K82" s="43"/>
      <c r="L82" s="43"/>
      <c r="M82" s="10" t="str">
        <v/>
      </c>
      <c r="N82" s="10" t="str">
        <v/>
      </c>
      <c r="O82" s="43"/>
      <c r="P82" s="49"/>
      <c r="AB82" s="70">
        <v>12</v>
      </c>
      <c r="AC82" s="254" t="s">
        <v>187</v>
      </c>
      <c r="AD82" s="106" t="b">
        <f>NOT(ISERROR(MATCH(AC82,schedule_courses,0)))</f>
        <v>1</v>
      </c>
      <c r="AE82" s="24">
        <f>IF(AX82,0,IFERROR(INDEX(schedule_semester,MATCH(AC82,schedule_courses,0)), ""))</f>
        <v>3</v>
      </c>
      <c r="AF82" s="24" t="str">
        <f t="shared" ref="AF82:AF87" si="90">IF(ISNA(MATCH(AC82, $R$6:$R$7, 0)), "", $R$3)</f>
        <v/>
      </c>
      <c r="AG82" s="24" t="b">
        <f t="shared" si="84"/>
        <v>1</v>
      </c>
      <c r="AH82" s="24"/>
      <c r="AI82" s="7" t="b">
        <f t="shared" si="85"/>
        <v>1</v>
      </c>
      <c r="AJ82" s="24">
        <f t="shared" si="86"/>
        <v>1</v>
      </c>
      <c r="AK82" s="24"/>
      <c r="AL82" s="24" t="str">
        <f t="shared" si="88"/>
        <v/>
      </c>
      <c r="AM82" s="24"/>
      <c r="AN82" s="24" t="str">
        <f>IFERROR(IF(AM82, INDEX(grade_number, MATCH(INDEX(schedule_grades, MATCH(AC82, schedule_courses, 0)), grade_letter, 0))&gt;=2, ""), "")</f>
        <v/>
      </c>
      <c r="AO82" s="153">
        <v>3</v>
      </c>
      <c r="AP82" s="29"/>
      <c r="AQ82" s="29" t="str">
        <f t="shared" si="78"/>
        <v/>
      </c>
      <c r="AR82" s="29" t="str">
        <f t="shared" si="79"/>
        <v/>
      </c>
      <c r="AS82" s="29" t="str">
        <f t="shared" si="80"/>
        <v/>
      </c>
      <c r="AT82" s="24"/>
      <c r="AU82" s="24" t="str">
        <f t="shared" si="81"/>
        <v/>
      </c>
      <c r="AV82" s="24" t="str">
        <f t="shared" si="82"/>
        <v/>
      </c>
      <c r="AW82" s="24" t="str">
        <f t="shared" si="83"/>
        <v/>
      </c>
      <c r="AX82" s="41"/>
      <c r="AY82" s="24"/>
      <c r="AZ82" s="15"/>
    </row>
    <row r="83" spans="1:52">
      <c r="AB83" s="14"/>
      <c r="AC83" s="255" t="s">
        <v>227</v>
      </c>
      <c r="AD83" s="106" t="b">
        <f>NOT(ISERROR(MATCH(AC83,schedule_courses,0)))</f>
        <v>1</v>
      </c>
      <c r="AE83" s="24">
        <f>IF(AX83,0,IFERROR(INDEX(schedule_semester,MATCH(AC83,schedule_courses,0)), ""))</f>
        <v>4</v>
      </c>
      <c r="AF83" s="24" t="str">
        <f t="shared" si="90"/>
        <v/>
      </c>
      <c r="AG83" s="24" t="b">
        <f t="shared" ref="AG83:AG87" si="91">IF(AE83="", "", AE83&lt;AF83)</f>
        <v>1</v>
      </c>
      <c r="AH83" s="24"/>
      <c r="AI83" s="7" t="b">
        <f t="shared" ref="AI83:AI87" si="92">IF(AE83="", "", AE83&gt;=AH83)</f>
        <v>1</v>
      </c>
      <c r="AJ83" s="24">
        <f t="shared" ref="AJ83:AJ87" si="93">IF(AE83="","",IF(MOD(AE83,2)=0,2,1))</f>
        <v>2</v>
      </c>
      <c r="AK83" s="24"/>
      <c r="AL83" s="24" t="str">
        <f t="shared" ref="AL83:AL87" si="94">IF(AK83&lt;&gt;0, AK83&lt;&gt;AJ83, "")</f>
        <v/>
      </c>
      <c r="AM83" s="24"/>
      <c r="AN83" s="24" t="str">
        <f>IFERROR(IF(AM83, INDEX(grade_number, MATCH(INDEX(schedule_grades, MATCH(AC83, schedule_courses, 0)), grade_letter, 0))&gt;=2, ""), "")</f>
        <v/>
      </c>
      <c r="AO83" s="153">
        <v>3</v>
      </c>
      <c r="AP83" s="29"/>
      <c r="AQ83" s="29" t="str">
        <f t="shared" ref="AQ83:AQ87" si="95">IF(AP83=0,"",NOT(ISERROR(MATCH(AP83,schedule_courses,0))))</f>
        <v/>
      </c>
      <c r="AR83" s="29" t="str">
        <f t="shared" ref="AR83:AR87" si="96">IF(IFERROR(INDEX(req_tr_AP_credit, MATCH(AP83, req_course,0)), FALSE),0,IFERROR(INDEX(schedule_semester,MATCH(AP83,schedule_courses,0)), ""))</f>
        <v/>
      </c>
      <c r="AS83" s="29" t="str">
        <f t="shared" ref="AS83:AS87" si="97">IF(AR83&lt;&gt;"", AR83&lt;AE83, "")</f>
        <v/>
      </c>
      <c r="AT83" s="24"/>
      <c r="AU83" s="24" t="str">
        <f t="shared" ref="AU83:AU87" si="98">IF(AT83=0,"",NOT(ISERROR(MATCH(AT83,schedule_courses,0))))</f>
        <v/>
      </c>
      <c r="AV83" s="24" t="str">
        <f t="shared" ref="AV83:AV87" si="99">IF(IFERROR(INDEX(req_tr_AP_credit, MATCH(AT83, req_course)), FALSE),0,IFERROR(INDEX(schedule_semester,MATCH(AT83,schedule_courses,0)), ""))</f>
        <v/>
      </c>
      <c r="AW83" s="24" t="str">
        <f t="shared" ref="AW83:AW87" si="100">IF(AV83&lt;&gt;"", AV83&lt;=AE83, "")</f>
        <v/>
      </c>
      <c r="AX83" s="41"/>
      <c r="AY83" s="24"/>
      <c r="AZ83" s="15"/>
    </row>
    <row r="84" spans="1:52">
      <c r="AB84" s="14"/>
      <c r="AC84" s="111" t="s">
        <v>266</v>
      </c>
      <c r="AD84" s="106" t="b">
        <f>NOT(ISERROR(MATCH(AC84,schedule_courses,0)))</f>
        <v>1</v>
      </c>
      <c r="AE84" s="24">
        <f>IF(AX84,0,IFERROR(INDEX(schedule_semester,MATCH(AC84,schedule_courses,0)), ""))</f>
        <v>5</v>
      </c>
      <c r="AF84" s="24" t="str">
        <f t="shared" si="90"/>
        <v/>
      </c>
      <c r="AG84" s="24" t="b">
        <f t="shared" si="91"/>
        <v>1</v>
      </c>
      <c r="AH84" s="24"/>
      <c r="AI84" s="7" t="b">
        <f t="shared" si="92"/>
        <v>1</v>
      </c>
      <c r="AJ84" s="24">
        <f t="shared" si="93"/>
        <v>1</v>
      </c>
      <c r="AK84" s="24"/>
      <c r="AL84" s="24" t="str">
        <f t="shared" si="94"/>
        <v/>
      </c>
      <c r="AM84" s="24"/>
      <c r="AN84" s="24" t="str">
        <f>IFERROR(IF(AM84, INDEX(grade_number, MATCH(INDEX(schedule_grades, MATCH(AC84, schedule_courses, 0)), grade_letter, 0))&gt;=2, ""), "")</f>
        <v/>
      </c>
      <c r="AO84" s="42">
        <v>3</v>
      </c>
      <c r="AP84" s="29"/>
      <c r="AQ84" s="29" t="str">
        <f t="shared" si="95"/>
        <v/>
      </c>
      <c r="AR84" s="29" t="str">
        <f t="shared" si="96"/>
        <v/>
      </c>
      <c r="AS84" s="29" t="str">
        <f t="shared" si="97"/>
        <v/>
      </c>
      <c r="AT84" s="24"/>
      <c r="AU84" s="24" t="str">
        <f t="shared" si="98"/>
        <v/>
      </c>
      <c r="AV84" s="24" t="str">
        <f t="shared" si="99"/>
        <v/>
      </c>
      <c r="AW84" s="24" t="str">
        <f t="shared" si="100"/>
        <v/>
      </c>
      <c r="AX84" s="41"/>
      <c r="AY84" s="24"/>
      <c r="AZ84" s="15"/>
    </row>
    <row r="85" spans="1:52">
      <c r="AB85" s="16"/>
      <c r="AC85" s="142" t="s">
        <v>369</v>
      </c>
      <c r="AD85" s="106" t="b">
        <f t="shared" si="77"/>
        <v>1</v>
      </c>
      <c r="AE85" s="24">
        <f t="shared" ref="AE85:AE87" si="101">IF(AX85,0,IFERROR(INDEX(schedule_semester,MATCH(AC85,schedule_courses,0)), ""))</f>
        <v>7</v>
      </c>
      <c r="AF85" s="24" t="str">
        <f t="shared" si="90"/>
        <v/>
      </c>
      <c r="AG85" s="24" t="b">
        <f t="shared" si="91"/>
        <v>1</v>
      </c>
      <c r="AH85" s="24"/>
      <c r="AI85" s="7" t="b">
        <f t="shared" si="92"/>
        <v>1</v>
      </c>
      <c r="AJ85" s="24">
        <f t="shared" si="93"/>
        <v>1</v>
      </c>
      <c r="AK85" s="24"/>
      <c r="AL85" s="24" t="str">
        <f t="shared" si="94"/>
        <v/>
      </c>
      <c r="AM85" s="24"/>
      <c r="AN85" s="24" t="str">
        <f t="shared" ref="AN85:AN87" si="102">IFERROR(IF(AM85, INDEX(grade_number, MATCH(INDEX(schedule_grades, MATCH(AC85, schedule_courses, 0)), grade_letter, 0))&gt;=2, ""), "")</f>
        <v/>
      </c>
      <c r="AO85" s="42">
        <v>3</v>
      </c>
      <c r="AP85" s="29"/>
      <c r="AQ85" s="29" t="str">
        <f t="shared" si="95"/>
        <v/>
      </c>
      <c r="AR85" s="29" t="str">
        <f t="shared" si="96"/>
        <v/>
      </c>
      <c r="AS85" s="29" t="str">
        <f t="shared" si="97"/>
        <v/>
      </c>
      <c r="AT85" s="24"/>
      <c r="AU85" s="24" t="str">
        <f t="shared" si="98"/>
        <v/>
      </c>
      <c r="AV85" s="24" t="str">
        <f t="shared" si="99"/>
        <v/>
      </c>
      <c r="AW85" s="24" t="str">
        <f t="shared" si="100"/>
        <v/>
      </c>
      <c r="AX85" s="41"/>
      <c r="AY85" s="24"/>
      <c r="AZ85" s="15"/>
    </row>
    <row r="86" spans="1:52">
      <c r="AB86" s="108"/>
      <c r="AC86" s="142"/>
      <c r="AD86" s="106" t="b">
        <f t="shared" si="77"/>
        <v>0</v>
      </c>
      <c r="AE86" s="24" t="str">
        <f t="shared" si="101"/>
        <v/>
      </c>
      <c r="AF86" s="24" t="str">
        <f t="shared" si="90"/>
        <v/>
      </c>
      <c r="AG86" s="24" t="str">
        <f t="shared" si="91"/>
        <v/>
      </c>
      <c r="AH86" s="24"/>
      <c r="AI86" s="7" t="str">
        <f t="shared" si="92"/>
        <v/>
      </c>
      <c r="AJ86" s="24" t="str">
        <f t="shared" si="93"/>
        <v/>
      </c>
      <c r="AK86" s="24"/>
      <c r="AL86" s="24" t="str">
        <f t="shared" si="94"/>
        <v/>
      </c>
      <c r="AM86" s="24"/>
      <c r="AN86" s="24" t="str">
        <f t="shared" si="102"/>
        <v/>
      </c>
      <c r="AO86" s="42"/>
      <c r="AP86" s="29"/>
      <c r="AQ86" s="29" t="str">
        <f t="shared" si="95"/>
        <v/>
      </c>
      <c r="AR86" s="29" t="str">
        <f t="shared" si="96"/>
        <v/>
      </c>
      <c r="AS86" s="29" t="str">
        <f t="shared" si="97"/>
        <v/>
      </c>
      <c r="AT86" s="24"/>
      <c r="AU86" s="24" t="str">
        <f t="shared" si="98"/>
        <v/>
      </c>
      <c r="AV86" s="24" t="str">
        <f t="shared" si="99"/>
        <v/>
      </c>
      <c r="AW86" s="24" t="str">
        <f t="shared" si="100"/>
        <v/>
      </c>
      <c r="AX86" s="41"/>
      <c r="AY86" s="24"/>
      <c r="AZ86" s="15"/>
    </row>
    <row r="87" spans="1:52">
      <c r="AB87" s="109"/>
      <c r="AC87" s="143"/>
      <c r="AD87" s="106" t="b">
        <f t="shared" si="77"/>
        <v>0</v>
      </c>
      <c r="AE87" s="24" t="str">
        <f t="shared" si="101"/>
        <v/>
      </c>
      <c r="AF87" s="24" t="str">
        <f t="shared" si="90"/>
        <v/>
      </c>
      <c r="AG87" s="24" t="str">
        <f t="shared" si="91"/>
        <v/>
      </c>
      <c r="AH87" s="24"/>
      <c r="AI87" s="7" t="str">
        <f t="shared" si="92"/>
        <v/>
      </c>
      <c r="AJ87" s="24" t="str">
        <f t="shared" si="93"/>
        <v/>
      </c>
      <c r="AK87" s="24"/>
      <c r="AL87" s="24" t="str">
        <f t="shared" si="94"/>
        <v/>
      </c>
      <c r="AM87" s="24"/>
      <c r="AN87" s="24" t="str">
        <f t="shared" si="102"/>
        <v/>
      </c>
      <c r="AO87" s="42"/>
      <c r="AP87" s="29"/>
      <c r="AQ87" s="29" t="str">
        <f t="shared" si="95"/>
        <v/>
      </c>
      <c r="AR87" s="29" t="str">
        <f t="shared" si="96"/>
        <v/>
      </c>
      <c r="AS87" s="29" t="str">
        <f t="shared" si="97"/>
        <v/>
      </c>
      <c r="AT87" s="24"/>
      <c r="AU87" s="24" t="str">
        <f t="shared" si="98"/>
        <v/>
      </c>
      <c r="AV87" s="24" t="str">
        <f t="shared" si="99"/>
        <v/>
      </c>
      <c r="AW87" s="24" t="str">
        <f t="shared" si="100"/>
        <v/>
      </c>
      <c r="AX87" s="41"/>
      <c r="AY87" s="24"/>
      <c r="AZ87" s="15"/>
    </row>
    <row r="88" spans="1:52">
      <c r="AB88" s="16" t="s">
        <v>47</v>
      </c>
      <c r="AC88" s="29"/>
      <c r="AD88" s="106"/>
      <c r="AE88" s="24"/>
      <c r="AF88" s="24"/>
      <c r="AG88" s="24"/>
      <c r="AH88" s="24"/>
      <c r="AI88" s="7"/>
      <c r="AJ88" s="24"/>
      <c r="AK88" s="24"/>
      <c r="AL88" s="24"/>
      <c r="AM88" s="24"/>
      <c r="AN88" s="24"/>
      <c r="AO88" s="29"/>
      <c r="AP88" s="24"/>
      <c r="AQ88" s="24"/>
      <c r="AR88" s="24"/>
      <c r="AS88" s="24"/>
      <c r="AT88" s="24"/>
      <c r="AU88" s="24"/>
      <c r="AV88" s="24"/>
      <c r="AW88" s="24"/>
      <c r="AX88" s="69"/>
      <c r="AY88" s="24"/>
      <c r="AZ88" s="15"/>
    </row>
    <row r="89" spans="1:52">
      <c r="AB89" s="35" cm="1">
        <f t="array" ref="AB89">SUM(IF(ISNA(MATCH(AC82:AC87,schedule_courses,0)),0,1)*(AO82:AO87))</f>
        <v>12</v>
      </c>
      <c r="AC89" s="29"/>
      <c r="AD89" s="106"/>
      <c r="AE89" s="24"/>
      <c r="AF89" s="24"/>
      <c r="AG89" s="24"/>
      <c r="AH89" s="24"/>
      <c r="AI89" s="7"/>
      <c r="AJ89" s="24"/>
      <c r="AK89" s="24"/>
      <c r="AL89" s="24"/>
      <c r="AM89" s="24"/>
      <c r="AN89" s="24"/>
      <c r="AO89" s="29"/>
      <c r="AP89" s="24"/>
      <c r="AQ89" s="24"/>
      <c r="AR89" s="24"/>
      <c r="AS89" s="24"/>
      <c r="AT89" s="24"/>
      <c r="AU89" s="24"/>
      <c r="AV89" s="24"/>
      <c r="AW89" s="24"/>
      <c r="AX89" s="69"/>
      <c r="AY89" s="24"/>
      <c r="AZ89" s="15"/>
    </row>
    <row r="90" spans="1:52">
      <c r="AB90" s="121" t="str">
        <f>IF(AB89&gt;=AB82, "Satisfied", "Not Satisfied")</f>
        <v>Satisfied</v>
      </c>
      <c r="AC90" s="122"/>
      <c r="AD90" s="107"/>
      <c r="AE90" s="10"/>
      <c r="AF90" s="10"/>
      <c r="AG90" s="10"/>
      <c r="AH90" s="10"/>
      <c r="AI90" s="5"/>
      <c r="AJ90" s="10"/>
      <c r="AK90" s="10"/>
      <c r="AL90" s="10"/>
      <c r="AM90" s="10"/>
      <c r="AN90" s="10"/>
      <c r="AO90" s="122"/>
      <c r="AP90" s="10"/>
      <c r="AQ90" s="10"/>
      <c r="AR90" s="10"/>
      <c r="AS90" s="10"/>
      <c r="AT90" s="10"/>
      <c r="AU90" s="10"/>
      <c r="AV90" s="10"/>
      <c r="AW90" s="10"/>
      <c r="AX90" s="148"/>
      <c r="AY90" s="10"/>
      <c r="AZ90" s="26"/>
    </row>
    <row r="91" spans="1:52">
      <c r="AB91" s="68"/>
      <c r="AC91" s="24"/>
      <c r="AD91" s="106"/>
      <c r="AE91" s="24"/>
      <c r="AF91" s="24"/>
      <c r="AG91" s="24"/>
      <c r="AH91" s="24"/>
      <c r="AI91" s="24"/>
      <c r="AJ91" s="24"/>
      <c r="AK91" s="24"/>
      <c r="AL91" s="24"/>
      <c r="AM91" s="24"/>
      <c r="AN91" s="24"/>
      <c r="AO91" s="24"/>
      <c r="AP91" s="24"/>
      <c r="AQ91" s="24"/>
      <c r="AR91" s="24"/>
      <c r="AS91" s="24"/>
      <c r="AT91" s="24"/>
      <c r="AU91" s="24"/>
      <c r="AV91" s="24"/>
      <c r="AW91" s="24"/>
      <c r="AX91" s="41"/>
      <c r="AY91" s="24"/>
      <c r="AZ91" s="24"/>
    </row>
    <row r="92" spans="1:52">
      <c r="AB92" s="68"/>
      <c r="AC92" s="24"/>
      <c r="AD92" s="24"/>
      <c r="AE92" s="24"/>
      <c r="AF92" s="24"/>
      <c r="AG92" s="24"/>
      <c r="AH92" s="24"/>
      <c r="AI92" s="24"/>
      <c r="AJ92" s="24"/>
      <c r="AK92" s="24"/>
      <c r="AL92" s="24"/>
      <c r="AM92" s="24"/>
      <c r="AN92" s="24"/>
      <c r="AO92" s="24"/>
      <c r="AP92" s="24"/>
      <c r="AQ92" s="24"/>
      <c r="AR92" s="24"/>
      <c r="AS92" s="24"/>
      <c r="AT92" s="24"/>
      <c r="AU92" s="24"/>
      <c r="AV92" s="24"/>
      <c r="AW92" s="24"/>
      <c r="AX92" s="69"/>
      <c r="AY92" s="24"/>
      <c r="AZ92" s="24"/>
    </row>
    <row r="94" spans="1:52">
      <c r="AB94" s="93" t="s">
        <v>340</v>
      </c>
      <c r="AC94" s="92"/>
      <c r="AD94" s="92"/>
      <c r="AE94" s="92"/>
      <c r="AF94" s="92"/>
      <c r="AG94" s="92"/>
      <c r="AH94" s="92"/>
      <c r="AI94" s="92"/>
      <c r="AJ94" s="92"/>
      <c r="AK94" s="92"/>
      <c r="AL94" s="92"/>
      <c r="AM94" s="92"/>
      <c r="AN94" s="92"/>
      <c r="AO94" s="92"/>
      <c r="AP94" s="92"/>
      <c r="AQ94" s="92"/>
      <c r="AR94" s="92"/>
      <c r="AS94" s="92"/>
      <c r="AT94" s="92"/>
      <c r="AU94" s="92"/>
      <c r="AV94" s="92"/>
      <c r="AW94" s="92"/>
      <c r="AX94" s="92"/>
      <c r="AY94" s="92"/>
      <c r="AZ94" s="94"/>
    </row>
    <row r="95" spans="1:52">
      <c r="AB95" s="89" t="s">
        <v>73</v>
      </c>
      <c r="AC95" s="88" t="s">
        <v>33</v>
      </c>
      <c r="AD95" s="5" t="s">
        <v>104</v>
      </c>
      <c r="AE95" s="5" t="s">
        <v>105</v>
      </c>
      <c r="AF95" s="5" t="s">
        <v>106</v>
      </c>
      <c r="AG95" s="5" t="s">
        <v>107</v>
      </c>
      <c r="AH95" s="5" t="s">
        <v>108</v>
      </c>
      <c r="AI95" s="5" t="s">
        <v>109</v>
      </c>
      <c r="AJ95" s="5" t="s">
        <v>110</v>
      </c>
      <c r="AK95" s="5" t="s">
        <v>111</v>
      </c>
      <c r="AL95" s="5" t="s">
        <v>112</v>
      </c>
      <c r="AM95" s="5" t="s">
        <v>113</v>
      </c>
      <c r="AN95" s="5" t="s">
        <v>114</v>
      </c>
      <c r="AO95" s="88" t="s">
        <v>35</v>
      </c>
      <c r="AP95" s="88" t="s">
        <v>77</v>
      </c>
      <c r="AQ95" s="91" t="s">
        <v>104</v>
      </c>
      <c r="AR95" s="5" t="s">
        <v>105</v>
      </c>
      <c r="AS95" s="5" t="s">
        <v>115</v>
      </c>
      <c r="AT95" s="88" t="s">
        <v>79</v>
      </c>
      <c r="AU95" s="91" t="s">
        <v>104</v>
      </c>
      <c r="AV95" s="91" t="s">
        <v>105</v>
      </c>
      <c r="AW95" s="5" t="s">
        <v>116</v>
      </c>
      <c r="AX95" s="88" t="s">
        <v>80</v>
      </c>
      <c r="AY95" s="88" t="s">
        <v>37</v>
      </c>
      <c r="AZ95" s="90" t="s">
        <v>83</v>
      </c>
    </row>
    <row r="96" spans="1:52">
      <c r="AB96" s="14"/>
      <c r="AC96" s="24" t="s">
        <v>152</v>
      </c>
      <c r="AD96" s="7" t="b">
        <f>NOT(ISERROR(MATCH(AC96,schedule_courses,0)))</f>
        <v>1</v>
      </c>
      <c r="AE96" s="7">
        <f t="shared" ref="AE96:AE101" si="103">IF(AX96,0,IFERROR(INDEX(schedule_semester,MATCH(AC96,schedule_courses,0)), ""))</f>
        <v>2</v>
      </c>
      <c r="AF96" s="7" t="str">
        <f t="shared" ref="AF96:AF101" si="104">IF(ISNA(MATCH(AC96, $R$6:$R$7, 0)), "", $R$3)</f>
        <v/>
      </c>
      <c r="AG96" s="7" t="b">
        <f>IF(AE96="", "", AE96&lt;AF96)</f>
        <v>1</v>
      </c>
      <c r="AH96" s="7"/>
      <c r="AI96" s="7" t="b">
        <f>IF(AE96="", "", AE96&gt;=AH96)</f>
        <v>1</v>
      </c>
      <c r="AJ96" s="7">
        <f>IF(AE96="","",IF(MOD(AE96,2)=0,2,1))</f>
        <v>2</v>
      </c>
      <c r="AK96" s="7"/>
      <c r="AL96" s="7" t="str">
        <f t="shared" ref="AL96:AL101" si="105">IF(AK96&lt;&gt;0, AK96&lt;&gt;AJ96, "")</f>
        <v/>
      </c>
      <c r="AM96" s="7"/>
      <c r="AN96" s="7" t="str">
        <f t="shared" ref="AN96:AN101" si="106">IFERROR(IF(AM96, INDEX(grade_number, MATCH(INDEX(schedule_grades, MATCH(AC96, schedule_courses, 0)), grade_letter, 0))&gt;=2, ""), "")</f>
        <v/>
      </c>
      <c r="AO96" s="24">
        <v>3</v>
      </c>
      <c r="AP96" s="24"/>
      <c r="AQ96" s="7" t="str">
        <f t="shared" ref="AQ96:AQ101" si="107">IF(AP96=0,"",NOT(ISERROR(MATCH(AP96,schedule_courses,0))))</f>
        <v/>
      </c>
      <c r="AR96" s="7" t="str">
        <f t="shared" ref="AR96:AR101" si="108">IF(IFERROR(INDEX(req_tr_AP_credit, MATCH(AP96, req_course,0)), FALSE),0,IFERROR(INDEX(schedule_semester,MATCH(AP96,schedule_courses,0)), ""))</f>
        <v/>
      </c>
      <c r="AS96" s="7" t="str">
        <f t="shared" ref="AS96:AS101" si="109">IF(AR96&lt;&gt;"", AR96&lt;AE96, "")</f>
        <v/>
      </c>
      <c r="AT96" s="24"/>
      <c r="AU96" s="7" t="str">
        <f t="shared" ref="AU96:AU101" si="110">IF(AT96=0,"",NOT(ISERROR(MATCH(AT96,schedule_courses,0))))</f>
        <v/>
      </c>
      <c r="AV96" s="7" t="str">
        <f t="shared" ref="AV96:AV101" si="111">IF(IFERROR(INDEX(req_tr_AP_credit, MATCH(AT96, req_course)), FALSE),0,IFERROR(INDEX(schedule_semester,MATCH(AT96,schedule_courses,0)), ""))</f>
        <v/>
      </c>
      <c r="AW96" s="7" t="str">
        <f t="shared" ref="AW96:AW101" si="112">IF(AV96&lt;&gt;"", AV96&lt;=AE96, "")</f>
        <v/>
      </c>
      <c r="AX96" s="41"/>
      <c r="AY96" s="24" t="s">
        <v>213</v>
      </c>
      <c r="AZ96" s="15"/>
    </row>
    <row r="97" spans="28:52" ht="15.9" customHeight="1">
      <c r="AB97" s="14"/>
      <c r="AC97" s="24" t="s">
        <v>245</v>
      </c>
      <c r="AD97" s="7" t="b">
        <f>NOT(ISERROR(MATCH(AC97,schedule_courses,0)))</f>
        <v>1</v>
      </c>
      <c r="AE97" s="7">
        <f t="shared" si="103"/>
        <v>2</v>
      </c>
      <c r="AF97" s="7" t="str">
        <f t="shared" si="104"/>
        <v/>
      </c>
      <c r="AG97" s="7" t="b">
        <f t="shared" ref="AG97:AG101" si="113">IF(AE97="", "", AE97&lt;AF97)</f>
        <v>1</v>
      </c>
      <c r="AH97" s="7"/>
      <c r="AI97" s="7" t="b">
        <f t="shared" ref="AI97:AI101" si="114">IF(AE97="", "", AE97&gt;=AH97)</f>
        <v>1</v>
      </c>
      <c r="AJ97" s="7">
        <f t="shared" ref="AJ97:AJ101" si="115">IF(AE97="","",IF(MOD(AE97,2)=0,2,1))</f>
        <v>2</v>
      </c>
      <c r="AK97" s="7"/>
      <c r="AL97" s="7" t="str">
        <f t="shared" si="105"/>
        <v/>
      </c>
      <c r="AM97" s="7"/>
      <c r="AN97" s="7" t="str">
        <f t="shared" si="106"/>
        <v/>
      </c>
      <c r="AO97" s="24">
        <v>3</v>
      </c>
      <c r="AP97" s="24"/>
      <c r="AQ97" s="7" t="str">
        <f t="shared" si="107"/>
        <v/>
      </c>
      <c r="AR97" s="7" t="str">
        <f t="shared" si="108"/>
        <v/>
      </c>
      <c r="AS97" s="7" t="str">
        <f t="shared" si="109"/>
        <v/>
      </c>
      <c r="AT97" s="24"/>
      <c r="AU97" s="7" t="str">
        <f t="shared" si="110"/>
        <v/>
      </c>
      <c r="AV97" s="7" t="str">
        <f t="shared" si="111"/>
        <v/>
      </c>
      <c r="AW97" s="7" t="str">
        <f t="shared" si="112"/>
        <v/>
      </c>
      <c r="AX97" s="41"/>
      <c r="AY97" s="24" t="s">
        <v>213</v>
      </c>
      <c r="AZ97" s="15"/>
    </row>
    <row r="98" spans="28:52">
      <c r="AB98" s="14"/>
      <c r="AC98" s="24" t="s">
        <v>341</v>
      </c>
      <c r="AD98" s="7" t="b">
        <f>NOT(ISERROR(MATCH(AC98,schedule_courses,0)))</f>
        <v>1</v>
      </c>
      <c r="AE98" s="7">
        <f t="shared" si="103"/>
        <v>6</v>
      </c>
      <c r="AF98" s="7" t="str">
        <f t="shared" si="104"/>
        <v/>
      </c>
      <c r="AG98" s="7" t="b">
        <f t="shared" si="113"/>
        <v>1</v>
      </c>
      <c r="AH98" s="7"/>
      <c r="AI98" s="7" t="b">
        <f t="shared" si="114"/>
        <v>1</v>
      </c>
      <c r="AJ98" s="7">
        <f t="shared" si="115"/>
        <v>2</v>
      </c>
      <c r="AK98" s="7"/>
      <c r="AL98" s="7" t="str">
        <f t="shared" si="105"/>
        <v/>
      </c>
      <c r="AM98" s="7"/>
      <c r="AN98" s="7" t="str">
        <f t="shared" si="106"/>
        <v/>
      </c>
      <c r="AO98" s="24">
        <v>3</v>
      </c>
      <c r="AP98" s="24" t="s">
        <v>152</v>
      </c>
      <c r="AQ98" s="7" t="b">
        <f t="shared" si="107"/>
        <v>1</v>
      </c>
      <c r="AR98" s="7">
        <f t="shared" si="108"/>
        <v>2</v>
      </c>
      <c r="AS98" s="7" t="b">
        <f t="shared" si="109"/>
        <v>1</v>
      </c>
      <c r="AT98" s="24"/>
      <c r="AU98" s="7" t="str">
        <f t="shared" si="110"/>
        <v/>
      </c>
      <c r="AV98" s="7" t="str">
        <f t="shared" si="111"/>
        <v/>
      </c>
      <c r="AW98" s="7" t="str">
        <f t="shared" si="112"/>
        <v/>
      </c>
      <c r="AX98" s="41"/>
      <c r="AY98" s="24" t="s">
        <v>213</v>
      </c>
      <c r="AZ98" s="15"/>
    </row>
    <row r="99" spans="28:52">
      <c r="AB99" s="14"/>
      <c r="AC99" s="24" t="s">
        <v>342</v>
      </c>
      <c r="AD99" s="7" t="b">
        <f>NOT(ISERROR(MATCH(AC99,schedule_courses,0)))</f>
        <v>1</v>
      </c>
      <c r="AE99" s="7">
        <f t="shared" si="103"/>
        <v>6</v>
      </c>
      <c r="AF99" s="7" t="str">
        <f t="shared" si="104"/>
        <v/>
      </c>
      <c r="AG99" s="7" t="b">
        <f t="shared" si="113"/>
        <v>1</v>
      </c>
      <c r="AH99" s="7"/>
      <c r="AI99" s="7" t="b">
        <f t="shared" si="114"/>
        <v>1</v>
      </c>
      <c r="AJ99" s="7">
        <f t="shared" si="115"/>
        <v>2</v>
      </c>
      <c r="AK99" s="7"/>
      <c r="AL99" s="7" t="str">
        <f t="shared" si="105"/>
        <v/>
      </c>
      <c r="AM99" s="7"/>
      <c r="AN99" s="7" t="str">
        <f t="shared" si="106"/>
        <v/>
      </c>
      <c r="AO99" s="24">
        <v>3</v>
      </c>
      <c r="AP99" s="24" t="s">
        <v>245</v>
      </c>
      <c r="AQ99" s="7" t="b">
        <f t="shared" si="107"/>
        <v>1</v>
      </c>
      <c r="AR99" s="7">
        <f t="shared" si="108"/>
        <v>2</v>
      </c>
      <c r="AS99" s="7" t="b">
        <f t="shared" si="109"/>
        <v>1</v>
      </c>
      <c r="AT99" s="24"/>
      <c r="AU99" s="7" t="str">
        <f t="shared" si="110"/>
        <v/>
      </c>
      <c r="AV99" s="7" t="str">
        <f t="shared" si="111"/>
        <v/>
      </c>
      <c r="AW99" s="7" t="str">
        <f t="shared" si="112"/>
        <v/>
      </c>
      <c r="AX99" s="41"/>
      <c r="AY99" s="24" t="s">
        <v>213</v>
      </c>
      <c r="AZ99" s="15"/>
    </row>
    <row r="100" spans="28:52">
      <c r="AB100" s="14"/>
      <c r="AC100" s="24"/>
      <c r="AD100" s="7"/>
      <c r="AE100" s="7" t="str">
        <f t="shared" si="103"/>
        <v/>
      </c>
      <c r="AF100" s="7" t="str">
        <f t="shared" si="104"/>
        <v/>
      </c>
      <c r="AG100" s="7" t="str">
        <f t="shared" si="113"/>
        <v/>
      </c>
      <c r="AH100" s="7"/>
      <c r="AI100" s="7" t="str">
        <f t="shared" si="114"/>
        <v/>
      </c>
      <c r="AJ100" s="7" t="str">
        <f t="shared" si="115"/>
        <v/>
      </c>
      <c r="AK100" s="7"/>
      <c r="AL100" s="7" t="str">
        <f t="shared" si="105"/>
        <v/>
      </c>
      <c r="AM100" s="7"/>
      <c r="AN100" s="7" t="str">
        <f t="shared" si="106"/>
        <v/>
      </c>
      <c r="AO100" s="24"/>
      <c r="AP100" s="24"/>
      <c r="AQ100" s="7" t="str">
        <f t="shared" si="107"/>
        <v/>
      </c>
      <c r="AR100" s="7" t="str">
        <f t="shared" si="108"/>
        <v/>
      </c>
      <c r="AS100" s="7" t="str">
        <f t="shared" si="109"/>
        <v/>
      </c>
      <c r="AT100" s="24"/>
      <c r="AU100" s="7" t="str">
        <f t="shared" si="110"/>
        <v/>
      </c>
      <c r="AV100" s="7" t="str">
        <f t="shared" si="111"/>
        <v/>
      </c>
      <c r="AW100" s="7" t="str">
        <f t="shared" si="112"/>
        <v/>
      </c>
      <c r="AX100" s="41"/>
      <c r="AY100" s="24"/>
      <c r="AZ100" s="15"/>
    </row>
    <row r="101" spans="28:52">
      <c r="AB101" s="308" t="s">
        <v>379</v>
      </c>
      <c r="AC101" s="24"/>
      <c r="AD101" s="7"/>
      <c r="AE101" s="7" t="str">
        <f t="shared" si="103"/>
        <v/>
      </c>
      <c r="AF101" s="7" t="str">
        <f t="shared" si="104"/>
        <v/>
      </c>
      <c r="AG101" s="7" t="str">
        <f t="shared" si="113"/>
        <v/>
      </c>
      <c r="AH101" s="7"/>
      <c r="AI101" s="7" t="str">
        <f t="shared" si="114"/>
        <v/>
      </c>
      <c r="AJ101" s="7" t="str">
        <f t="shared" si="115"/>
        <v/>
      </c>
      <c r="AK101" s="7"/>
      <c r="AL101" s="7" t="str">
        <f t="shared" si="105"/>
        <v/>
      </c>
      <c r="AM101" s="7"/>
      <c r="AN101" s="7" t="str">
        <f t="shared" si="106"/>
        <v/>
      </c>
      <c r="AO101" s="24"/>
      <c r="AP101" s="24"/>
      <c r="AQ101" s="7" t="str">
        <f t="shared" si="107"/>
        <v/>
      </c>
      <c r="AR101" s="7" t="str">
        <f t="shared" si="108"/>
        <v/>
      </c>
      <c r="AS101" s="7" t="str">
        <f t="shared" si="109"/>
        <v/>
      </c>
      <c r="AT101" s="24"/>
      <c r="AU101" s="7" t="str">
        <f t="shared" si="110"/>
        <v/>
      </c>
      <c r="AV101" s="7" t="str">
        <f t="shared" si="111"/>
        <v/>
      </c>
      <c r="AW101" s="7" t="str">
        <f t="shared" si="112"/>
        <v/>
      </c>
      <c r="AX101" s="41"/>
      <c r="AY101" s="24"/>
      <c r="AZ101" s="15"/>
    </row>
    <row r="102" spans="28:52">
      <c r="AB102" s="308"/>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15"/>
    </row>
    <row r="103" spans="28:52">
      <c r="AB103" s="308"/>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15"/>
    </row>
    <row r="104" spans="28:52">
      <c r="AB104" s="308"/>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15"/>
    </row>
    <row r="105" spans="28:52">
      <c r="AB105" s="308"/>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15"/>
    </row>
    <row r="106" spans="28:52">
      <c r="AB106" s="308"/>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15"/>
    </row>
    <row r="107" spans="28:52">
      <c r="AB107" s="308"/>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15"/>
    </row>
    <row r="108" spans="28:52">
      <c r="AB108" s="308"/>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15"/>
    </row>
    <row r="109" spans="28:52">
      <c r="AB109" s="70">
        <v>6</v>
      </c>
      <c r="AC109" s="110" t="s">
        <v>420</v>
      </c>
      <c r="AD109" s="7" t="b">
        <f>NOT(ISERROR(MATCH(AC109,schedule_courses,0)))</f>
        <v>1</v>
      </c>
      <c r="AE109" s="7">
        <f>IF(AX109,0,IFERROR(INDEX(schedule_semester,MATCH(AC109,schedule_courses,0)), ""))</f>
        <v>8</v>
      </c>
      <c r="AF109" s="7" t="str">
        <f>IF(ISNA(MATCH(AC109, $R$6:$R$7, 0)), "", $R$3)</f>
        <v/>
      </c>
      <c r="AG109" s="7" t="b">
        <f>IF(AE109="", "", AE109&lt;AF109)</f>
        <v>1</v>
      </c>
      <c r="AH109" s="7"/>
      <c r="AI109" s="7" t="b">
        <f>IF(AE109="", "", AE109&gt;=AH109)</f>
        <v>1</v>
      </c>
      <c r="AJ109" s="7">
        <f>IF(AE109="","",IF(MOD(AE109,2)=0,2,1))</f>
        <v>2</v>
      </c>
      <c r="AK109" s="7"/>
      <c r="AL109" s="7" t="str">
        <f>IF(AK109&lt;&gt;0, AK109&lt;&gt;AJ109, "")</f>
        <v/>
      </c>
      <c r="AM109" s="7"/>
      <c r="AN109" s="7" t="str">
        <f>IFERROR(IF(AM109, INDEX(grade_number, MATCH(INDEX(schedule_grades, MATCH(AC109, schedule_courses, 0)), grade_letter, 0))&gt;=2, ""), "")</f>
        <v/>
      </c>
      <c r="AO109" s="41">
        <v>3</v>
      </c>
      <c r="AP109" s="24"/>
      <c r="AQ109" s="7" t="str">
        <f t="shared" ref="AQ109" si="116">IF(AP109=0,"",NOT(ISERROR(MATCH(AP109,schedule_courses,0))))</f>
        <v/>
      </c>
      <c r="AR109" s="7" t="str">
        <f t="shared" ref="AR109" si="117">IF(IFERROR(INDEX(req_tr_AP_credit, MATCH(AP109, req_course,0)), FALSE),0,IFERROR(INDEX(schedule_semester,MATCH(AP109,schedule_courses,0)), ""))</f>
        <v/>
      </c>
      <c r="AS109" s="7" t="str">
        <f>IF(AR109&lt;&gt;"", AR109&lt;AE109, "")</f>
        <v/>
      </c>
      <c r="AT109" s="24"/>
      <c r="AU109" s="7" t="str">
        <f t="shared" ref="AU109" si="118">IF(AT109=0,"",NOT(ISERROR(MATCH(AT109,schedule_courses,0))))</f>
        <v/>
      </c>
      <c r="AV109" s="7" t="str">
        <f t="shared" ref="AV109" si="119">IF(IFERROR(INDEX(req_tr_AP_credit, MATCH(AT109, req_course)), FALSE),0,IFERROR(INDEX(schedule_semester,MATCH(AT109,schedule_courses,0)), ""))</f>
        <v/>
      </c>
      <c r="AW109" s="7" t="str">
        <f>IF(AV109&lt;&gt;"", AV109&lt;=AE109, "")</f>
        <v/>
      </c>
      <c r="AX109" s="41"/>
      <c r="AY109" s="24"/>
      <c r="AZ109" s="15"/>
    </row>
    <row r="110" spans="28:52">
      <c r="AB110" s="14"/>
      <c r="AC110" s="111" t="s">
        <v>345</v>
      </c>
      <c r="AD110" s="7" t="b">
        <f>NOT(ISERROR(MATCH(AC110,schedule_courses,0)))</f>
        <v>1</v>
      </c>
      <c r="AE110" s="7">
        <f>IF(AX110,0,IFERROR(INDEX(schedule_semester,MATCH(AC110,schedule_courses,0)), ""))</f>
        <v>8</v>
      </c>
      <c r="AF110" s="7" t="str">
        <f>IF(ISNA(MATCH(AC110, $R$6:$R$7, 0)), "", $R$3)</f>
        <v/>
      </c>
      <c r="AG110" s="7" t="b">
        <f t="shared" ref="AG110:AG112" si="120">IF(AE110="", "", AE110&lt;AF110)</f>
        <v>1</v>
      </c>
      <c r="AH110" s="7"/>
      <c r="AI110" s="7" t="b">
        <f t="shared" ref="AI110:AI112" si="121">IF(AE110="", "", AE110&gt;=AH110)</f>
        <v>1</v>
      </c>
      <c r="AJ110" s="7">
        <f t="shared" ref="AJ110:AJ112" si="122">IF(AE110="","",IF(MOD(AE110,2)=0,2,1))</f>
        <v>2</v>
      </c>
      <c r="AK110" s="7"/>
      <c r="AL110" s="7" t="str">
        <f>IF(AK110&lt;&gt;0, AK110&lt;&gt;AJ110, "")</f>
        <v/>
      </c>
      <c r="AM110" s="7"/>
      <c r="AN110" s="7" t="str">
        <f>IFERROR(IF(AM110, INDEX(grade_number, MATCH(INDEX(schedule_grades, MATCH(AC110, schedule_courses, 0)), grade_letter, 0))&gt;=2, ""), "")</f>
        <v/>
      </c>
      <c r="AO110" s="41">
        <v>3</v>
      </c>
      <c r="AP110" s="24"/>
      <c r="AQ110" s="7" t="str">
        <f t="shared" ref="AQ110:AQ112" si="123">IF(AP110=0,"",NOT(ISERROR(MATCH(AP110,schedule_courses,0))))</f>
        <v/>
      </c>
      <c r="AR110" s="7" t="str">
        <f t="shared" ref="AR110:AR112" si="124">IF(IFERROR(INDEX(req_tr_AP_credit, MATCH(AP110, req_course,0)), FALSE),0,IFERROR(INDEX(schedule_semester,MATCH(AP110,schedule_courses,0)), ""))</f>
        <v/>
      </c>
      <c r="AS110" s="7" t="str">
        <f>IF(AR110&lt;&gt;"", AR110&lt;AE110, "")</f>
        <v/>
      </c>
      <c r="AT110" s="24"/>
      <c r="AU110" s="7" t="str">
        <f t="shared" ref="AU110:AU112" si="125">IF(AT110=0,"",NOT(ISERROR(MATCH(AT110,schedule_courses,0))))</f>
        <v/>
      </c>
      <c r="AV110" s="7" t="str">
        <f t="shared" ref="AV110:AV112" si="126">IF(IFERROR(INDEX(req_tr_AP_credit, MATCH(AT110, req_course)), FALSE),0,IFERROR(INDEX(schedule_semester,MATCH(AT110,schedule_courses,0)), ""))</f>
        <v/>
      </c>
      <c r="AW110" s="7" t="str">
        <f>IF(AV110&lt;&gt;"", AV110&lt;=AE110, "")</f>
        <v/>
      </c>
      <c r="AX110" s="41"/>
      <c r="AY110" s="24"/>
      <c r="AZ110" s="15"/>
    </row>
    <row r="111" spans="28:52">
      <c r="AB111" s="14"/>
      <c r="AC111" s="111"/>
      <c r="AD111" s="7" t="b">
        <f>NOT(ISERROR(MATCH(AC111,schedule_courses,0)))</f>
        <v>0</v>
      </c>
      <c r="AE111" s="7" t="str">
        <f>IF(AX111,0,IFERROR(INDEX(schedule_semester,MATCH(AC111,schedule_courses,0)), ""))</f>
        <v/>
      </c>
      <c r="AF111" s="7" t="str">
        <f>IF(ISNA(MATCH(AC111, $R$6:$R$7, 0)), "", $R$3)</f>
        <v/>
      </c>
      <c r="AG111" s="7" t="str">
        <f t="shared" si="120"/>
        <v/>
      </c>
      <c r="AH111" s="7"/>
      <c r="AI111" s="7" t="str">
        <f t="shared" si="121"/>
        <v/>
      </c>
      <c r="AJ111" s="7" t="str">
        <f t="shared" si="122"/>
        <v/>
      </c>
      <c r="AK111" s="7"/>
      <c r="AL111" s="7" t="str">
        <f>IF(AK111&lt;&gt;0, AK111&lt;&gt;AJ111, "")</f>
        <v/>
      </c>
      <c r="AM111" s="7"/>
      <c r="AN111" s="7" t="str">
        <f>IFERROR(IF(AM111, INDEX(grade_number, MATCH(INDEX(schedule_grades, MATCH(AC111, schedule_courses, 0)), grade_letter, 0))&gt;=2, ""), "")</f>
        <v/>
      </c>
      <c r="AO111" s="41"/>
      <c r="AP111" s="24"/>
      <c r="AQ111" s="7" t="str">
        <f t="shared" si="123"/>
        <v/>
      </c>
      <c r="AR111" s="7" t="str">
        <f t="shared" si="124"/>
        <v/>
      </c>
      <c r="AS111" s="7" t="str">
        <f>IF(AR111&lt;&gt;"", AR111&lt;AE111, "")</f>
        <v/>
      </c>
      <c r="AT111" s="24"/>
      <c r="AU111" s="7" t="str">
        <f t="shared" si="125"/>
        <v/>
      </c>
      <c r="AV111" s="7" t="str">
        <f t="shared" si="126"/>
        <v/>
      </c>
      <c r="AW111" s="7" t="str">
        <f>IF(AV111&lt;&gt;"", AV111&lt;=AE111, "")</f>
        <v/>
      </c>
      <c r="AX111" s="41"/>
      <c r="AY111" s="24"/>
      <c r="AZ111" s="15"/>
    </row>
    <row r="112" spans="28:52">
      <c r="AB112" s="14"/>
      <c r="AC112" s="112"/>
      <c r="AD112" s="7" t="b">
        <f>NOT(ISERROR(MATCH(AC112,schedule_courses,0)))</f>
        <v>0</v>
      </c>
      <c r="AE112" s="7" t="str">
        <f>IF(AX112,0,IFERROR(INDEX(schedule_semester,MATCH(AC112,schedule_courses,0)), ""))</f>
        <v/>
      </c>
      <c r="AF112" s="7" t="str">
        <f>IF(ISNA(MATCH(AC112, $R$6:$R$7, 0)), "", $R$3)</f>
        <v/>
      </c>
      <c r="AG112" s="7" t="str">
        <f t="shared" si="120"/>
        <v/>
      </c>
      <c r="AH112" s="7"/>
      <c r="AI112" s="7" t="str">
        <f t="shared" si="121"/>
        <v/>
      </c>
      <c r="AJ112" s="7" t="str">
        <f t="shared" si="122"/>
        <v/>
      </c>
      <c r="AK112" s="7"/>
      <c r="AL112" s="7" t="str">
        <f>IF(AK112&lt;&gt;0, AK112&lt;&gt;AJ112, "")</f>
        <v/>
      </c>
      <c r="AM112" s="7"/>
      <c r="AN112" s="7" t="str">
        <f>IFERROR(IF(AM112, INDEX(grade_number, MATCH(INDEX(schedule_grades, MATCH(AC112, schedule_courses, 0)), grade_letter, 0))&gt;=2, ""), "")</f>
        <v/>
      </c>
      <c r="AO112" s="41"/>
      <c r="AP112" s="24"/>
      <c r="AQ112" s="7" t="str">
        <f t="shared" si="123"/>
        <v/>
      </c>
      <c r="AR112" s="7" t="str">
        <f t="shared" si="124"/>
        <v/>
      </c>
      <c r="AS112" s="7" t="str">
        <f>IF(AR112&lt;&gt;"", AR112&lt;AE112, "")</f>
        <v/>
      </c>
      <c r="AT112" s="24"/>
      <c r="AU112" s="7" t="str">
        <f t="shared" si="125"/>
        <v/>
      </c>
      <c r="AV112" s="7" t="str">
        <f t="shared" si="126"/>
        <v/>
      </c>
      <c r="AW112" s="7" t="str">
        <f>IF(AV112&lt;&gt;"", AV112&lt;=AE112, "")</f>
        <v/>
      </c>
      <c r="AX112" s="41"/>
      <c r="AY112" s="24"/>
      <c r="AZ112" s="15"/>
    </row>
    <row r="113" spans="28:52">
      <c r="AB113" s="16" t="s">
        <v>47</v>
      </c>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15"/>
    </row>
    <row r="114" spans="28:52">
      <c r="AB114" s="65" cm="1">
        <f t="array" ref="AB114">SUM(IF(ISNA(MATCH(AC109:AC112,schedule_courses,0)),0,1)*(AO109:AO112))</f>
        <v>6</v>
      </c>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15"/>
    </row>
    <row r="115" spans="28:52">
      <c r="AB115" s="113" t="str">
        <f>IF(AB114&gt;=AB109, "Satisfied", "Not Satisfied")</f>
        <v>Satisfied</v>
      </c>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26"/>
    </row>
  </sheetData>
  <sheetProtection sheet="1" selectLockedCells="1"/>
  <sortState xmlns:xlrd2="http://schemas.microsoft.com/office/spreadsheetml/2017/richdata2" ref="AB4:AZ87">
    <sortCondition ref="AZ4:AZ87" customList="R,VEE,S"/>
    <sortCondition ref="AC4:AC87"/>
  </sortState>
  <mergeCells count="11">
    <mergeCell ref="AB101:AB108"/>
    <mergeCell ref="R2:V2"/>
    <mergeCell ref="R3:V3"/>
    <mergeCell ref="R5:V5"/>
    <mergeCell ref="R6:V6"/>
    <mergeCell ref="R7:V7"/>
    <mergeCell ref="R8:V8"/>
    <mergeCell ref="R10:V10"/>
    <mergeCell ref="R36:S36"/>
    <mergeCell ref="AB28:AB39"/>
    <mergeCell ref="T26:V26"/>
  </mergeCells>
  <phoneticPr fontId="11" type="noConversion"/>
  <conditionalFormatting sqref="R12:R23">
    <cfRule type="expression" dxfId="50" priority="42">
      <formula>NOT(V12)</formula>
    </cfRule>
    <cfRule type="expression" dxfId="49" priority="43">
      <formula>V12</formula>
    </cfRule>
  </conditionalFormatting>
  <conditionalFormatting sqref="R3:V3">
    <cfRule type="expression" dxfId="48" priority="44">
      <formula>NOT(etm_full_satisfied)</formula>
    </cfRule>
    <cfRule type="expression" dxfId="47" priority="45">
      <formula>etm_fully_satisfied</formula>
    </cfRule>
  </conditionalFormatting>
  <conditionalFormatting sqref="AC4:AC115">
    <cfRule type="expression" dxfId="46" priority="31" stopIfTrue="1">
      <formula>AX4</formula>
    </cfRule>
    <cfRule type="expression" dxfId="45" priority="32">
      <formula>NOT(AD4)</formula>
    </cfRule>
    <cfRule type="expression" dxfId="44" priority="33">
      <formula>OR(AS4=FALSE, AW4=FALSE)</formula>
    </cfRule>
    <cfRule type="expression" dxfId="43" priority="34">
      <formula>AL4</formula>
    </cfRule>
    <cfRule type="expression" dxfId="42" priority="35">
      <formula>NOT(AI4)</formula>
    </cfRule>
    <cfRule type="expression" dxfId="41" priority="36">
      <formula>IFERROR(NOT(AN4), FALSE)</formula>
    </cfRule>
    <cfRule type="expression" dxfId="40" priority="37">
      <formula>AD4</formula>
    </cfRule>
  </conditionalFormatting>
  <conditionalFormatting sqref="AP4:AP115 AT4:AT115">
    <cfRule type="expression" dxfId="39" priority="38" stopIfTrue="1">
      <formula>IFERROR(INDEX(req_tr_AP_credit, MATCH(AP4, req_course, 0)), FALSE)</formula>
    </cfRule>
    <cfRule type="expression" dxfId="38" priority="39">
      <formula>IFERROR(NOT(AQ4), FALSE)</formula>
    </cfRule>
    <cfRule type="expression" dxfId="37" priority="40">
      <formula>IFERROR(NOT(AS4), FALSE)</formula>
    </cfRule>
    <cfRule type="expression" dxfId="36" priority="41">
      <formula>IFERROR(AQ4, FALSE)</formula>
    </cfRule>
  </conditionalFormatting>
  <conditionalFormatting sqref="AB114:AB115">
    <cfRule type="expression" dxfId="35" priority="54">
      <formula>$AB$114&lt;$AB$109</formula>
    </cfRule>
    <cfRule type="expression" dxfId="34" priority="55">
      <formula>$AB$114&gt;=$AB$109</formula>
    </cfRule>
  </conditionalFormatting>
  <conditionalFormatting sqref="AB89:AB90">
    <cfRule type="expression" dxfId="33" priority="50">
      <formula>$AB$89&lt;$AB$82</formula>
    </cfRule>
    <cfRule type="expression" dxfId="32" priority="51">
      <formula>$AB$89&gt;=$AB$82</formula>
    </cfRule>
  </conditionalFormatting>
  <conditionalFormatting sqref="R6:R8">
    <cfRule type="expression" dxfId="31" priority="48">
      <formula>NOT(Z6)</formula>
    </cfRule>
    <cfRule type="expression" dxfId="30" priority="49">
      <formula>Z6</formula>
    </cfRule>
  </conditionalFormatting>
  <conditionalFormatting sqref="A40:K44 M40:XFD44 L40:L43 A45:XFD57 A58:K60 M58:XFD60 A1:XFD35 A37:XFD39 A36:K36 M36:XFD36 A61:XFD69 A71:XFD1048576 A70:K70 M70:XFD70 L58:L59">
    <cfRule type="expression" dxfId="29" priority="7">
      <formula>CELL("protect", A1)=1</formula>
    </cfRule>
    <cfRule type="expression" priority="8" stopIfTrue="1">
      <formula>OR(A1="Course", A1="Prequisites", A1="Corequisites", ISBLANK(A1))</formula>
    </cfRule>
  </conditionalFormatting>
  <conditionalFormatting sqref="BD35:BF47">
    <cfRule type="expression" dxfId="28" priority="5">
      <formula>CELL("protect", BD35)=1</formula>
    </cfRule>
    <cfRule type="expression" priority="6" stopIfTrue="1">
      <formula>OR(BD35="Course", BD35="Prequisites", BD35="Corequisites", ISBLANK(BD35))</formula>
    </cfRule>
  </conditionalFormatting>
  <conditionalFormatting sqref="R27:R31 R34">
    <cfRule type="expression" dxfId="27" priority="3">
      <formula>CELL("protect", R27)=1</formula>
    </cfRule>
    <cfRule type="expression" priority="4" stopIfTrue="1">
      <formula>OR(R27="Course", R27="Prequisites", R27="Corequisites", ISBLANK(R27))</formula>
    </cfRule>
  </conditionalFormatting>
  <conditionalFormatting sqref="R32:R33">
    <cfRule type="expression" dxfId="26" priority="1">
      <formula>CELL("protect", R32)=1</formula>
    </cfRule>
    <cfRule type="expression" priority="2" stopIfTrue="1">
      <formula>OR(R32="Course", R32="Prequisites", R32="Corequisites", ISBLANK(R32))</formula>
    </cfRule>
  </conditionalFormatting>
  <dataValidations count="13">
    <dataValidation type="list" allowBlank="1" showInputMessage="1" showErrorMessage="1" sqref="K2:K82" xr:uid="{505662DA-08C1-1641-B679-BAD40A583456}">
      <formula1>grade_letter</formula1>
    </dataValidation>
    <dataValidation type="list" allowBlank="1" showInputMessage="1" showErrorMessage="1" sqref="O2:O82 S38 AX4:AX115" xr:uid="{94F628ED-CCCE-6941-A61F-02C478821297}">
      <formula1>tf</formula1>
    </dataValidation>
    <dataValidation type="list" allowBlank="1" showInputMessage="1" showErrorMessage="1" sqref="P2:P82" xr:uid="{68DBA434-8D2B-4243-A258-2D8BB3E33FD4}">
      <formula1>usil</formula1>
    </dataValidation>
    <dataValidation type="decimal" allowBlank="1" showInputMessage="1" showErrorMessage="1" errorTitle="Semester Entry Error" error="Make sure you have entered the semester number correctly." sqref="J74:J82 S37" xr:uid="{6B3487BF-CEEB-4647-BEFB-3779CA35AF44}">
      <formula1>0</formula1>
      <formula2>10</formula2>
    </dataValidation>
    <dataValidation type="whole" allowBlank="1" showInputMessage="1" showErrorMessage="1" errorTitle="Semester Entry Error" error="Make sure you have entered the semester number correctly." sqref="R3:V3" xr:uid="{5AD8A6A8-AFA1-5846-BA32-CF1B8248DFD1}">
      <formula1>0</formula1>
      <formula2>6</formula2>
    </dataValidation>
    <dataValidation type="decimal" allowBlank="1" showInputMessage="1" showErrorMessage="1" sqref="Z22" xr:uid="{7D74B64A-798B-8348-8EBB-3483FA0D67CA}">
      <formula1>0</formula1>
      <formula2>10</formula2>
    </dataValidation>
    <dataValidation type="list" allowBlank="1" showInputMessage="1" showErrorMessage="1" sqref="AC27" xr:uid="{B5263E4A-01B7-C146-9868-E2FB313D0476}">
      <formula1>$AA$23:$AA$27</formula1>
    </dataValidation>
    <dataValidation type="list" allowBlank="1" showInputMessage="1" showErrorMessage="1" sqref="AC28:AC39" xr:uid="{F3763E63-0B66-234D-A365-0CAFC2262AF1}">
      <formula1>$AA$28:$AA$37</formula1>
    </dataValidation>
    <dataValidation allowBlank="1" showInputMessage="1" showErrorMessage="1" prompt="Enter credit amount in cell to right_x000a_" sqref="AC57:AC68 AC82:AC87 AC109:AC112" xr:uid="{EA5B51EF-7831-4B4F-AD6D-D695CE98904D}"/>
    <dataValidation type="decimal" operator="greaterThanOrEqual" allowBlank="1" showInputMessage="1" showErrorMessage="1" errorTitle="Credit Entry Error" error="Make sure you have entered the credits number correctly." sqref="U12:U23" xr:uid="{20E99D78-5EEB-4947-B795-5ED8FFCB6FDB}">
      <formula1>0</formula1>
    </dataValidation>
    <dataValidation type="list" allowBlank="1" showInputMessage="1" showErrorMessage="1" sqref="AC5" xr:uid="{20C784E9-3DDD-1248-9E80-A9F02CED2DAF}">
      <formula1>$AA$5:$AA$6</formula1>
    </dataValidation>
    <dataValidation type="list" allowBlank="1" showInputMessage="1" showErrorMessage="1" sqref="AY4:AY115" xr:uid="{CB823DF0-B025-264E-B998-EF183A4F8BFD}">
      <formula1>$R$12:$R$19</formula1>
    </dataValidation>
    <dataValidation type="custom" showInputMessage="1" showErrorMessage="1" errorTitle="Course Entry Error" error="Make sure the course name is entered correctly. If you are entering a gen-ed, make sure you used the correct format (see instructions FAQ). If you are entering a non-required course, make sure you add it in the additional courses section." sqref="L2:L35 L37:L43 L45:L59 L61:L69 L71:L82" xr:uid="{0070C27E-A95F-3E44-9CC5-3EFEA3237229}">
      <formula1>OR(NOT(ISNA(MATCH(L2,req_course, 0))),LEFT(L2, 2)="GQ", LEFT(L2, 3)="GWS", LEFT(L2, 2)="GA", LEFT(L2, 3)="GHW", LEFT(L2, 2)="GH", LEFT(L2, 3)="GWS", LEFT(L2, 2)="GS", LEFT(L2, 2)="GN")</formula1>
    </dataValidation>
  </dataValidations>
  <pageMargins left="0.7" right="0.7" top="0.75" bottom="0.75" header="0.3" footer="0.3"/>
  <ignoredErrors>
    <ignoredError sqref="S32" formula="1"/>
  </ignoredErrors>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7FC37-514C-AF48-9DFC-2B859B32F4C6}">
  <sheetPr codeName="Sheet1">
    <tabColor theme="9" tint="0.79998168889431442"/>
  </sheetPr>
  <dimension ref="A1:BI126"/>
  <sheetViews>
    <sheetView topLeftCell="J1" zoomScale="75" zoomScaleNormal="36" workbookViewId="0">
      <selection activeCell="O12" sqref="O12"/>
    </sheetView>
  </sheetViews>
  <sheetFormatPr defaultColWidth="10.8984375" defaultRowHeight="15.6"/>
  <cols>
    <col min="1" max="1" width="24" hidden="1" customWidth="1"/>
    <col min="2" max="2" width="25.5" hidden="1" customWidth="1"/>
    <col min="3" max="6" width="20.59765625" hidden="1" customWidth="1"/>
    <col min="7" max="7" width="22.8984375" hidden="1" customWidth="1"/>
    <col min="8" max="8" width="20.59765625" hidden="1" customWidth="1"/>
    <col min="9" max="9" width="19.3984375" hidden="1" customWidth="1"/>
    <col min="10" max="10" width="8.59765625" bestFit="1" customWidth="1"/>
    <col min="11" max="11" width="15.5" bestFit="1" customWidth="1"/>
    <col min="12" max="12" width="19.09765625" bestFit="1" customWidth="1"/>
    <col min="13" max="13" width="10.8984375" customWidth="1"/>
    <col min="14" max="14" width="10.8984375" bestFit="1" customWidth="1"/>
    <col min="15" max="15" width="12.3984375" bestFit="1" customWidth="1"/>
    <col min="16" max="16" width="12.3984375" customWidth="1"/>
    <col min="17" max="17" width="10.8984375" customWidth="1"/>
    <col min="18" max="18" width="15" bestFit="1" customWidth="1"/>
    <col min="19" max="19" width="16.59765625" bestFit="1" customWidth="1"/>
    <col min="20" max="21" width="12.59765625" bestFit="1" customWidth="1"/>
    <col min="22" max="22" width="11.8984375" bestFit="1" customWidth="1"/>
    <col min="23" max="23" width="11.09765625" hidden="1" customWidth="1"/>
    <col min="24" max="24" width="17.5" bestFit="1" customWidth="1"/>
    <col min="25" max="25" width="11.09765625" customWidth="1"/>
    <col min="26" max="26" width="9.5" hidden="1" customWidth="1"/>
    <col min="27" max="27" width="10.8984375" style="251" customWidth="1"/>
    <col min="28" max="28" width="22.59765625" bestFit="1" customWidth="1"/>
    <col min="29" max="29" width="11.8984375" bestFit="1" customWidth="1"/>
    <col min="30" max="30" width="11.8984375" hidden="1" customWidth="1"/>
    <col min="31" max="31" width="14.3984375" hidden="1" customWidth="1"/>
    <col min="32" max="32" width="16.09765625" hidden="1" customWidth="1"/>
    <col min="33" max="33" width="23.09765625" hidden="1" customWidth="1"/>
    <col min="34" max="34" width="16.5" hidden="1" customWidth="1"/>
    <col min="35" max="35" width="35.3984375" hidden="1" customWidth="1"/>
    <col min="36" max="36" width="15.3984375" hidden="1" customWidth="1"/>
    <col min="37" max="37" width="25" hidden="1" customWidth="1"/>
    <col min="38" max="40" width="18.59765625" hidden="1" customWidth="1"/>
    <col min="41" max="41" width="7" bestFit="1" customWidth="1"/>
    <col min="42" max="42" width="12.09765625" bestFit="1" customWidth="1"/>
    <col min="43" max="43" width="12.09765625" hidden="1" customWidth="1"/>
    <col min="44" max="44" width="15.59765625" hidden="1" customWidth="1"/>
    <col min="45" max="45" width="19.59765625" hidden="1" customWidth="1"/>
    <col min="46" max="46" width="11.59765625" bestFit="1" customWidth="1"/>
    <col min="47" max="47" width="11.59765625" hidden="1" customWidth="1"/>
    <col min="48" max="48" width="15.59765625" hidden="1" customWidth="1"/>
    <col min="49" max="49" width="19" hidden="1" customWidth="1"/>
    <col min="50" max="50" width="12.59765625" bestFit="1" customWidth="1"/>
    <col min="51" max="51" width="8.3984375" bestFit="1" customWidth="1"/>
    <col min="52" max="52" width="5.3984375" bestFit="1" customWidth="1"/>
    <col min="53" max="53" width="4.5" customWidth="1"/>
    <col min="54" max="54" width="46.8984375" bestFit="1" customWidth="1"/>
    <col min="55" max="55" width="8.5" customWidth="1"/>
    <col min="56" max="56" width="51.5" hidden="1" customWidth="1"/>
    <col min="57" max="57" width="106" hidden="1" customWidth="1"/>
    <col min="58" max="58" width="41.09765625" hidden="1" customWidth="1"/>
    <col min="59" max="59" width="12.09765625" customWidth="1"/>
    <col min="60" max="60" width="10.8984375" customWidth="1"/>
    <col min="61" max="61" width="123.3984375" customWidth="1"/>
  </cols>
  <sheetData>
    <row r="1" spans="1:61">
      <c r="A1" s="1" t="s">
        <v>87</v>
      </c>
      <c r="B1" s="1" t="s">
        <v>88</v>
      </c>
      <c r="C1" s="1" t="s">
        <v>89</v>
      </c>
      <c r="D1" s="1" t="s">
        <v>90</v>
      </c>
      <c r="E1" s="1" t="s">
        <v>91</v>
      </c>
      <c r="F1" s="1" t="s">
        <v>92</v>
      </c>
      <c r="G1" s="1" t="s">
        <v>93</v>
      </c>
      <c r="H1" s="1" t="s">
        <v>94</v>
      </c>
      <c r="I1" s="1" t="s">
        <v>95</v>
      </c>
      <c r="J1" s="2" t="s">
        <v>29</v>
      </c>
      <c r="K1" s="2" t="s">
        <v>31</v>
      </c>
      <c r="L1" s="2" t="s">
        <v>33</v>
      </c>
      <c r="M1" s="2" t="s">
        <v>35</v>
      </c>
      <c r="N1" s="2" t="s">
        <v>37</v>
      </c>
      <c r="O1" s="2" t="s">
        <v>39</v>
      </c>
      <c r="P1" s="2" t="s">
        <v>41</v>
      </c>
    </row>
    <row r="2" spans="1:61">
      <c r="A2" cm="1">
        <f t="array" ref="A2:A82">IF(schedule_semester=calculator_semester, 1, 0)</f>
        <v>1</v>
      </c>
      <c r="B2" cm="1">
        <f t="array" ref="B2:B82">IF(schedule_semester&lt;=calculator_semester, 1, 0)</f>
        <v>1</v>
      </c>
      <c r="C2" cm="1">
        <f t="array" ref="C2:C82">IF(schedule_semester&lt;etm_semester, 1, 0)</f>
        <v>1</v>
      </c>
      <c r="D2">
        <f t="shared" ref="D2:D33" si="0">IFERROR(INDEX(grade_number, MATCH(K2, grade_letter, 0))*M2,0)</f>
        <v>0</v>
      </c>
      <c r="E2">
        <f>D2*C2</f>
        <v>0</v>
      </c>
      <c r="F2">
        <f t="shared" ref="F2:F33" si="1">IF(gpa_tf, D2*B2, D2*A2)</f>
        <v>0</v>
      </c>
      <c r="G2">
        <f>IF(M2="",0,M2)</f>
        <v>1</v>
      </c>
      <c r="H2">
        <f>G2*C2</f>
        <v>1</v>
      </c>
      <c r="I2">
        <f>IF(gpa_tf, G2*B2, G2*A2)</f>
        <v>1</v>
      </c>
      <c r="J2" s="53">
        <v>1</v>
      </c>
      <c r="K2" s="51"/>
      <c r="L2" s="51" t="s">
        <v>346</v>
      </c>
      <c r="M2" s="55" cm="1">
        <f t="array" ref="M2:M82">IF(ISBLANK(schedule_courses),"",IF(ISNA(MATCH(schedule_courses,req_course,0)), (RIGHT(schedule_courses, LEN(schedule_courses) - FIND(" ", schedule_courses)))*1, INDEX(req_credits,MATCH(schedule_courses, req_course,0))))</f>
        <v>1</v>
      </c>
      <c r="N2" s="55" t="str" cm="1">
        <f t="array" ref="N2:N82">IF(ISNA(MATCH(schedule_courses, req_course, 0)), IF(ISBLANK(schedule_courses), "", LEFT(schedule_courses, FIND(" ", schedule_courses)-1)), IF(ISBLANK(INDEX(req_gecode, MATCH(schedule_courses, req_course, 0))), "", INDEX(req_gecode, MATCH(schedule_courses, req_course, 0))))</f>
        <v>FYS</v>
      </c>
      <c r="O2" s="51"/>
      <c r="P2" s="52"/>
      <c r="R2" s="302" t="s">
        <v>98</v>
      </c>
      <c r="S2" s="303"/>
      <c r="T2" s="303"/>
      <c r="U2" s="303"/>
      <c r="V2" s="304"/>
      <c r="W2" s="35" t="s">
        <v>51</v>
      </c>
      <c r="X2" s="37"/>
      <c r="Y2" s="37"/>
      <c r="Z2" s="37"/>
      <c r="AB2" s="93" t="s">
        <v>99</v>
      </c>
      <c r="AC2" s="92"/>
      <c r="AD2" s="92"/>
      <c r="AE2" s="92"/>
      <c r="AF2" s="92"/>
      <c r="AG2" s="92"/>
      <c r="AH2" s="92"/>
      <c r="AI2" s="92"/>
      <c r="AJ2" s="92"/>
      <c r="AK2" s="92"/>
      <c r="AL2" s="92"/>
      <c r="AM2" s="92"/>
      <c r="AN2" s="92"/>
      <c r="AO2" s="92"/>
      <c r="AP2" s="92"/>
      <c r="AQ2" s="92"/>
      <c r="AR2" s="92"/>
      <c r="AS2" s="92"/>
      <c r="AT2" s="92"/>
      <c r="AU2" s="92"/>
      <c r="AV2" s="92"/>
      <c r="AW2" s="92"/>
      <c r="AX2" s="92"/>
      <c r="AY2" s="260"/>
      <c r="AZ2" s="12"/>
      <c r="BA2" s="6"/>
      <c r="BB2" s="35" t="s">
        <v>100</v>
      </c>
      <c r="BD2" s="74" t="s">
        <v>101</v>
      </c>
      <c r="BE2" s="96" t="s">
        <v>102</v>
      </c>
      <c r="BF2" s="24"/>
      <c r="BI2" s="1"/>
    </row>
    <row r="3" spans="1:61">
      <c r="A3">
        <v>1</v>
      </c>
      <c r="B3">
        <v>1</v>
      </c>
      <c r="C3">
        <v>1</v>
      </c>
      <c r="D3">
        <f t="shared" si="0"/>
        <v>0</v>
      </c>
      <c r="E3">
        <f t="shared" ref="E3:E66" si="2">D3*C3</f>
        <v>0</v>
      </c>
      <c r="F3">
        <f t="shared" si="1"/>
        <v>0</v>
      </c>
      <c r="G3">
        <f t="shared" ref="G3:G66" si="3">IF(M3="",0,M3)</f>
        <v>4</v>
      </c>
      <c r="H3">
        <f t="shared" ref="H3:H66" si="4">G3*C3</f>
        <v>4</v>
      </c>
      <c r="I3">
        <f t="shared" ref="I3:I33" si="5">IF(gpa_tf, G3*B3, G3*A3)</f>
        <v>4</v>
      </c>
      <c r="J3" s="45">
        <v>1</v>
      </c>
      <c r="K3" s="41"/>
      <c r="L3" s="41" t="s">
        <v>103</v>
      </c>
      <c r="M3" s="24">
        <v>4</v>
      </c>
      <c r="N3" s="24" t="str">
        <v>GQ</v>
      </c>
      <c r="O3" s="41"/>
      <c r="P3" s="48"/>
      <c r="R3" s="305">
        <v>3</v>
      </c>
      <c r="S3" s="306"/>
      <c r="T3" s="306"/>
      <c r="U3" s="306"/>
      <c r="V3" s="307"/>
      <c r="W3" s="34" t="b">
        <f>AND(etm_items_satisfied)</f>
        <v>0</v>
      </c>
      <c r="X3" s="24"/>
      <c r="Y3" s="24"/>
      <c r="Z3" s="24"/>
      <c r="AB3" s="89" t="s">
        <v>73</v>
      </c>
      <c r="AC3" s="88" t="s">
        <v>33</v>
      </c>
      <c r="AD3" s="5" t="s">
        <v>104</v>
      </c>
      <c r="AE3" s="5" t="s">
        <v>105</v>
      </c>
      <c r="AF3" s="5" t="s">
        <v>106</v>
      </c>
      <c r="AG3" s="5" t="s">
        <v>107</v>
      </c>
      <c r="AH3" s="114" t="s">
        <v>108</v>
      </c>
      <c r="AI3" s="5" t="s">
        <v>109</v>
      </c>
      <c r="AJ3" s="5" t="s">
        <v>110</v>
      </c>
      <c r="AK3" s="114" t="s">
        <v>111</v>
      </c>
      <c r="AL3" s="5" t="s">
        <v>112</v>
      </c>
      <c r="AM3" s="114" t="s">
        <v>113</v>
      </c>
      <c r="AN3" s="5" t="s">
        <v>114</v>
      </c>
      <c r="AO3" s="88" t="s">
        <v>35</v>
      </c>
      <c r="AP3" s="88" t="s">
        <v>77</v>
      </c>
      <c r="AQ3" s="91" t="s">
        <v>104</v>
      </c>
      <c r="AR3" s="5" t="s">
        <v>105</v>
      </c>
      <c r="AS3" s="5" t="s">
        <v>115</v>
      </c>
      <c r="AT3" s="88" t="s">
        <v>79</v>
      </c>
      <c r="AU3" s="91" t="s">
        <v>104</v>
      </c>
      <c r="AV3" s="91" t="s">
        <v>105</v>
      </c>
      <c r="AW3" s="5" t="s">
        <v>116</v>
      </c>
      <c r="AX3" s="88" t="s">
        <v>80</v>
      </c>
      <c r="AY3" s="88" t="s">
        <v>37</v>
      </c>
      <c r="AZ3" s="90" t="s">
        <v>83</v>
      </c>
      <c r="BB3" s="57" t="s">
        <v>117</v>
      </c>
      <c r="BD3" s="16" t="s">
        <v>118</v>
      </c>
      <c r="BE3" s="97"/>
      <c r="BF3" s="24"/>
    </row>
    <row r="4" spans="1:61">
      <c r="A4">
        <v>1</v>
      </c>
      <c r="B4">
        <v>1</v>
      </c>
      <c r="C4">
        <v>1</v>
      </c>
      <c r="D4">
        <f t="shared" si="0"/>
        <v>0</v>
      </c>
      <c r="E4">
        <f t="shared" si="2"/>
        <v>0</v>
      </c>
      <c r="F4">
        <f t="shared" si="1"/>
        <v>0</v>
      </c>
      <c r="G4">
        <f t="shared" si="3"/>
        <v>4</v>
      </c>
      <c r="H4">
        <f t="shared" si="4"/>
        <v>4</v>
      </c>
      <c r="I4">
        <f t="shared" si="5"/>
        <v>4</v>
      </c>
      <c r="J4" s="45">
        <v>1</v>
      </c>
      <c r="K4" s="41"/>
      <c r="L4" s="41" t="s">
        <v>119</v>
      </c>
      <c r="M4" s="24">
        <v>4</v>
      </c>
      <c r="N4" s="24" t="str">
        <v>GQ</v>
      </c>
      <c r="O4" s="41"/>
      <c r="P4" s="48"/>
      <c r="AA4" s="251" t="s">
        <v>355</v>
      </c>
      <c r="AB4" s="14"/>
      <c r="AC4" s="7" t="s">
        <v>139</v>
      </c>
      <c r="AD4" s="7" t="b">
        <f t="shared" ref="AD4:AD7" si="6">NOT(ISERROR(MATCH(AC4,schedule_courses,0)))</f>
        <v>1</v>
      </c>
      <c r="AE4" s="7">
        <f t="shared" ref="AE4:AE7" si="7">IF(AX4,0,IFERROR(INDEX(schedule_semester,MATCH(AC4,schedule_courses,0)), ""))</f>
        <v>5</v>
      </c>
      <c r="AF4" s="7" t="str">
        <f t="shared" ref="AF4:AF7" si="8">IF(ISNA(MATCH(AC4, $R$6:$R$7, 0)), "", $R$3)</f>
        <v/>
      </c>
      <c r="AG4" s="7" t="b">
        <f>IF(AE4="", "", AE4&lt;AF4)</f>
        <v>1</v>
      </c>
      <c r="AH4" s="9"/>
      <c r="AI4" s="7" t="b">
        <f>IF(AE4="", "", AE4&gt;=AH4)</f>
        <v>1</v>
      </c>
      <c r="AJ4" s="7">
        <f>IF(AE4="","",IF(MOD(AE4,2)=0,2,1))</f>
        <v>1</v>
      </c>
      <c r="AK4" s="7"/>
      <c r="AL4" s="7" t="str">
        <f>IF(AK4&lt;&gt;0, AK4&lt;&gt;AJ4, "")</f>
        <v/>
      </c>
      <c r="AM4" s="7"/>
      <c r="AN4" s="7" t="str">
        <f t="shared" ref="AN4:AN7" si="9">IFERROR(IF(AM4, INDEX(grade_number, MATCH(INDEX(schedule_grades, MATCH(AC4, schedule_courses, 0)), grade_letter, 0))&gt;=2, ""), "")</f>
        <v/>
      </c>
      <c r="AO4" s="7">
        <v>3</v>
      </c>
      <c r="AP4" s="7"/>
      <c r="AQ4" s="7" t="str">
        <f t="shared" ref="AQ4:AQ40" si="10">IF(AP4=0,"",NOT(ISERROR(MATCH(AP4,schedule_courses,0))))</f>
        <v/>
      </c>
      <c r="AR4" s="7" t="str">
        <f t="shared" ref="AR4:AR40" si="11">IF(IFERROR(INDEX(req_tr_AP_credit, MATCH(AP4, req_course,0)), FALSE),0,IFERROR(INDEX(schedule_semester,MATCH(AP4,schedule_courses,0)), ""))</f>
        <v/>
      </c>
      <c r="AS4" s="7" t="str">
        <f>IF(AR4&lt;&gt;"", AR4&lt;AE4, "")</f>
        <v/>
      </c>
      <c r="AT4" s="7"/>
      <c r="AU4" s="7" t="str">
        <f t="shared" ref="AU4:AU40" si="12">IF(AT4=0,"",NOT(ISERROR(MATCH(AT4,schedule_courses,0))))</f>
        <v/>
      </c>
      <c r="AV4" s="7" t="str">
        <f t="shared" ref="AV4:AV40" si="13">IF(IFERROR(INDEX(req_tr_AP_credit, MATCH(AT4, req_course)), FALSE),0,IFERROR(INDEX(schedule_semester,MATCH(AT4,schedule_courses,0)), ""))</f>
        <v/>
      </c>
      <c r="AW4" s="7" t="str">
        <f>IF(AV4&lt;&gt;"", AV4&lt;=AE4, "")</f>
        <v/>
      </c>
      <c r="AX4" s="44"/>
      <c r="AY4" s="7" t="s">
        <v>140</v>
      </c>
      <c r="AZ4" s="15" t="s">
        <v>121</v>
      </c>
      <c r="BB4" s="58" t="s">
        <v>122</v>
      </c>
      <c r="BD4" s="79" t="s">
        <v>123</v>
      </c>
      <c r="BE4" s="97" t="s">
        <v>124</v>
      </c>
      <c r="BF4" s="24"/>
    </row>
    <row r="5" spans="1:61" ht="62.4">
      <c r="A5">
        <v>1</v>
      </c>
      <c r="B5">
        <v>1</v>
      </c>
      <c r="C5">
        <v>1</v>
      </c>
      <c r="D5">
        <f t="shared" si="0"/>
        <v>0</v>
      </c>
      <c r="E5">
        <f t="shared" si="2"/>
        <v>0</v>
      </c>
      <c r="F5">
        <f t="shared" si="1"/>
        <v>0</v>
      </c>
      <c r="G5">
        <f t="shared" si="3"/>
        <v>3</v>
      </c>
      <c r="H5">
        <f t="shared" si="4"/>
        <v>3</v>
      </c>
      <c r="I5">
        <f t="shared" si="5"/>
        <v>3</v>
      </c>
      <c r="J5" s="45">
        <v>1</v>
      </c>
      <c r="K5" s="41"/>
      <c r="L5" s="41" t="s">
        <v>152</v>
      </c>
      <c r="M5" s="24">
        <v>3</v>
      </c>
      <c r="N5" s="24" t="str">
        <v>GS</v>
      </c>
      <c r="O5" s="41"/>
      <c r="P5" s="48"/>
      <c r="R5" s="302" t="s">
        <v>58</v>
      </c>
      <c r="S5" s="303"/>
      <c r="T5" s="303"/>
      <c r="U5" s="303"/>
      <c r="V5" s="304"/>
      <c r="W5" s="71" t="s">
        <v>125</v>
      </c>
      <c r="X5" s="259" t="s">
        <v>347</v>
      </c>
      <c r="Y5" s="35" t="s">
        <v>127</v>
      </c>
      <c r="Z5" s="261" t="s">
        <v>51</v>
      </c>
      <c r="AA5" s="257" t="s">
        <v>354</v>
      </c>
      <c r="AB5" s="202" t="s">
        <v>380</v>
      </c>
      <c r="AC5" s="256" t="s">
        <v>354</v>
      </c>
      <c r="AD5" s="7" t="b">
        <f t="shared" ref="AD5" si="14">NOT(ISERROR(MATCH(AC5,schedule_courses,0)))</f>
        <v>1</v>
      </c>
      <c r="AE5" s="7">
        <f t="shared" ref="AE5" si="15">IF(AX5,0,IFERROR(INDEX(schedule_semester,MATCH(AC5,schedule_courses,0)), ""))</f>
        <v>3</v>
      </c>
      <c r="AF5" s="7" t="str">
        <f t="shared" ref="AF5" si="16">IF(ISNA(MATCH(AC5, $R$6:$R$7, 0)), "", $R$3)</f>
        <v/>
      </c>
      <c r="AG5" s="7" t="b">
        <f t="shared" ref="AG5" si="17">IF(AE5="", "", AE5&lt;AF5)</f>
        <v>1</v>
      </c>
      <c r="AH5" s="9"/>
      <c r="AI5" s="7" t="b">
        <f t="shared" ref="AI5" si="18">IF(AE5="", "", AE5&gt;=AH5)</f>
        <v>1</v>
      </c>
      <c r="AJ5" s="7">
        <f t="shared" ref="AJ5" si="19">IF(AE5="","",IF(MOD(AE5,2)=0,2,1))</f>
        <v>1</v>
      </c>
      <c r="AK5" s="7"/>
      <c r="AL5" s="7" t="str">
        <f t="shared" ref="AL5" si="20">IF(AK5&lt;&gt;0, AK5&lt;&gt;AJ5, "")</f>
        <v/>
      </c>
      <c r="AM5" s="7"/>
      <c r="AN5" s="7" t="str">
        <f t="shared" ref="AN5" si="21">IFERROR(IF(AM5, INDEX(grade_number, MATCH(INDEX(schedule_grades, MATCH(AC5, schedule_courses, 0)), grade_letter, 0))&gt;=2, ""), "")</f>
        <v/>
      </c>
      <c r="AO5" s="247">
        <v>3</v>
      </c>
      <c r="AP5" s="7" t="str">
        <f>IF(OR(AC5="CMPSC 121", AC5="CMPSC 201"), "MATH 140", 0)</f>
        <v>MATH 140</v>
      </c>
      <c r="AQ5" s="7" t="b">
        <f t="shared" ref="AQ5" si="22">IF(AP5=0,"",NOT(ISERROR(MATCH(AP5,schedule_courses,0))))</f>
        <v>0</v>
      </c>
      <c r="AR5" s="7">
        <f t="shared" ref="AR5" si="23">IF(IFERROR(INDEX(req_tr_AP_credit, MATCH(AP5, req_course,0)), FALSE),0,IFERROR(INDEX(schedule_semester,MATCH(AP5,schedule_courses,0)), ""))</f>
        <v>0</v>
      </c>
      <c r="AS5" s="7" t="b">
        <f t="shared" ref="AS5" si="24">IF(AR5&lt;&gt;"", AR5&lt;AE5, "")</f>
        <v>1</v>
      </c>
      <c r="AT5" s="7">
        <f>IF(AC5="CMPSC 201", "MATH 141", 0)</f>
        <v>0</v>
      </c>
      <c r="AU5" s="7" t="str">
        <f t="shared" ref="AU5" si="25">IF(AT5=0,"",NOT(ISERROR(MATCH(AT5,schedule_courses,0))))</f>
        <v/>
      </c>
      <c r="AV5" s="7" t="str">
        <f t="shared" ref="AV5" si="26">IF(IFERROR(INDEX(req_tr_AP_credit, MATCH(AT5, req_course)), FALSE),0,IFERROR(INDEX(schedule_semester,MATCH(AT5,schedule_courses,0)), ""))</f>
        <v/>
      </c>
      <c r="AW5" s="7" t="str">
        <f t="shared" ref="AW5" si="27">IF(AV5&lt;&gt;"", AV5&lt;=AE5, "")</f>
        <v/>
      </c>
      <c r="AX5" s="44"/>
      <c r="AY5" s="6" t="s">
        <v>154</v>
      </c>
      <c r="AZ5" s="15" t="s">
        <v>121</v>
      </c>
      <c r="BB5" s="59" t="s">
        <v>129</v>
      </c>
      <c r="BD5" s="75" t="s">
        <v>130</v>
      </c>
      <c r="BE5" s="98" t="s">
        <v>131</v>
      </c>
      <c r="BF5" s="24"/>
    </row>
    <row r="6" spans="1:61" ht="62.4">
      <c r="A6">
        <v>1</v>
      </c>
      <c r="B6">
        <v>1</v>
      </c>
      <c r="C6">
        <v>1</v>
      </c>
      <c r="D6">
        <f t="shared" si="0"/>
        <v>0</v>
      </c>
      <c r="E6">
        <f t="shared" si="2"/>
        <v>0</v>
      </c>
      <c r="F6">
        <f t="shared" si="1"/>
        <v>0</v>
      </c>
      <c r="G6">
        <f t="shared" si="3"/>
        <v>3</v>
      </c>
      <c r="H6">
        <f t="shared" si="4"/>
        <v>3</v>
      </c>
      <c r="I6">
        <f t="shared" si="5"/>
        <v>3</v>
      </c>
      <c r="J6" s="45">
        <v>1</v>
      </c>
      <c r="K6" s="41"/>
      <c r="L6" s="41" t="s">
        <v>133</v>
      </c>
      <c r="M6" s="24">
        <v>3</v>
      </c>
      <c r="N6" s="24" t="str">
        <v>GWS</v>
      </c>
      <c r="O6" s="41"/>
      <c r="P6" s="48"/>
      <c r="R6" s="296" t="s">
        <v>138</v>
      </c>
      <c r="S6" s="297"/>
      <c r="T6" s="297"/>
      <c r="U6" s="297"/>
      <c r="V6" s="298"/>
      <c r="W6" s="14">
        <f>MATCH(R6,req_course, 0)</f>
        <v>6</v>
      </c>
      <c r="X6" s="14" t="b" cm="1">
        <f t="array" ref="X6">INDEX(req_semester_taken, W6) &lt;etm_semester</f>
        <v>1</v>
      </c>
      <c r="Y6" s="33" t="b" cm="1">
        <f t="array" ref="Y6">OR(INDEX(req_cb_satisfied,W6) = TRUE, INDEX(req_tr_AP_credit, W6) = TRUE)</f>
        <v>1</v>
      </c>
      <c r="Z6" s="15" t="b">
        <f>AND(X6, Y6)</f>
        <v>1</v>
      </c>
      <c r="AA6" s="251" t="s">
        <v>359</v>
      </c>
      <c r="AB6" s="202" t="s">
        <v>144</v>
      </c>
      <c r="AC6" s="256" t="s">
        <v>133</v>
      </c>
      <c r="AD6" s="7" t="b">
        <f t="shared" si="6"/>
        <v>1</v>
      </c>
      <c r="AE6" s="7">
        <f t="shared" si="7"/>
        <v>1</v>
      </c>
      <c r="AF6" s="7" t="str">
        <f t="shared" si="8"/>
        <v/>
      </c>
      <c r="AG6" s="7" t="b">
        <f t="shared" ref="AG6:AG42" si="28">IF(AE6="", "", AE6&lt;AF6)</f>
        <v>1</v>
      </c>
      <c r="AH6" s="9"/>
      <c r="AI6" s="7" t="b">
        <f t="shared" ref="AI6:AI42" si="29">IF(AE6="", "", AE6&gt;=AH6)</f>
        <v>1</v>
      </c>
      <c r="AJ6" s="7">
        <f t="shared" ref="AJ6:AJ42" si="30">IF(AE6="","",IF(MOD(AE6,2)=0,2,1))</f>
        <v>1</v>
      </c>
      <c r="AK6" s="7"/>
      <c r="AL6" s="7" t="str">
        <f t="shared" ref="AL6:AL42" si="31">IF(AK6&lt;&gt;0, AK6&lt;&gt;AJ6, "")</f>
        <v/>
      </c>
      <c r="AM6" s="7"/>
      <c r="AN6" s="7" t="str">
        <f t="shared" si="9"/>
        <v/>
      </c>
      <c r="AO6" s="7">
        <v>3</v>
      </c>
      <c r="AP6" s="7"/>
      <c r="AQ6" s="7" t="str">
        <f t="shared" si="10"/>
        <v/>
      </c>
      <c r="AR6" s="7" t="str">
        <f t="shared" si="11"/>
        <v/>
      </c>
      <c r="AS6" s="7" t="str">
        <f t="shared" ref="AS6:AS40" si="32">IF(AR6&lt;&gt;"", AR6&lt;AE6, "")</f>
        <v/>
      </c>
      <c r="AT6" s="7"/>
      <c r="AU6" s="7" t="str">
        <f t="shared" si="12"/>
        <v/>
      </c>
      <c r="AV6" s="7" t="str">
        <f t="shared" si="13"/>
        <v/>
      </c>
      <c r="AW6" s="7" t="str">
        <f t="shared" ref="AW6:AW40" si="33">IF(AV6&lt;&gt;"", AV6&lt;=AE6, "")</f>
        <v/>
      </c>
      <c r="AX6" s="44"/>
      <c r="AY6" s="6" t="s">
        <v>140</v>
      </c>
      <c r="AZ6" s="15" t="s">
        <v>121</v>
      </c>
      <c r="BB6" s="60" t="s">
        <v>135</v>
      </c>
      <c r="BD6" s="16" t="s">
        <v>136</v>
      </c>
      <c r="BE6" s="15"/>
      <c r="BF6" s="24"/>
    </row>
    <row r="7" spans="1:61">
      <c r="A7">
        <v>1</v>
      </c>
      <c r="B7">
        <v>1</v>
      </c>
      <c r="C7">
        <v>1</v>
      </c>
      <c r="D7">
        <f t="shared" si="0"/>
        <v>0</v>
      </c>
      <c r="E7">
        <f t="shared" si="2"/>
        <v>0</v>
      </c>
      <c r="F7">
        <f t="shared" si="1"/>
        <v>0</v>
      </c>
      <c r="G7">
        <f t="shared" si="3"/>
        <v>0</v>
      </c>
      <c r="H7">
        <f t="shared" si="4"/>
        <v>0</v>
      </c>
      <c r="I7">
        <f t="shared" si="5"/>
        <v>0</v>
      </c>
      <c r="J7" s="45">
        <v>1</v>
      </c>
      <c r="K7" s="41"/>
      <c r="L7" s="41"/>
      <c r="M7" s="24" t="str">
        <v/>
      </c>
      <c r="N7" s="24" t="str">
        <v/>
      </c>
      <c r="O7" s="41"/>
      <c r="P7" s="48"/>
      <c r="R7" s="296" t="s">
        <v>103</v>
      </c>
      <c r="S7" s="297"/>
      <c r="T7" s="297"/>
      <c r="U7" s="297"/>
      <c r="V7" s="298"/>
      <c r="W7" s="14">
        <f>MATCH(R7,req_course, 0)</f>
        <v>7</v>
      </c>
      <c r="X7" s="14" t="b" cm="1">
        <f t="array" ref="X7">INDEX(req_semester_taken, W7) &lt;etm_semester</f>
        <v>1</v>
      </c>
      <c r="Y7" s="33" t="b" cm="1">
        <f t="array" ref="Y7">OR(INDEX(req_cb_satisfied,W7) = TRUE, INDEX(req_tr_AP_credit, W7) = TRUE)</f>
        <v>0</v>
      </c>
      <c r="Z7" s="15" t="b">
        <f>AND(X7, Y7)</f>
        <v>0</v>
      </c>
      <c r="AA7" s="67" t="s">
        <v>133</v>
      </c>
      <c r="AB7" s="14"/>
      <c r="AC7" s="7" t="s">
        <v>348</v>
      </c>
      <c r="AD7" s="7" t="b">
        <f t="shared" si="6"/>
        <v>1</v>
      </c>
      <c r="AE7" s="7">
        <f t="shared" si="7"/>
        <v>7</v>
      </c>
      <c r="AF7" s="7" t="str">
        <f t="shared" si="8"/>
        <v/>
      </c>
      <c r="AG7" s="7" t="b">
        <f t="shared" si="28"/>
        <v>1</v>
      </c>
      <c r="AH7" s="9"/>
      <c r="AI7" s="7" t="b">
        <f t="shared" si="29"/>
        <v>1</v>
      </c>
      <c r="AJ7" s="7">
        <f t="shared" si="30"/>
        <v>1</v>
      </c>
      <c r="AK7" s="7"/>
      <c r="AL7" s="7" t="str">
        <f t="shared" si="31"/>
        <v/>
      </c>
      <c r="AM7" s="7"/>
      <c r="AN7" s="7" t="str">
        <f t="shared" si="9"/>
        <v/>
      </c>
      <c r="AO7" s="7">
        <v>3</v>
      </c>
      <c r="AP7" s="7" t="s">
        <v>381</v>
      </c>
      <c r="AQ7" s="7" t="b">
        <f t="shared" si="10"/>
        <v>1</v>
      </c>
      <c r="AR7" s="7">
        <f t="shared" si="11"/>
        <v>1</v>
      </c>
      <c r="AS7" s="7" t="b">
        <f t="shared" si="32"/>
        <v>1</v>
      </c>
      <c r="AT7" s="7"/>
      <c r="AU7" s="7" t="str">
        <f t="shared" si="12"/>
        <v/>
      </c>
      <c r="AV7" s="7" t="str">
        <f t="shared" si="13"/>
        <v/>
      </c>
      <c r="AW7" s="7" t="str">
        <f t="shared" si="33"/>
        <v/>
      </c>
      <c r="AX7" s="44"/>
      <c r="AY7" s="6" t="s">
        <v>140</v>
      </c>
      <c r="AZ7" s="15" t="s">
        <v>121</v>
      </c>
      <c r="BB7" s="61" t="s">
        <v>141</v>
      </c>
      <c r="BD7" s="78" t="s">
        <v>142</v>
      </c>
      <c r="BE7" s="99" t="s">
        <v>143</v>
      </c>
      <c r="BF7" s="24"/>
    </row>
    <row r="8" spans="1:61">
      <c r="A8">
        <v>1</v>
      </c>
      <c r="B8">
        <v>1</v>
      </c>
      <c r="C8">
        <v>1</v>
      </c>
      <c r="D8">
        <f t="shared" si="0"/>
        <v>0</v>
      </c>
      <c r="E8">
        <f t="shared" si="2"/>
        <v>0</v>
      </c>
      <c r="F8">
        <f t="shared" si="1"/>
        <v>0</v>
      </c>
      <c r="G8">
        <f t="shared" si="3"/>
        <v>0</v>
      </c>
      <c r="H8">
        <f t="shared" si="4"/>
        <v>0</v>
      </c>
      <c r="I8">
        <f t="shared" si="5"/>
        <v>0</v>
      </c>
      <c r="J8" s="45">
        <v>1</v>
      </c>
      <c r="K8" s="41"/>
      <c r="L8" s="41"/>
      <c r="M8" s="24" t="str">
        <v/>
      </c>
      <c r="N8" s="24" t="str">
        <v/>
      </c>
      <c r="O8" s="41"/>
      <c r="P8" s="48"/>
      <c r="R8" s="299" t="s">
        <v>349</v>
      </c>
      <c r="S8" s="300"/>
      <c r="T8" s="300"/>
      <c r="U8" s="300"/>
      <c r="V8" s="301"/>
      <c r="W8" s="13"/>
      <c r="X8" s="181" t="s">
        <v>183</v>
      </c>
      <c r="Y8" s="182">
        <f>SUM(E2:E82)/SUM(H2:H82)</f>
        <v>0</v>
      </c>
      <c r="Z8" s="26" t="b">
        <f>gpa&gt;=2</f>
        <v>0</v>
      </c>
      <c r="AA8" s="67" t="s">
        <v>148</v>
      </c>
      <c r="AB8" s="14"/>
      <c r="AC8" s="7" t="s">
        <v>382</v>
      </c>
      <c r="AD8" s="7" t="b">
        <f>NOT(ISERROR(MATCH(AC8,schedule_courses,0)))</f>
        <v>1</v>
      </c>
      <c r="AE8" s="7">
        <f t="shared" ref="AE8:AE39" si="34">IF(AX8,0,IFERROR(INDEX(schedule_semester,MATCH(AC8,schedule_courses,0)), ""))</f>
        <v>7</v>
      </c>
      <c r="AF8" s="7" t="str">
        <f>IF(ISNA(MATCH(AC8, $R$6:$R$7, 0)), "", $R$3)</f>
        <v/>
      </c>
      <c r="AG8" s="7" t="b">
        <f t="shared" si="28"/>
        <v>1</v>
      </c>
      <c r="AH8" s="9"/>
      <c r="AI8" s="7" t="b">
        <f t="shared" si="29"/>
        <v>1</v>
      </c>
      <c r="AJ8" s="7">
        <f t="shared" si="30"/>
        <v>1</v>
      </c>
      <c r="AK8" s="7"/>
      <c r="AL8" s="7" t="str">
        <f t="shared" si="31"/>
        <v/>
      </c>
      <c r="AM8" s="7" t="b">
        <v>1</v>
      </c>
      <c r="AN8" s="7" t="str">
        <f t="shared" ref="AN8:AN39" si="35">IFERROR(IF(AM8, INDEX(grade_number, MATCH(INDEX(schedule_grades, MATCH(AC8, schedule_courses, 0)), grade_letter, 0))&gt;=2, ""), "")</f>
        <v/>
      </c>
      <c r="AO8" s="7">
        <v>3</v>
      </c>
      <c r="AP8" s="7" t="s">
        <v>163</v>
      </c>
      <c r="AQ8" s="7" t="b">
        <f t="shared" si="10"/>
        <v>1</v>
      </c>
      <c r="AR8" s="7">
        <f t="shared" si="11"/>
        <v>4</v>
      </c>
      <c r="AS8" s="7" t="b">
        <f t="shared" si="32"/>
        <v>1</v>
      </c>
      <c r="AT8" s="7"/>
      <c r="AU8" s="7" t="str">
        <f t="shared" si="12"/>
        <v/>
      </c>
      <c r="AV8" s="7" t="str">
        <f t="shared" si="13"/>
        <v/>
      </c>
      <c r="AW8" s="7" t="str">
        <f t="shared" si="33"/>
        <v/>
      </c>
      <c r="AX8" s="44"/>
      <c r="AY8" s="7"/>
      <c r="AZ8" s="15" t="s">
        <v>121</v>
      </c>
      <c r="BB8" s="56" t="s">
        <v>145</v>
      </c>
      <c r="BD8" s="77" t="s">
        <v>146</v>
      </c>
      <c r="BE8" s="99" t="s">
        <v>147</v>
      </c>
      <c r="BF8" s="24"/>
    </row>
    <row r="9" spans="1:61">
      <c r="A9">
        <v>1</v>
      </c>
      <c r="B9">
        <v>1</v>
      </c>
      <c r="C9">
        <v>1</v>
      </c>
      <c r="D9">
        <f t="shared" si="0"/>
        <v>0</v>
      </c>
      <c r="E9">
        <f t="shared" si="2"/>
        <v>0</v>
      </c>
      <c r="F9">
        <f t="shared" si="1"/>
        <v>0</v>
      </c>
      <c r="G9">
        <f t="shared" si="3"/>
        <v>0</v>
      </c>
      <c r="H9">
        <f t="shared" si="4"/>
        <v>0</v>
      </c>
      <c r="I9">
        <f t="shared" si="5"/>
        <v>0</v>
      </c>
      <c r="J9" s="45">
        <v>1</v>
      </c>
      <c r="K9" s="41"/>
      <c r="L9" s="41"/>
      <c r="M9" s="24" t="str">
        <v/>
      </c>
      <c r="N9" s="24" t="str">
        <v/>
      </c>
      <c r="O9" s="41"/>
      <c r="P9" s="48"/>
      <c r="AB9" s="14"/>
      <c r="AC9" s="7" t="s">
        <v>138</v>
      </c>
      <c r="AD9" s="7" t="b">
        <f>NOT(ISERROR(MATCH(AC9,schedule_courses,0)))</f>
        <v>0</v>
      </c>
      <c r="AE9" s="7">
        <f t="shared" si="34"/>
        <v>0</v>
      </c>
      <c r="AF9" s="7">
        <f>IF(ISNA(MATCH(AC9, $R$6:$R$7, 0)), "", $R$3)</f>
        <v>3</v>
      </c>
      <c r="AG9" s="7" t="b">
        <f t="shared" si="28"/>
        <v>1</v>
      </c>
      <c r="AH9" s="9"/>
      <c r="AI9" s="7" t="b">
        <f t="shared" si="29"/>
        <v>1</v>
      </c>
      <c r="AJ9" s="7">
        <f t="shared" si="30"/>
        <v>2</v>
      </c>
      <c r="AK9" s="7"/>
      <c r="AL9" s="7" t="str">
        <f t="shared" si="31"/>
        <v/>
      </c>
      <c r="AM9" s="7" t="b">
        <v>1</v>
      </c>
      <c r="AN9" s="7" t="str">
        <f t="shared" si="35"/>
        <v/>
      </c>
      <c r="AO9" s="7">
        <v>4</v>
      </c>
      <c r="AP9" s="7"/>
      <c r="AQ9" s="7" t="str">
        <f t="shared" si="10"/>
        <v/>
      </c>
      <c r="AR9" s="7" t="str">
        <f t="shared" si="11"/>
        <v/>
      </c>
      <c r="AS9" s="7" t="str">
        <f t="shared" si="32"/>
        <v/>
      </c>
      <c r="AT9" s="7"/>
      <c r="AU9" s="7" t="str">
        <f t="shared" si="12"/>
        <v/>
      </c>
      <c r="AV9" s="7" t="str">
        <f t="shared" si="13"/>
        <v/>
      </c>
      <c r="AW9" s="7" t="str">
        <f t="shared" si="33"/>
        <v/>
      </c>
      <c r="AX9" s="44" t="b">
        <v>1</v>
      </c>
      <c r="AY9" s="7"/>
      <c r="AZ9" s="15" t="s">
        <v>121</v>
      </c>
      <c r="BB9" s="33"/>
      <c r="BD9" s="80" t="s">
        <v>150</v>
      </c>
      <c r="BE9" s="98" t="s">
        <v>151</v>
      </c>
      <c r="BF9" s="24"/>
    </row>
    <row r="10" spans="1:61">
      <c r="A10">
        <v>1</v>
      </c>
      <c r="B10">
        <v>1</v>
      </c>
      <c r="C10">
        <v>1</v>
      </c>
      <c r="D10">
        <f t="shared" si="0"/>
        <v>0</v>
      </c>
      <c r="E10">
        <f t="shared" si="2"/>
        <v>0</v>
      </c>
      <c r="F10">
        <f t="shared" si="1"/>
        <v>0</v>
      </c>
      <c r="G10">
        <f t="shared" si="3"/>
        <v>0</v>
      </c>
      <c r="H10">
        <f t="shared" si="4"/>
        <v>0</v>
      </c>
      <c r="I10">
        <f t="shared" si="5"/>
        <v>0</v>
      </c>
      <c r="J10" s="54">
        <v>1</v>
      </c>
      <c r="K10" s="43"/>
      <c r="L10" s="43"/>
      <c r="M10" s="10" t="str">
        <v/>
      </c>
      <c r="N10" s="10" t="str">
        <v/>
      </c>
      <c r="O10" s="43"/>
      <c r="P10" s="49"/>
      <c r="AB10" s="14"/>
      <c r="AC10" s="7" t="s">
        <v>103</v>
      </c>
      <c r="AD10" s="7" t="b">
        <f>NOT(ISERROR(MATCH(AC10,schedule_courses,0)))</f>
        <v>1</v>
      </c>
      <c r="AE10" s="7">
        <f t="shared" si="34"/>
        <v>1</v>
      </c>
      <c r="AF10" s="7">
        <f>IF(ISNA(MATCH(AC10, $R$6:$R$7, 0)), "", $R$3)</f>
        <v>3</v>
      </c>
      <c r="AG10" s="7" t="b">
        <f t="shared" si="28"/>
        <v>1</v>
      </c>
      <c r="AH10" s="9"/>
      <c r="AI10" s="7" t="b">
        <f t="shared" si="29"/>
        <v>1</v>
      </c>
      <c r="AJ10" s="7">
        <f t="shared" si="30"/>
        <v>1</v>
      </c>
      <c r="AK10" s="7"/>
      <c r="AL10" s="7" t="str">
        <f t="shared" si="31"/>
        <v/>
      </c>
      <c r="AM10" s="7" t="b">
        <v>1</v>
      </c>
      <c r="AN10" s="7" t="str">
        <f t="shared" si="35"/>
        <v/>
      </c>
      <c r="AO10" s="7">
        <v>4</v>
      </c>
      <c r="AP10" s="7" t="s">
        <v>138</v>
      </c>
      <c r="AQ10" s="7" t="b">
        <f t="shared" si="10"/>
        <v>0</v>
      </c>
      <c r="AR10" s="7">
        <f t="shared" si="11"/>
        <v>0</v>
      </c>
      <c r="AS10" s="7" t="b">
        <f t="shared" si="32"/>
        <v>1</v>
      </c>
      <c r="AT10" s="7"/>
      <c r="AU10" s="7" t="str">
        <f t="shared" si="12"/>
        <v/>
      </c>
      <c r="AV10" s="7" t="str">
        <f t="shared" si="13"/>
        <v/>
      </c>
      <c r="AW10" s="7" t="str">
        <f t="shared" si="33"/>
        <v/>
      </c>
      <c r="AX10" s="44"/>
      <c r="AY10" s="7" t="s">
        <v>154</v>
      </c>
      <c r="AZ10" s="15" t="s">
        <v>121</v>
      </c>
      <c r="BB10" s="33" t="s">
        <v>155</v>
      </c>
      <c r="BD10" s="81" t="s">
        <v>156</v>
      </c>
      <c r="BE10" s="99" t="s">
        <v>157</v>
      </c>
      <c r="BF10" s="24"/>
    </row>
    <row r="11" spans="1:61">
      <c r="A11">
        <v>0</v>
      </c>
      <c r="B11">
        <v>0</v>
      </c>
      <c r="C11">
        <v>1</v>
      </c>
      <c r="D11">
        <f t="shared" si="0"/>
        <v>0</v>
      </c>
      <c r="E11">
        <f t="shared" si="2"/>
        <v>0</v>
      </c>
      <c r="F11">
        <f t="shared" si="1"/>
        <v>0</v>
      </c>
      <c r="G11">
        <f t="shared" si="3"/>
        <v>1.5</v>
      </c>
      <c r="H11">
        <f t="shared" si="4"/>
        <v>1.5</v>
      </c>
      <c r="I11">
        <f t="shared" si="5"/>
        <v>0</v>
      </c>
      <c r="J11" s="50">
        <v>2</v>
      </c>
      <c r="K11" s="51"/>
      <c r="L11" s="51" t="s">
        <v>186</v>
      </c>
      <c r="M11" s="55">
        <v>1.5</v>
      </c>
      <c r="N11" s="55" t="str">
        <v/>
      </c>
      <c r="O11" s="51"/>
      <c r="P11" s="52"/>
      <c r="R11" s="302" t="s">
        <v>43</v>
      </c>
      <c r="S11" s="303"/>
      <c r="T11" s="303"/>
      <c r="U11" s="303"/>
      <c r="V11" s="304"/>
      <c r="AB11" s="14"/>
      <c r="AC11" s="7" t="s">
        <v>163</v>
      </c>
      <c r="AD11" s="7" t="b">
        <f>NOT(ISERROR(MATCH(AC11,schedule_courses,0)))</f>
        <v>1</v>
      </c>
      <c r="AE11" s="7">
        <f t="shared" si="34"/>
        <v>4</v>
      </c>
      <c r="AF11" s="7" t="str">
        <f>IF(ISNA(MATCH(AC11, $R$6:$R$7, 0)), "", $R$3)</f>
        <v/>
      </c>
      <c r="AG11" s="7" t="b">
        <f t="shared" si="28"/>
        <v>1</v>
      </c>
      <c r="AH11" s="9"/>
      <c r="AI11" s="7" t="b">
        <f t="shared" si="29"/>
        <v>1</v>
      </c>
      <c r="AJ11" s="7">
        <f t="shared" si="30"/>
        <v>2</v>
      </c>
      <c r="AK11" s="7"/>
      <c r="AL11" s="7" t="str">
        <f t="shared" si="31"/>
        <v/>
      </c>
      <c r="AM11" s="7"/>
      <c r="AN11" s="7" t="str">
        <f t="shared" si="35"/>
        <v/>
      </c>
      <c r="AO11" s="7">
        <v>2</v>
      </c>
      <c r="AP11" s="7" t="s">
        <v>138</v>
      </c>
      <c r="AQ11" s="7" t="b">
        <f t="shared" si="10"/>
        <v>0</v>
      </c>
      <c r="AR11" s="7">
        <f t="shared" si="11"/>
        <v>0</v>
      </c>
      <c r="AS11" s="7" t="b">
        <f t="shared" si="32"/>
        <v>1</v>
      </c>
      <c r="AT11" s="7"/>
      <c r="AU11" s="7" t="str">
        <f t="shared" si="12"/>
        <v/>
      </c>
      <c r="AV11" s="7" t="str">
        <f t="shared" si="13"/>
        <v/>
      </c>
      <c r="AW11" s="7" t="str">
        <f t="shared" si="33"/>
        <v/>
      </c>
      <c r="AX11" s="44"/>
      <c r="AY11" s="7" t="s">
        <v>154</v>
      </c>
      <c r="AZ11" s="15" t="s">
        <v>121</v>
      </c>
      <c r="BB11" s="33" t="s">
        <v>160</v>
      </c>
      <c r="BD11" s="82" t="s">
        <v>161</v>
      </c>
      <c r="BE11" s="99" t="s">
        <v>162</v>
      </c>
      <c r="BF11" s="24"/>
    </row>
    <row r="12" spans="1:61">
      <c r="A12">
        <v>0</v>
      </c>
      <c r="B12">
        <v>0</v>
      </c>
      <c r="C12">
        <v>1</v>
      </c>
      <c r="D12">
        <f t="shared" si="0"/>
        <v>0</v>
      </c>
      <c r="E12">
        <f t="shared" si="2"/>
        <v>0</v>
      </c>
      <c r="F12">
        <f t="shared" si="1"/>
        <v>0</v>
      </c>
      <c r="G12">
        <f t="shared" si="3"/>
        <v>3</v>
      </c>
      <c r="H12">
        <f t="shared" si="4"/>
        <v>3</v>
      </c>
      <c r="I12">
        <f t="shared" si="5"/>
        <v>0</v>
      </c>
      <c r="J12" s="46">
        <v>2</v>
      </c>
      <c r="K12" s="41"/>
      <c r="L12" s="41" t="s">
        <v>383</v>
      </c>
      <c r="M12" s="24">
        <v>3</v>
      </c>
      <c r="N12" s="24" t="str">
        <v/>
      </c>
      <c r="O12" s="41"/>
      <c r="P12" s="48"/>
      <c r="R12" s="13" t="s">
        <v>33</v>
      </c>
      <c r="S12" s="27" t="s">
        <v>45</v>
      </c>
      <c r="T12" s="263" t="s">
        <v>47</v>
      </c>
      <c r="U12" s="263" t="s">
        <v>384</v>
      </c>
      <c r="V12" s="32" t="s">
        <v>51</v>
      </c>
      <c r="AB12" s="14"/>
      <c r="AC12" s="7" t="s">
        <v>165</v>
      </c>
      <c r="AD12" s="7" t="b">
        <f>NOT(ISERROR(MATCH(AC12,schedule_courses,0)))</f>
        <v>1</v>
      </c>
      <c r="AE12" s="7">
        <f t="shared" si="34"/>
        <v>2</v>
      </c>
      <c r="AF12" s="7" t="str">
        <f>IF(ISNA(MATCH(AC12, $R$6:$R$7, 0)), "", $R$3)</f>
        <v/>
      </c>
      <c r="AG12" s="7" t="b">
        <f t="shared" si="28"/>
        <v>1</v>
      </c>
      <c r="AH12" s="9"/>
      <c r="AI12" s="7" t="b">
        <f t="shared" si="29"/>
        <v>1</v>
      </c>
      <c r="AJ12" s="7">
        <f t="shared" si="30"/>
        <v>2</v>
      </c>
      <c r="AK12" s="7"/>
      <c r="AL12" s="7" t="str">
        <f t="shared" si="31"/>
        <v/>
      </c>
      <c r="AM12" s="7"/>
      <c r="AN12" s="7" t="str">
        <f t="shared" si="35"/>
        <v/>
      </c>
      <c r="AO12" s="17">
        <v>4</v>
      </c>
      <c r="AP12" s="7" t="s">
        <v>103</v>
      </c>
      <c r="AQ12" s="7" t="b">
        <f t="shared" si="10"/>
        <v>1</v>
      </c>
      <c r="AR12" s="7">
        <f t="shared" si="11"/>
        <v>1</v>
      </c>
      <c r="AS12" s="7" t="b">
        <f t="shared" si="32"/>
        <v>1</v>
      </c>
      <c r="AT12" s="7"/>
      <c r="AU12" s="7" t="str">
        <f t="shared" si="12"/>
        <v/>
      </c>
      <c r="AV12" s="7" t="str">
        <f t="shared" si="13"/>
        <v/>
      </c>
      <c r="AW12" s="7" t="str">
        <f t="shared" si="33"/>
        <v/>
      </c>
      <c r="AX12" s="44"/>
      <c r="AY12" s="7"/>
      <c r="AZ12" s="15" t="s">
        <v>121</v>
      </c>
      <c r="BB12" s="33" t="s">
        <v>168</v>
      </c>
      <c r="BD12" s="84" t="s">
        <v>169</v>
      </c>
      <c r="BE12" s="98" t="s">
        <v>170</v>
      </c>
      <c r="BF12" s="24"/>
    </row>
    <row r="13" spans="1:61" ht="62.4">
      <c r="A13">
        <v>0</v>
      </c>
      <c r="B13">
        <v>0</v>
      </c>
      <c r="C13">
        <v>1</v>
      </c>
      <c r="D13">
        <f t="shared" si="0"/>
        <v>0</v>
      </c>
      <c r="E13">
        <f t="shared" si="2"/>
        <v>0</v>
      </c>
      <c r="F13">
        <f t="shared" si="1"/>
        <v>0</v>
      </c>
      <c r="G13">
        <f t="shared" si="3"/>
        <v>4</v>
      </c>
      <c r="H13">
        <f t="shared" si="4"/>
        <v>4</v>
      </c>
      <c r="I13">
        <f t="shared" si="5"/>
        <v>0</v>
      </c>
      <c r="J13" s="46">
        <v>2</v>
      </c>
      <c r="K13" s="41"/>
      <c r="L13" s="41" t="s">
        <v>165</v>
      </c>
      <c r="M13" s="24">
        <v>4</v>
      </c>
      <c r="N13" s="24" t="str">
        <v/>
      </c>
      <c r="O13" s="41"/>
      <c r="P13" s="48"/>
      <c r="R13" s="14" t="s">
        <v>154</v>
      </c>
      <c r="S13" s="24">
        <v>6</v>
      </c>
      <c r="T13" s="24">
        <f>SUMIF(schedule_gecode, R13, schedule_credits)</f>
        <v>13</v>
      </c>
      <c r="U13" s="41">
        <v>0</v>
      </c>
      <c r="V13" s="15" t="b">
        <f>(T13+U13)&gt;=S13</f>
        <v>1</v>
      </c>
      <c r="AA13" s="251" t="s">
        <v>385</v>
      </c>
      <c r="AB13" s="202" t="s">
        <v>386</v>
      </c>
      <c r="AC13" s="256" t="s">
        <v>385</v>
      </c>
      <c r="AD13" s="7" t="b">
        <f t="shared" ref="AD13" si="36">NOT(ISERROR(MATCH(AC13,schedule_courses,0)))</f>
        <v>1</v>
      </c>
      <c r="AE13" s="7">
        <f t="shared" si="34"/>
        <v>4</v>
      </c>
      <c r="AF13" s="7" t="str">
        <f t="shared" ref="AF13" si="37">IF(ISNA(MATCH(AC13, $R$6:$R$7, 0)), "", $R$3)</f>
        <v/>
      </c>
      <c r="AG13" s="7" t="b">
        <f t="shared" ref="AG13" si="38">IF(AE13="", "", AE13&lt;AF13)</f>
        <v>1</v>
      </c>
      <c r="AH13" s="9"/>
      <c r="AI13" s="7" t="b">
        <f t="shared" ref="AI13" si="39">IF(AE13="", "", AE13&gt;=AH13)</f>
        <v>1</v>
      </c>
      <c r="AJ13" s="7">
        <f t="shared" ref="AJ13" si="40">IF(AE13="","",IF(MOD(AE13,2)=0,2,1))</f>
        <v>2</v>
      </c>
      <c r="AK13" s="7"/>
      <c r="AL13" s="7" t="str">
        <f t="shared" ref="AL13" si="41">IF(AK13&lt;&gt;0, AK13&lt;&gt;AJ13, "")</f>
        <v/>
      </c>
      <c r="AM13" s="7"/>
      <c r="AN13" s="7" t="str">
        <f t="shared" si="35"/>
        <v/>
      </c>
      <c r="AO13" s="6" cm="1">
        <f t="array" ref="AO13">IFERROR(_xlfn.IFS(AC13="MATH 250", 3, AC13="MATH 251", 4),0)</f>
        <v>3</v>
      </c>
      <c r="AP13" s="7" t="str">
        <f>IF(AC13=0, 0, "MATH 141")</f>
        <v>MATH 141</v>
      </c>
      <c r="AQ13" s="7" t="b">
        <f t="shared" ref="AQ13" si="42">IF(AP13=0,"",NOT(ISERROR(MATCH(AP13,schedule_courses,0))))</f>
        <v>1</v>
      </c>
      <c r="AR13" s="7">
        <f t="shared" ref="AR13" si="43">IF(IFERROR(INDEX(req_tr_AP_credit, MATCH(AP13, req_course,0)), FALSE),0,IFERROR(INDEX(schedule_semester,MATCH(AP13,schedule_courses,0)), ""))</f>
        <v>1</v>
      </c>
      <c r="AS13" s="7" t="b">
        <f t="shared" ref="AS13" si="44">IF(AR13&lt;&gt;"", AR13&lt;AE13, "")</f>
        <v>1</v>
      </c>
      <c r="AT13" s="7"/>
      <c r="AU13" s="7" t="str">
        <f t="shared" ref="AU13" si="45">IF(AT13=0,"",NOT(ISERROR(MATCH(AT13,schedule_courses,0))))</f>
        <v/>
      </c>
      <c r="AV13" s="7" t="str">
        <f t="shared" ref="AV13" si="46">IF(IFERROR(INDEX(req_tr_AP_credit, MATCH(AT13, req_course)), FALSE),0,IFERROR(INDEX(schedule_semester,MATCH(AT13,schedule_courses,0)), ""))</f>
        <v/>
      </c>
      <c r="AW13" s="7" t="str">
        <f t="shared" ref="AW13" si="47">IF(AV13&lt;&gt;"", AV13&lt;=AE13, "")</f>
        <v/>
      </c>
      <c r="AX13" s="44"/>
      <c r="AY13" s="7"/>
      <c r="AZ13" s="15" t="s">
        <v>121</v>
      </c>
      <c r="BB13" s="33" t="s">
        <v>172</v>
      </c>
      <c r="BD13" s="78" t="s">
        <v>173</v>
      </c>
      <c r="BE13" s="99" t="s">
        <v>174</v>
      </c>
      <c r="BF13" s="24"/>
    </row>
    <row r="14" spans="1:61">
      <c r="A14">
        <v>0</v>
      </c>
      <c r="B14">
        <v>0</v>
      </c>
      <c r="C14">
        <v>1</v>
      </c>
      <c r="D14">
        <f t="shared" si="0"/>
        <v>0</v>
      </c>
      <c r="E14">
        <f t="shared" si="2"/>
        <v>0</v>
      </c>
      <c r="F14">
        <f t="shared" si="1"/>
        <v>0</v>
      </c>
      <c r="G14">
        <f t="shared" si="3"/>
        <v>4</v>
      </c>
      <c r="H14">
        <f t="shared" si="4"/>
        <v>4</v>
      </c>
      <c r="I14">
        <f t="shared" si="5"/>
        <v>0</v>
      </c>
      <c r="J14" s="46">
        <v>2</v>
      </c>
      <c r="K14" s="41"/>
      <c r="L14" s="41" t="s">
        <v>159</v>
      </c>
      <c r="M14" s="24">
        <v>4</v>
      </c>
      <c r="N14" s="24" t="str">
        <v/>
      </c>
      <c r="O14" s="41"/>
      <c r="P14" s="48"/>
      <c r="R14" s="14" t="s">
        <v>140</v>
      </c>
      <c r="S14" s="24">
        <v>9</v>
      </c>
      <c r="T14" s="24">
        <f t="shared" ref="T14:T19" si="48">SUMIF(schedule_gecode, R14, schedule_credits)</f>
        <v>9</v>
      </c>
      <c r="U14" s="41">
        <v>0</v>
      </c>
      <c r="V14" s="15" t="b">
        <f t="shared" ref="V14:V23" si="49">(T14+U14)&gt;=S14</f>
        <v>1</v>
      </c>
      <c r="AA14" s="251" t="s">
        <v>387</v>
      </c>
      <c r="AB14" s="14"/>
      <c r="AC14" s="7" t="s">
        <v>388</v>
      </c>
      <c r="AD14" s="7" t="b">
        <f t="shared" ref="AD14:AD19" si="50">NOT(ISERROR(MATCH(AC14,schedule_courses,0)))</f>
        <v>1</v>
      </c>
      <c r="AE14" s="7">
        <f t="shared" si="34"/>
        <v>6</v>
      </c>
      <c r="AF14" s="7" t="str">
        <f t="shared" ref="AF14:AF19" si="51">IF(ISNA(MATCH(AC14, $R$6:$R$7, 0)), "", $R$3)</f>
        <v/>
      </c>
      <c r="AG14" s="7" t="b">
        <f t="shared" si="28"/>
        <v>1</v>
      </c>
      <c r="AH14" s="9"/>
      <c r="AI14" s="7" t="b">
        <f t="shared" si="29"/>
        <v>1</v>
      </c>
      <c r="AJ14" s="7">
        <f t="shared" si="30"/>
        <v>2</v>
      </c>
      <c r="AK14" s="7"/>
      <c r="AL14" s="7" t="str">
        <f t="shared" si="31"/>
        <v/>
      </c>
      <c r="AM14" s="7"/>
      <c r="AN14" s="7" t="str">
        <f t="shared" si="35"/>
        <v/>
      </c>
      <c r="AO14" s="7">
        <v>3</v>
      </c>
      <c r="AP14" s="7" t="s">
        <v>103</v>
      </c>
      <c r="AQ14" s="7" t="b">
        <f t="shared" si="10"/>
        <v>1</v>
      </c>
      <c r="AR14" s="7">
        <f t="shared" si="11"/>
        <v>1</v>
      </c>
      <c r="AS14" s="7" t="b">
        <f t="shared" si="32"/>
        <v>1</v>
      </c>
      <c r="AT14" s="7"/>
      <c r="AU14" s="7" t="str">
        <f t="shared" si="12"/>
        <v/>
      </c>
      <c r="AV14" s="7" t="str">
        <f t="shared" si="13"/>
        <v/>
      </c>
      <c r="AW14" s="7" t="str">
        <f t="shared" si="33"/>
        <v/>
      </c>
      <c r="AX14" s="44"/>
      <c r="AY14" s="7"/>
      <c r="AZ14" s="15" t="s">
        <v>121</v>
      </c>
      <c r="BB14" s="34" t="s">
        <v>177</v>
      </c>
      <c r="BD14" s="16" t="s">
        <v>178</v>
      </c>
      <c r="BE14" s="15"/>
      <c r="BF14" s="24"/>
    </row>
    <row r="15" spans="1:61">
      <c r="A15">
        <v>0</v>
      </c>
      <c r="B15">
        <v>0</v>
      </c>
      <c r="C15">
        <v>1</v>
      </c>
      <c r="D15">
        <f t="shared" si="0"/>
        <v>0</v>
      </c>
      <c r="E15">
        <f t="shared" si="2"/>
        <v>0</v>
      </c>
      <c r="F15">
        <f t="shared" si="1"/>
        <v>0</v>
      </c>
      <c r="G15">
        <f t="shared" si="3"/>
        <v>3</v>
      </c>
      <c r="H15">
        <f t="shared" si="4"/>
        <v>3</v>
      </c>
      <c r="I15">
        <f t="shared" si="5"/>
        <v>0</v>
      </c>
      <c r="J15" s="46">
        <v>2</v>
      </c>
      <c r="K15" s="41"/>
      <c r="L15" s="41" t="s">
        <v>238</v>
      </c>
      <c r="M15" s="24">
        <v>3</v>
      </c>
      <c r="N15" s="24" t="str">
        <v>GA</v>
      </c>
      <c r="O15" s="41"/>
      <c r="P15" s="48"/>
      <c r="R15" s="14" t="s">
        <v>197</v>
      </c>
      <c r="S15" s="24">
        <v>6</v>
      </c>
      <c r="T15" s="24">
        <f t="shared" si="48"/>
        <v>6</v>
      </c>
      <c r="U15" s="41">
        <v>0</v>
      </c>
      <c r="V15" s="15" t="b">
        <f t="shared" si="49"/>
        <v>1</v>
      </c>
      <c r="AB15" s="14"/>
      <c r="AC15" s="7" t="s">
        <v>389</v>
      </c>
      <c r="AD15" s="7" t="b">
        <f t="shared" si="50"/>
        <v>1</v>
      </c>
      <c r="AE15" s="7">
        <f t="shared" si="34"/>
        <v>4</v>
      </c>
      <c r="AF15" s="7" t="str">
        <f t="shared" si="51"/>
        <v/>
      </c>
      <c r="AG15" s="7" t="b">
        <f t="shared" si="28"/>
        <v>1</v>
      </c>
      <c r="AH15" s="9"/>
      <c r="AI15" s="7" t="b">
        <f t="shared" si="29"/>
        <v>1</v>
      </c>
      <c r="AJ15" s="7">
        <f t="shared" si="30"/>
        <v>2</v>
      </c>
      <c r="AK15" s="7"/>
      <c r="AL15" s="7" t="str">
        <f t="shared" si="31"/>
        <v/>
      </c>
      <c r="AM15" s="7"/>
      <c r="AN15" s="7" t="str">
        <f t="shared" si="35"/>
        <v/>
      </c>
      <c r="AO15" s="7">
        <v>3</v>
      </c>
      <c r="AP15" s="7" t="s">
        <v>103</v>
      </c>
      <c r="AQ15" s="7" t="b">
        <f t="shared" si="10"/>
        <v>1</v>
      </c>
      <c r="AR15" s="7">
        <f t="shared" si="11"/>
        <v>1</v>
      </c>
      <c r="AS15" s="7" t="b">
        <f t="shared" si="32"/>
        <v>1</v>
      </c>
      <c r="AT15" s="7"/>
      <c r="AU15" s="7" t="str">
        <f t="shared" si="12"/>
        <v/>
      </c>
      <c r="AV15" s="7" t="str">
        <f t="shared" si="13"/>
        <v/>
      </c>
      <c r="AW15" s="7" t="str">
        <f t="shared" si="33"/>
        <v/>
      </c>
      <c r="AX15" s="44"/>
      <c r="AY15" s="7"/>
      <c r="AZ15" s="15" t="s">
        <v>121</v>
      </c>
      <c r="BD15" s="78" t="s">
        <v>142</v>
      </c>
      <c r="BE15" s="98" t="s">
        <v>182</v>
      </c>
      <c r="BF15" s="24"/>
    </row>
    <row r="16" spans="1:61">
      <c r="A16">
        <v>0</v>
      </c>
      <c r="B16">
        <v>0</v>
      </c>
      <c r="C16">
        <v>1</v>
      </c>
      <c r="D16">
        <f t="shared" si="0"/>
        <v>0</v>
      </c>
      <c r="E16">
        <f t="shared" si="2"/>
        <v>0</v>
      </c>
      <c r="F16">
        <f t="shared" si="1"/>
        <v>0</v>
      </c>
      <c r="G16">
        <f t="shared" si="3"/>
        <v>0</v>
      </c>
      <c r="H16">
        <f t="shared" si="4"/>
        <v>0</v>
      </c>
      <c r="I16">
        <f t="shared" si="5"/>
        <v>0</v>
      </c>
      <c r="J16" s="46">
        <v>2</v>
      </c>
      <c r="K16" s="41"/>
      <c r="L16" s="41"/>
      <c r="M16" s="24" t="str">
        <v/>
      </c>
      <c r="N16" s="24" t="str">
        <v/>
      </c>
      <c r="O16" s="41"/>
      <c r="P16" s="48"/>
      <c r="R16" s="14" t="s">
        <v>202</v>
      </c>
      <c r="S16" s="24">
        <v>3</v>
      </c>
      <c r="T16" s="24">
        <f t="shared" si="48"/>
        <v>3</v>
      </c>
      <c r="U16" s="42">
        <v>0</v>
      </c>
      <c r="V16" s="15" t="b">
        <f t="shared" si="49"/>
        <v>1</v>
      </c>
      <c r="AB16" s="28"/>
      <c r="AC16" s="115" t="s">
        <v>383</v>
      </c>
      <c r="AD16" s="7" t="b">
        <f t="shared" si="50"/>
        <v>1</v>
      </c>
      <c r="AE16" s="7">
        <f t="shared" si="34"/>
        <v>2</v>
      </c>
      <c r="AF16" s="7" t="str">
        <f t="shared" si="51"/>
        <v/>
      </c>
      <c r="AG16" s="7" t="b">
        <f t="shared" si="28"/>
        <v>1</v>
      </c>
      <c r="AH16" s="9"/>
      <c r="AI16" s="7" t="b">
        <f t="shared" si="29"/>
        <v>1</v>
      </c>
      <c r="AJ16" s="7">
        <f t="shared" si="30"/>
        <v>2</v>
      </c>
      <c r="AK16" s="7"/>
      <c r="AL16" s="7" t="str">
        <f t="shared" si="31"/>
        <v/>
      </c>
      <c r="AM16" s="7" t="b">
        <v>1</v>
      </c>
      <c r="AN16" s="7" t="str">
        <f t="shared" si="35"/>
        <v/>
      </c>
      <c r="AO16" s="7">
        <v>3</v>
      </c>
      <c r="AP16" s="7"/>
      <c r="AQ16" s="7" t="str">
        <f t="shared" si="10"/>
        <v/>
      </c>
      <c r="AR16" s="7" t="str">
        <f t="shared" si="11"/>
        <v/>
      </c>
      <c r="AS16" s="7" t="str">
        <f t="shared" si="32"/>
        <v/>
      </c>
      <c r="AT16" s="7" t="s">
        <v>165</v>
      </c>
      <c r="AU16" s="7" t="b">
        <f t="shared" si="12"/>
        <v>1</v>
      </c>
      <c r="AV16" s="7">
        <f t="shared" si="13"/>
        <v>2</v>
      </c>
      <c r="AW16" s="7" t="b">
        <f t="shared" si="33"/>
        <v>1</v>
      </c>
      <c r="AX16" s="44"/>
      <c r="AY16" s="7"/>
      <c r="AZ16" s="15" t="s">
        <v>121</v>
      </c>
      <c r="BD16" s="77" t="s">
        <v>146</v>
      </c>
      <c r="BE16" s="99" t="s">
        <v>185</v>
      </c>
      <c r="BF16" s="24"/>
    </row>
    <row r="17" spans="1:58">
      <c r="A17">
        <v>0</v>
      </c>
      <c r="B17">
        <v>0</v>
      </c>
      <c r="C17">
        <v>1</v>
      </c>
      <c r="D17">
        <f t="shared" si="0"/>
        <v>0</v>
      </c>
      <c r="E17">
        <f t="shared" si="2"/>
        <v>0</v>
      </c>
      <c r="F17">
        <f t="shared" si="1"/>
        <v>0</v>
      </c>
      <c r="G17">
        <f t="shared" si="3"/>
        <v>0</v>
      </c>
      <c r="H17">
        <f t="shared" si="4"/>
        <v>0</v>
      </c>
      <c r="I17">
        <f t="shared" si="5"/>
        <v>0</v>
      </c>
      <c r="J17" s="46">
        <v>2</v>
      </c>
      <c r="K17" s="41"/>
      <c r="L17" s="41"/>
      <c r="M17" s="24" t="str">
        <v/>
      </c>
      <c r="N17" s="24" t="str">
        <v/>
      </c>
      <c r="O17" s="41"/>
      <c r="P17" s="48"/>
      <c r="R17" s="14" t="s">
        <v>207</v>
      </c>
      <c r="S17" s="24">
        <v>6</v>
      </c>
      <c r="T17" s="24">
        <f t="shared" si="48"/>
        <v>3</v>
      </c>
      <c r="U17" s="42">
        <v>3</v>
      </c>
      <c r="V17" s="15" t="b">
        <f t="shared" si="49"/>
        <v>1</v>
      </c>
      <c r="AB17" s="14"/>
      <c r="AC17" s="7" t="s">
        <v>390</v>
      </c>
      <c r="AD17" s="7" t="b">
        <f t="shared" si="50"/>
        <v>1</v>
      </c>
      <c r="AE17" s="7">
        <f t="shared" si="34"/>
        <v>4</v>
      </c>
      <c r="AF17" s="7" t="str">
        <f t="shared" si="51"/>
        <v/>
      </c>
      <c r="AG17" s="7" t="b">
        <f t="shared" si="28"/>
        <v>1</v>
      </c>
      <c r="AH17" s="9"/>
      <c r="AI17" s="7" t="b">
        <f t="shared" si="29"/>
        <v>1</v>
      </c>
      <c r="AJ17" s="7">
        <f t="shared" si="30"/>
        <v>2</v>
      </c>
      <c r="AK17" s="7"/>
      <c r="AL17" s="7" t="str">
        <f t="shared" si="31"/>
        <v/>
      </c>
      <c r="AM17" s="7" t="b">
        <v>1</v>
      </c>
      <c r="AN17" s="7" t="str">
        <f t="shared" si="35"/>
        <v/>
      </c>
      <c r="AO17" s="7">
        <v>3</v>
      </c>
      <c r="AP17" s="7" t="s">
        <v>383</v>
      </c>
      <c r="AQ17" s="7" t="b">
        <f t="shared" si="10"/>
        <v>1</v>
      </c>
      <c r="AR17" s="7">
        <f t="shared" si="11"/>
        <v>2</v>
      </c>
      <c r="AS17" s="7" t="b">
        <f t="shared" si="32"/>
        <v>1</v>
      </c>
      <c r="AT17" s="7"/>
      <c r="AU17" s="7" t="str">
        <f t="shared" si="12"/>
        <v/>
      </c>
      <c r="AV17" s="7" t="str">
        <f t="shared" si="13"/>
        <v/>
      </c>
      <c r="AW17" s="7" t="str">
        <f t="shared" si="33"/>
        <v/>
      </c>
      <c r="AX17" s="44"/>
      <c r="AY17" s="7"/>
      <c r="AZ17" s="15" t="s">
        <v>259</v>
      </c>
      <c r="BD17" s="80" t="s">
        <v>150</v>
      </c>
      <c r="BE17" s="100" t="s">
        <v>188</v>
      </c>
      <c r="BF17" s="24"/>
    </row>
    <row r="18" spans="1:58">
      <c r="A18">
        <v>0</v>
      </c>
      <c r="B18">
        <v>0</v>
      </c>
      <c r="C18">
        <v>1</v>
      </c>
      <c r="D18">
        <f t="shared" si="0"/>
        <v>0</v>
      </c>
      <c r="E18">
        <f t="shared" si="2"/>
        <v>0</v>
      </c>
      <c r="F18">
        <f t="shared" si="1"/>
        <v>0</v>
      </c>
      <c r="G18">
        <f t="shared" si="3"/>
        <v>0</v>
      </c>
      <c r="H18">
        <f t="shared" si="4"/>
        <v>0</v>
      </c>
      <c r="I18">
        <f t="shared" si="5"/>
        <v>0</v>
      </c>
      <c r="J18" s="46">
        <v>2</v>
      </c>
      <c r="K18" s="41"/>
      <c r="L18" s="41"/>
      <c r="M18" s="24" t="str">
        <v/>
      </c>
      <c r="N18" s="24" t="str">
        <v/>
      </c>
      <c r="O18" s="41"/>
      <c r="P18" s="48"/>
      <c r="R18" s="14" t="s">
        <v>213</v>
      </c>
      <c r="S18" s="24">
        <v>6</v>
      </c>
      <c r="T18" s="24">
        <f t="shared" si="48"/>
        <v>6</v>
      </c>
      <c r="U18" s="42">
        <v>0</v>
      </c>
      <c r="V18" s="15" t="b">
        <f t="shared" si="49"/>
        <v>1</v>
      </c>
      <c r="AB18" s="14"/>
      <c r="AC18" s="19" t="s">
        <v>391</v>
      </c>
      <c r="AD18" s="19" t="b">
        <f t="shared" si="50"/>
        <v>1</v>
      </c>
      <c r="AE18" s="7">
        <f t="shared" si="34"/>
        <v>5</v>
      </c>
      <c r="AF18" s="7" t="str">
        <f t="shared" si="51"/>
        <v/>
      </c>
      <c r="AG18" s="7" t="b">
        <f t="shared" si="28"/>
        <v>1</v>
      </c>
      <c r="AH18" s="19"/>
      <c r="AI18" s="7" t="b">
        <f t="shared" si="29"/>
        <v>1</v>
      </c>
      <c r="AJ18" s="7">
        <f t="shared" si="30"/>
        <v>1</v>
      </c>
      <c r="AK18" s="7"/>
      <c r="AL18" s="7" t="str">
        <f t="shared" si="31"/>
        <v/>
      </c>
      <c r="AM18" s="7" t="b">
        <v>1</v>
      </c>
      <c r="AN18" s="7" t="str">
        <f t="shared" si="35"/>
        <v/>
      </c>
      <c r="AO18" s="9">
        <v>3</v>
      </c>
      <c r="AP18" s="7" t="s">
        <v>165</v>
      </c>
      <c r="AQ18" s="7" t="b">
        <f t="shared" si="10"/>
        <v>1</v>
      </c>
      <c r="AR18" s="7">
        <f t="shared" si="11"/>
        <v>2</v>
      </c>
      <c r="AS18" s="7" t="b">
        <f t="shared" si="32"/>
        <v>1</v>
      </c>
      <c r="AT18" s="7"/>
      <c r="AU18" s="7" t="str">
        <f t="shared" si="12"/>
        <v/>
      </c>
      <c r="AV18" s="7" t="str">
        <f t="shared" si="13"/>
        <v/>
      </c>
      <c r="AW18" s="7" t="str">
        <f t="shared" si="33"/>
        <v/>
      </c>
      <c r="AX18" s="44"/>
      <c r="AY18" s="7"/>
      <c r="AZ18" s="15" t="s">
        <v>121</v>
      </c>
      <c r="BD18" s="78" t="s">
        <v>173</v>
      </c>
      <c r="BE18" s="97" t="s">
        <v>189</v>
      </c>
      <c r="BF18" s="24"/>
    </row>
    <row r="19" spans="1:58">
      <c r="A19">
        <v>0</v>
      </c>
      <c r="B19">
        <v>0</v>
      </c>
      <c r="C19">
        <v>1</v>
      </c>
      <c r="D19">
        <f t="shared" si="0"/>
        <v>0</v>
      </c>
      <c r="E19">
        <f t="shared" si="2"/>
        <v>0</v>
      </c>
      <c r="F19">
        <f t="shared" si="1"/>
        <v>0</v>
      </c>
      <c r="G19">
        <f t="shared" si="3"/>
        <v>0</v>
      </c>
      <c r="H19">
        <f t="shared" si="4"/>
        <v>0</v>
      </c>
      <c r="I19">
        <f t="shared" si="5"/>
        <v>0</v>
      </c>
      <c r="J19" s="47">
        <v>2</v>
      </c>
      <c r="K19" s="43"/>
      <c r="L19" s="43"/>
      <c r="M19" s="10" t="str">
        <v/>
      </c>
      <c r="N19" s="10" t="str">
        <v/>
      </c>
      <c r="O19" s="43"/>
      <c r="P19" s="49"/>
      <c r="R19" s="14" t="s">
        <v>218</v>
      </c>
      <c r="S19" s="24">
        <v>9</v>
      </c>
      <c r="T19" s="24">
        <f t="shared" si="48"/>
        <v>6</v>
      </c>
      <c r="U19" s="42">
        <v>3</v>
      </c>
      <c r="V19" s="15" t="b">
        <f t="shared" si="49"/>
        <v>1</v>
      </c>
      <c r="AB19" s="14"/>
      <c r="AC19" s="20" t="s">
        <v>391</v>
      </c>
      <c r="AD19" s="20" t="b">
        <f t="shared" si="50"/>
        <v>1</v>
      </c>
      <c r="AE19" s="7">
        <f t="shared" si="34"/>
        <v>5</v>
      </c>
      <c r="AF19" s="7" t="str">
        <f t="shared" si="51"/>
        <v/>
      </c>
      <c r="AG19" s="7" t="b">
        <f t="shared" si="28"/>
        <v>1</v>
      </c>
      <c r="AH19" s="19"/>
      <c r="AI19" s="7" t="b">
        <f t="shared" si="29"/>
        <v>1</v>
      </c>
      <c r="AJ19" s="7">
        <f t="shared" si="30"/>
        <v>1</v>
      </c>
      <c r="AK19" s="7"/>
      <c r="AL19" s="7" t="str">
        <f t="shared" si="31"/>
        <v/>
      </c>
      <c r="AM19" s="7" t="b">
        <v>1</v>
      </c>
      <c r="AN19" s="7" t="str">
        <f t="shared" si="35"/>
        <v/>
      </c>
      <c r="AO19" s="20">
        <v>3</v>
      </c>
      <c r="AP19" s="21" t="s">
        <v>383</v>
      </c>
      <c r="AQ19" s="7" t="b">
        <f t="shared" si="10"/>
        <v>1</v>
      </c>
      <c r="AR19" s="21">
        <f t="shared" si="11"/>
        <v>2</v>
      </c>
      <c r="AS19" s="21" t="b">
        <f t="shared" si="32"/>
        <v>1</v>
      </c>
      <c r="AT19" s="22"/>
      <c r="AU19" s="22" t="str">
        <f t="shared" si="12"/>
        <v/>
      </c>
      <c r="AV19" s="22" t="str">
        <f t="shared" si="13"/>
        <v/>
      </c>
      <c r="AW19" s="22" t="str">
        <f t="shared" si="33"/>
        <v/>
      </c>
      <c r="AX19" s="95"/>
      <c r="AY19" s="22"/>
      <c r="AZ19" s="15" t="s">
        <v>121</v>
      </c>
      <c r="BD19" s="16" t="s">
        <v>43</v>
      </c>
      <c r="BE19" s="15"/>
      <c r="BF19" s="24"/>
    </row>
    <row r="20" spans="1:58" ht="62.4">
      <c r="A20">
        <v>0</v>
      </c>
      <c r="B20">
        <v>0</v>
      </c>
      <c r="C20">
        <v>0</v>
      </c>
      <c r="D20">
        <f t="shared" si="0"/>
        <v>0</v>
      </c>
      <c r="E20">
        <f t="shared" si="2"/>
        <v>0</v>
      </c>
      <c r="F20">
        <f t="shared" si="1"/>
        <v>0</v>
      </c>
      <c r="G20">
        <f t="shared" si="3"/>
        <v>3</v>
      </c>
      <c r="H20">
        <f t="shared" si="4"/>
        <v>0</v>
      </c>
      <c r="I20">
        <f t="shared" si="5"/>
        <v>0</v>
      </c>
      <c r="J20" s="53">
        <v>3</v>
      </c>
      <c r="K20" s="51"/>
      <c r="L20" s="51" t="s">
        <v>191</v>
      </c>
      <c r="M20" s="55">
        <v>3</v>
      </c>
      <c r="N20" s="55" t="str">
        <v/>
      </c>
      <c r="O20" s="51"/>
      <c r="P20" s="52"/>
      <c r="R20" s="14" t="s">
        <v>184</v>
      </c>
      <c r="S20" s="24">
        <v>1</v>
      </c>
      <c r="T20" s="24">
        <f>SUMIF(schedule_gecode, R20, schedule_credits)</f>
        <v>1</v>
      </c>
      <c r="U20" s="42">
        <v>0</v>
      </c>
      <c r="V20" s="15" t="b">
        <f t="shared" si="49"/>
        <v>1</v>
      </c>
      <c r="AA20" s="251" t="s">
        <v>369</v>
      </c>
      <c r="AB20" s="202" t="s">
        <v>392</v>
      </c>
      <c r="AC20" s="256" t="s">
        <v>369</v>
      </c>
      <c r="AD20" s="7" t="b">
        <f t="shared" ref="AD20" si="52">NOT(ISERROR(MATCH(AC20,schedule_courses,0)))</f>
        <v>1</v>
      </c>
      <c r="AE20" s="7">
        <f t="shared" si="34"/>
        <v>6</v>
      </c>
      <c r="AF20" s="7" t="str">
        <f t="shared" ref="AF20" si="53">IF(ISNA(MATCH(AC20, $R$6:$R$7, 0)), "", $R$3)</f>
        <v/>
      </c>
      <c r="AG20" s="7" t="b">
        <f t="shared" ref="AG20" si="54">IF(AE20="", "", AE20&lt;AF20)</f>
        <v>1</v>
      </c>
      <c r="AH20" s="9"/>
      <c r="AI20" s="7" t="b">
        <f t="shared" ref="AI20" si="55">IF(AE20="", "", AE20&gt;=AH20)</f>
        <v>1</v>
      </c>
      <c r="AJ20" s="7">
        <f t="shared" ref="AJ20" si="56">IF(AE20="","",IF(MOD(AE20,2)=0,2,1))</f>
        <v>2</v>
      </c>
      <c r="AK20" s="7"/>
      <c r="AL20" s="7" t="str">
        <f t="shared" ref="AL20" si="57">IF(AK20&lt;&gt;0, AK20&lt;&gt;AJ20, "")</f>
        <v/>
      </c>
      <c r="AM20" s="7" t="b">
        <v>1</v>
      </c>
      <c r="AN20" s="7" t="str">
        <f t="shared" si="35"/>
        <v/>
      </c>
      <c r="AO20" s="6">
        <v>3</v>
      </c>
      <c r="AP20" s="21" t="str" cm="1">
        <f t="array" ref="AP20">IFERROR(_xlfn.IFS(AC20="MATH 451", "MATH 230", AC20="MATH 486", "MATH 220"), 0)</f>
        <v>MATH 230</v>
      </c>
      <c r="AQ20" s="7" t="b">
        <f t="shared" ref="AQ20" si="58">IF(AP20=0,"",NOT(ISERROR(MATCH(AP20,schedule_courses,0))))</f>
        <v>1</v>
      </c>
      <c r="AR20" s="21">
        <f t="shared" ref="AR20" si="59">IF(IFERROR(INDEX(req_tr_AP_credit, MATCH(AP20, req_course,0)), FALSE),0,IFERROR(INDEX(schedule_semester,MATCH(AP20,schedule_courses,0)), ""))</f>
        <v>2</v>
      </c>
      <c r="AS20" s="21" t="b">
        <f t="shared" ref="AS20" si="60">IF(AR20&lt;&gt;"", AR20&lt;AE20, "")</f>
        <v>1</v>
      </c>
      <c r="AT20" s="22"/>
      <c r="AU20" s="22" t="str">
        <f t="shared" ref="AU20" si="61">IF(AT20=0,"",NOT(ISERROR(MATCH(AT20,schedule_courses,0))))</f>
        <v/>
      </c>
      <c r="AV20" s="22" t="str">
        <f t="shared" ref="AV20" si="62">IF(IFERROR(INDEX(req_tr_AP_credit, MATCH(AT20, req_course)), FALSE),0,IFERROR(INDEX(schedule_semester,MATCH(AT20,schedule_courses,0)), ""))</f>
        <v/>
      </c>
      <c r="AW20" s="22" t="str">
        <f t="shared" ref="AW20" si="63">IF(AV20&lt;&gt;"", AV20&lt;=AE20, "")</f>
        <v/>
      </c>
      <c r="AX20" s="44"/>
      <c r="AY20" s="7"/>
      <c r="AZ20" s="15" t="s">
        <v>121</v>
      </c>
      <c r="BD20" s="77" t="s">
        <v>192</v>
      </c>
      <c r="BE20" s="97" t="s">
        <v>193</v>
      </c>
      <c r="BF20" s="24"/>
    </row>
    <row r="21" spans="1:58">
      <c r="A21">
        <v>0</v>
      </c>
      <c r="B21">
        <v>0</v>
      </c>
      <c r="C21">
        <v>0</v>
      </c>
      <c r="D21">
        <f t="shared" si="0"/>
        <v>0</v>
      </c>
      <c r="E21">
        <f t="shared" si="2"/>
        <v>0</v>
      </c>
      <c r="F21">
        <f t="shared" si="1"/>
        <v>0</v>
      </c>
      <c r="G21">
        <f t="shared" si="3"/>
        <v>3</v>
      </c>
      <c r="H21">
        <f t="shared" si="4"/>
        <v>0</v>
      </c>
      <c r="I21">
        <f t="shared" si="5"/>
        <v>0</v>
      </c>
      <c r="J21" s="45">
        <v>3</v>
      </c>
      <c r="K21" s="41"/>
      <c r="L21" s="41" t="s">
        <v>175</v>
      </c>
      <c r="M21" s="24">
        <v>3</v>
      </c>
      <c r="N21" s="24" t="str">
        <v/>
      </c>
      <c r="O21" s="41"/>
      <c r="P21" s="48"/>
      <c r="R21" s="14" t="s">
        <v>225</v>
      </c>
      <c r="S21" s="24">
        <v>6</v>
      </c>
      <c r="T21" s="24">
        <f>SUMIF(schedule_n, TRUE, schedule_credits)</f>
        <v>6</v>
      </c>
      <c r="U21" s="42">
        <v>0</v>
      </c>
      <c r="V21" s="15" t="b">
        <f t="shared" si="49"/>
        <v>1</v>
      </c>
      <c r="AA21" s="251" t="s">
        <v>393</v>
      </c>
      <c r="AB21" s="14"/>
      <c r="AC21" s="7" t="s">
        <v>394</v>
      </c>
      <c r="AD21" s="7" t="b">
        <f t="shared" ref="AD21:AD42" si="64">NOT(ISERROR(MATCH(AC21,schedule_courses,0)))</f>
        <v>1</v>
      </c>
      <c r="AE21" s="7">
        <f t="shared" si="34"/>
        <v>5</v>
      </c>
      <c r="AF21" s="7" t="str">
        <f t="shared" ref="AF21:AF42" si="65">IF(ISNA(MATCH(AC21, $R$6:$R$7, 0)), "", $R$3)</f>
        <v/>
      </c>
      <c r="AG21" s="7" t="b">
        <f t="shared" si="28"/>
        <v>1</v>
      </c>
      <c r="AH21" s="9"/>
      <c r="AI21" s="7" t="b">
        <f t="shared" si="29"/>
        <v>1</v>
      </c>
      <c r="AJ21" s="7">
        <f t="shared" si="30"/>
        <v>1</v>
      </c>
      <c r="AK21" s="7"/>
      <c r="AL21" s="7" t="str">
        <f t="shared" si="31"/>
        <v/>
      </c>
      <c r="AM21" s="7" t="b">
        <v>1</v>
      </c>
      <c r="AN21" s="7" t="str">
        <f t="shared" si="35"/>
        <v/>
      </c>
      <c r="AO21" s="7">
        <v>3</v>
      </c>
      <c r="AP21" s="7" t="s">
        <v>163</v>
      </c>
      <c r="AQ21" s="7" t="b">
        <f t="shared" si="10"/>
        <v>1</v>
      </c>
      <c r="AR21" s="7">
        <f t="shared" si="11"/>
        <v>4</v>
      </c>
      <c r="AS21" s="7" t="b">
        <f t="shared" si="32"/>
        <v>1</v>
      </c>
      <c r="AT21" s="7"/>
      <c r="AU21" s="7" t="str">
        <f t="shared" si="12"/>
        <v/>
      </c>
      <c r="AV21" s="7" t="str">
        <f t="shared" si="13"/>
        <v/>
      </c>
      <c r="AW21" s="7" t="str">
        <f t="shared" si="33"/>
        <v/>
      </c>
      <c r="AX21" s="44"/>
      <c r="AY21" s="7"/>
      <c r="AZ21" s="15" t="s">
        <v>121</v>
      </c>
      <c r="BD21" s="78" t="s">
        <v>194</v>
      </c>
      <c r="BE21" s="98" t="s">
        <v>195</v>
      </c>
      <c r="BF21" s="24"/>
    </row>
    <row r="22" spans="1:58">
      <c r="A22">
        <v>0</v>
      </c>
      <c r="B22">
        <v>0</v>
      </c>
      <c r="C22">
        <v>0</v>
      </c>
      <c r="D22">
        <f t="shared" si="0"/>
        <v>0</v>
      </c>
      <c r="E22">
        <f t="shared" si="2"/>
        <v>0</v>
      </c>
      <c r="F22">
        <f t="shared" si="1"/>
        <v>0</v>
      </c>
      <c r="G22">
        <f t="shared" si="3"/>
        <v>3</v>
      </c>
      <c r="H22">
        <f t="shared" si="4"/>
        <v>0</v>
      </c>
      <c r="I22">
        <f t="shared" si="5"/>
        <v>0</v>
      </c>
      <c r="J22" s="45">
        <v>3</v>
      </c>
      <c r="K22" s="41"/>
      <c r="L22" s="41" t="s">
        <v>354</v>
      </c>
      <c r="M22" s="24">
        <v>3</v>
      </c>
      <c r="N22" s="24" t="str">
        <v>GQ</v>
      </c>
      <c r="O22" s="41"/>
      <c r="P22" s="48"/>
      <c r="R22" s="28" t="s">
        <v>228</v>
      </c>
      <c r="S22" s="29">
        <v>3</v>
      </c>
      <c r="T22" s="24">
        <f>SUMIF(schedule_usil, "US", schedule_credits)</f>
        <v>3</v>
      </c>
      <c r="U22" s="42">
        <v>0</v>
      </c>
      <c r="V22" s="15" t="b">
        <f t="shared" si="49"/>
        <v>1</v>
      </c>
      <c r="AB22" s="14"/>
      <c r="AC22" s="8" t="s">
        <v>394</v>
      </c>
      <c r="AD22" s="8" t="b">
        <f t="shared" si="64"/>
        <v>1</v>
      </c>
      <c r="AE22" s="7">
        <f t="shared" si="34"/>
        <v>5</v>
      </c>
      <c r="AF22" s="7" t="str">
        <f t="shared" si="65"/>
        <v/>
      </c>
      <c r="AG22" s="7" t="b">
        <f t="shared" si="28"/>
        <v>1</v>
      </c>
      <c r="AH22" s="9"/>
      <c r="AI22" s="7" t="b">
        <f t="shared" si="29"/>
        <v>1</v>
      </c>
      <c r="AJ22" s="7">
        <f t="shared" si="30"/>
        <v>1</v>
      </c>
      <c r="AK22" s="7"/>
      <c r="AL22" s="7" t="str">
        <f t="shared" si="31"/>
        <v/>
      </c>
      <c r="AM22" s="7" t="b">
        <v>1</v>
      </c>
      <c r="AN22" s="7" t="str">
        <f t="shared" si="35"/>
        <v/>
      </c>
      <c r="AO22" s="8">
        <v>3</v>
      </c>
      <c r="AP22" s="7" t="s">
        <v>165</v>
      </c>
      <c r="AQ22" s="7" t="b">
        <f t="shared" si="10"/>
        <v>1</v>
      </c>
      <c r="AR22" s="7">
        <f t="shared" si="11"/>
        <v>2</v>
      </c>
      <c r="AS22" s="7" t="b">
        <f t="shared" si="32"/>
        <v>1</v>
      </c>
      <c r="AT22" s="7"/>
      <c r="AU22" s="7" t="str">
        <f t="shared" si="12"/>
        <v/>
      </c>
      <c r="AV22" s="7" t="str">
        <f t="shared" si="13"/>
        <v/>
      </c>
      <c r="AW22" s="7" t="str">
        <f t="shared" si="33"/>
        <v/>
      </c>
      <c r="AX22" s="44"/>
      <c r="AY22" s="7"/>
      <c r="AZ22" s="23" t="s">
        <v>121</v>
      </c>
      <c r="BD22" s="16" t="s">
        <v>53</v>
      </c>
      <c r="BE22" s="15"/>
      <c r="BF22" s="24"/>
    </row>
    <row r="23" spans="1:58">
      <c r="A23">
        <v>0</v>
      </c>
      <c r="B23">
        <v>0</v>
      </c>
      <c r="C23">
        <v>0</v>
      </c>
      <c r="D23">
        <f t="shared" si="0"/>
        <v>0</v>
      </c>
      <c r="E23">
        <f t="shared" si="2"/>
        <v>0</v>
      </c>
      <c r="F23">
        <f t="shared" si="1"/>
        <v>0</v>
      </c>
      <c r="G23">
        <f t="shared" si="3"/>
        <v>3</v>
      </c>
      <c r="H23">
        <f t="shared" si="4"/>
        <v>0</v>
      </c>
      <c r="I23">
        <f t="shared" si="5"/>
        <v>0</v>
      </c>
      <c r="J23" s="45">
        <v>3</v>
      </c>
      <c r="K23" s="41"/>
      <c r="L23" s="41" t="s">
        <v>245</v>
      </c>
      <c r="M23" s="24">
        <v>3</v>
      </c>
      <c r="N23" s="24" t="str">
        <v>GS</v>
      </c>
      <c r="O23" s="41"/>
      <c r="P23" s="48"/>
      <c r="R23" s="30" t="s">
        <v>232</v>
      </c>
      <c r="S23" s="31">
        <v>3</v>
      </c>
      <c r="T23" s="10">
        <f>SUMIF(schedule_usil, "IL", schedule_credits)</f>
        <v>3</v>
      </c>
      <c r="U23" s="239">
        <v>0</v>
      </c>
      <c r="V23" s="26" t="b">
        <f t="shared" si="49"/>
        <v>1</v>
      </c>
      <c r="AB23" s="14"/>
      <c r="AC23" s="7" t="s">
        <v>346</v>
      </c>
      <c r="AD23" s="7" t="b">
        <f t="shared" si="64"/>
        <v>1</v>
      </c>
      <c r="AE23" s="7">
        <f t="shared" si="34"/>
        <v>1</v>
      </c>
      <c r="AF23" s="7" t="str">
        <f t="shared" si="65"/>
        <v/>
      </c>
      <c r="AG23" s="7" t="b">
        <f t="shared" si="28"/>
        <v>1</v>
      </c>
      <c r="AH23" s="9"/>
      <c r="AI23" s="7" t="b">
        <f t="shared" si="29"/>
        <v>1</v>
      </c>
      <c r="AJ23" s="7">
        <f t="shared" si="30"/>
        <v>1</v>
      </c>
      <c r="AK23" s="7"/>
      <c r="AL23" s="7" t="str">
        <f t="shared" si="31"/>
        <v/>
      </c>
      <c r="AM23" s="7"/>
      <c r="AN23" s="7" t="str">
        <f t="shared" si="35"/>
        <v/>
      </c>
      <c r="AO23" s="7">
        <v>1</v>
      </c>
      <c r="AP23" s="7"/>
      <c r="AQ23" s="7" t="str">
        <f t="shared" si="10"/>
        <v/>
      </c>
      <c r="AR23" s="7" t="str">
        <f t="shared" si="11"/>
        <v/>
      </c>
      <c r="AS23" s="7" t="str">
        <f t="shared" si="32"/>
        <v/>
      </c>
      <c r="AT23" s="7"/>
      <c r="AU23" s="7" t="str">
        <f t="shared" si="12"/>
        <v/>
      </c>
      <c r="AV23" s="7" t="str">
        <f t="shared" si="13"/>
        <v/>
      </c>
      <c r="AW23" s="7" t="str">
        <f t="shared" si="33"/>
        <v/>
      </c>
      <c r="AX23" s="44"/>
      <c r="AY23" s="7" t="s">
        <v>184</v>
      </c>
      <c r="AZ23" s="15" t="s">
        <v>121</v>
      </c>
      <c r="BD23" s="77" t="s">
        <v>199</v>
      </c>
      <c r="BE23" s="99" t="s">
        <v>200</v>
      </c>
      <c r="BF23" s="24"/>
    </row>
    <row r="24" spans="1:58">
      <c r="A24">
        <v>0</v>
      </c>
      <c r="B24">
        <v>0</v>
      </c>
      <c r="C24">
        <v>0</v>
      </c>
      <c r="D24">
        <f t="shared" si="0"/>
        <v>0</v>
      </c>
      <c r="E24">
        <f t="shared" si="2"/>
        <v>0</v>
      </c>
      <c r="F24">
        <f t="shared" si="1"/>
        <v>0</v>
      </c>
      <c r="G24">
        <f t="shared" si="3"/>
        <v>3</v>
      </c>
      <c r="H24">
        <f t="shared" si="4"/>
        <v>0</v>
      </c>
      <c r="I24">
        <f t="shared" si="5"/>
        <v>0</v>
      </c>
      <c r="J24" s="45">
        <v>3</v>
      </c>
      <c r="K24" s="41"/>
      <c r="L24" s="41" t="s">
        <v>235</v>
      </c>
      <c r="M24" s="24">
        <v>3</v>
      </c>
      <c r="N24" s="24" t="str">
        <v/>
      </c>
      <c r="O24" s="41"/>
      <c r="P24" s="48"/>
      <c r="R24" s="29"/>
      <c r="S24" s="29"/>
      <c r="T24" s="24"/>
      <c r="U24" s="69"/>
      <c r="V24" s="24"/>
      <c r="AB24" s="14"/>
      <c r="AC24" s="7" t="s">
        <v>350</v>
      </c>
      <c r="AD24" s="7" t="b">
        <f t="shared" si="64"/>
        <v>1</v>
      </c>
      <c r="AE24" s="7">
        <f t="shared" si="34"/>
        <v>6</v>
      </c>
      <c r="AF24" s="7" t="str">
        <f t="shared" si="65"/>
        <v/>
      </c>
      <c r="AG24" s="7" t="b">
        <f t="shared" si="28"/>
        <v>1</v>
      </c>
      <c r="AH24" s="9">
        <f>MAX(4, R3)</f>
        <v>4</v>
      </c>
      <c r="AI24" s="7" t="b">
        <f t="shared" si="29"/>
        <v>1</v>
      </c>
      <c r="AJ24" s="7">
        <f t="shared" si="30"/>
        <v>2</v>
      </c>
      <c r="AK24" s="7"/>
      <c r="AL24" s="7" t="str">
        <f t="shared" si="31"/>
        <v/>
      </c>
      <c r="AM24" s="6" t="b">
        <v>1</v>
      </c>
      <c r="AN24" s="7" t="str">
        <f t="shared" si="35"/>
        <v/>
      </c>
      <c r="AO24" s="7">
        <v>3</v>
      </c>
      <c r="AP24" s="7"/>
      <c r="AQ24" s="7" t="str">
        <f t="shared" si="10"/>
        <v/>
      </c>
      <c r="AR24" s="7" t="str">
        <f t="shared" si="11"/>
        <v/>
      </c>
      <c r="AS24" s="7" t="str">
        <f t="shared" si="32"/>
        <v/>
      </c>
      <c r="AT24" s="7"/>
      <c r="AU24" s="7" t="str">
        <f t="shared" si="12"/>
        <v/>
      </c>
      <c r="AV24" s="7" t="str">
        <f t="shared" si="13"/>
        <v/>
      </c>
      <c r="AW24" s="7" t="str">
        <f t="shared" si="33"/>
        <v/>
      </c>
      <c r="AX24" s="44"/>
      <c r="AY24" s="7"/>
      <c r="AZ24" s="15" t="s">
        <v>121</v>
      </c>
      <c r="BD24" s="78" t="s">
        <v>205</v>
      </c>
      <c r="BE24" s="99" t="s">
        <v>206</v>
      </c>
      <c r="BF24" s="24"/>
    </row>
    <row r="25" spans="1:58">
      <c r="A25">
        <v>0</v>
      </c>
      <c r="B25">
        <v>0</v>
      </c>
      <c r="C25">
        <v>0</v>
      </c>
      <c r="D25">
        <f t="shared" si="0"/>
        <v>0</v>
      </c>
      <c r="E25">
        <f t="shared" si="2"/>
        <v>0</v>
      </c>
      <c r="F25">
        <f t="shared" si="1"/>
        <v>0</v>
      </c>
      <c r="G25">
        <f t="shared" si="3"/>
        <v>0</v>
      </c>
      <c r="H25">
        <f t="shared" si="4"/>
        <v>0</v>
      </c>
      <c r="I25">
        <f t="shared" si="5"/>
        <v>0</v>
      </c>
      <c r="J25" s="45">
        <v>3</v>
      </c>
      <c r="K25" s="41"/>
      <c r="L25" s="41"/>
      <c r="M25" s="24" t="str">
        <v/>
      </c>
      <c r="N25" s="24" t="str">
        <v/>
      </c>
      <c r="O25" s="41"/>
      <c r="P25" s="48"/>
      <c r="AB25" s="14"/>
      <c r="AC25" s="9" t="s">
        <v>191</v>
      </c>
      <c r="AD25" s="9" t="b">
        <f t="shared" si="64"/>
        <v>1</v>
      </c>
      <c r="AE25" s="7">
        <f t="shared" si="34"/>
        <v>3</v>
      </c>
      <c r="AF25" s="7" t="str">
        <f t="shared" si="65"/>
        <v/>
      </c>
      <c r="AG25" s="7" t="b">
        <f t="shared" si="28"/>
        <v>1</v>
      </c>
      <c r="AH25" s="9">
        <f>MAX(3, R3)</f>
        <v>3</v>
      </c>
      <c r="AI25" s="7" t="b">
        <f t="shared" si="29"/>
        <v>1</v>
      </c>
      <c r="AJ25" s="7">
        <f t="shared" si="30"/>
        <v>1</v>
      </c>
      <c r="AK25" s="7"/>
      <c r="AL25" s="7" t="str">
        <f t="shared" si="31"/>
        <v/>
      </c>
      <c r="AM25" s="6" t="b">
        <v>1</v>
      </c>
      <c r="AN25" s="7" t="str">
        <f t="shared" si="35"/>
        <v/>
      </c>
      <c r="AO25" s="9">
        <v>3</v>
      </c>
      <c r="AP25" s="7" t="s">
        <v>165</v>
      </c>
      <c r="AQ25" s="7" t="b">
        <f t="shared" si="10"/>
        <v>1</v>
      </c>
      <c r="AR25" s="7">
        <f t="shared" si="11"/>
        <v>2</v>
      </c>
      <c r="AS25" s="7" t="b">
        <f t="shared" si="32"/>
        <v>1</v>
      </c>
      <c r="AT25" s="7"/>
      <c r="AU25" s="7" t="str">
        <f t="shared" si="12"/>
        <v/>
      </c>
      <c r="AV25" s="7" t="str">
        <f t="shared" si="13"/>
        <v/>
      </c>
      <c r="AW25" s="7" t="str">
        <f t="shared" si="33"/>
        <v/>
      </c>
      <c r="AX25" s="44"/>
      <c r="AY25" s="7"/>
      <c r="AZ25" s="15" t="s">
        <v>121</v>
      </c>
      <c r="BD25" s="77" t="s">
        <v>211</v>
      </c>
      <c r="BE25" s="98" t="s">
        <v>212</v>
      </c>
      <c r="BF25" s="24"/>
    </row>
    <row r="26" spans="1:58">
      <c r="A26">
        <v>0</v>
      </c>
      <c r="B26">
        <v>0</v>
      </c>
      <c r="C26">
        <v>0</v>
      </c>
      <c r="D26">
        <f t="shared" si="0"/>
        <v>0</v>
      </c>
      <c r="E26">
        <f t="shared" si="2"/>
        <v>0</v>
      </c>
      <c r="F26">
        <f t="shared" si="1"/>
        <v>0</v>
      </c>
      <c r="G26">
        <f t="shared" si="3"/>
        <v>0</v>
      </c>
      <c r="H26">
        <f t="shared" si="4"/>
        <v>0</v>
      </c>
      <c r="I26">
        <f t="shared" si="5"/>
        <v>0</v>
      </c>
      <c r="J26" s="45">
        <v>3</v>
      </c>
      <c r="K26" s="41"/>
      <c r="L26" s="41"/>
      <c r="M26" s="24" t="str">
        <v/>
      </c>
      <c r="N26" s="24" t="str">
        <v/>
      </c>
      <c r="O26" s="41"/>
      <c r="P26" s="48"/>
      <c r="AB26" s="14"/>
      <c r="AC26" s="8" t="s">
        <v>191</v>
      </c>
      <c r="AD26" s="8" t="b">
        <f t="shared" si="64"/>
        <v>1</v>
      </c>
      <c r="AE26" s="7">
        <f t="shared" si="34"/>
        <v>3</v>
      </c>
      <c r="AF26" s="7" t="str">
        <f t="shared" si="65"/>
        <v/>
      </c>
      <c r="AG26" s="7" t="b">
        <f t="shared" si="28"/>
        <v>1</v>
      </c>
      <c r="AH26" s="9">
        <f xml:space="preserve"> MAX(3,etm_semester)</f>
        <v>3</v>
      </c>
      <c r="AI26" s="7" t="b">
        <f t="shared" si="29"/>
        <v>1</v>
      </c>
      <c r="AJ26" s="7">
        <f t="shared" si="30"/>
        <v>1</v>
      </c>
      <c r="AK26" s="7"/>
      <c r="AL26" s="7" t="str">
        <f t="shared" si="31"/>
        <v/>
      </c>
      <c r="AM26" s="6" t="b">
        <v>1</v>
      </c>
      <c r="AN26" s="7" t="str">
        <f t="shared" si="35"/>
        <v/>
      </c>
      <c r="AO26" s="8">
        <v>3</v>
      </c>
      <c r="AP26" s="7" t="s">
        <v>383</v>
      </c>
      <c r="AQ26" s="7" t="b">
        <f t="shared" si="10"/>
        <v>1</v>
      </c>
      <c r="AR26" s="7">
        <f t="shared" si="11"/>
        <v>2</v>
      </c>
      <c r="AS26" s="7" t="b">
        <f t="shared" si="32"/>
        <v>1</v>
      </c>
      <c r="AT26" s="7"/>
      <c r="AU26" s="7" t="str">
        <f t="shared" si="12"/>
        <v/>
      </c>
      <c r="AV26" s="7" t="str">
        <f t="shared" si="13"/>
        <v/>
      </c>
      <c r="AW26" s="7" t="str">
        <f t="shared" si="33"/>
        <v/>
      </c>
      <c r="AX26" s="44"/>
      <c r="AY26" s="7"/>
      <c r="AZ26" s="23" t="s">
        <v>121</v>
      </c>
      <c r="BD26" s="78" t="s">
        <v>216</v>
      </c>
      <c r="BE26" s="99" t="s">
        <v>217</v>
      </c>
      <c r="BF26" s="24"/>
    </row>
    <row r="27" spans="1:58">
      <c r="A27">
        <v>0</v>
      </c>
      <c r="B27">
        <v>0</v>
      </c>
      <c r="C27">
        <v>0</v>
      </c>
      <c r="D27">
        <f t="shared" si="0"/>
        <v>0</v>
      </c>
      <c r="E27">
        <f t="shared" si="2"/>
        <v>0</v>
      </c>
      <c r="F27">
        <f t="shared" si="1"/>
        <v>0</v>
      </c>
      <c r="G27">
        <f t="shared" si="3"/>
        <v>0</v>
      </c>
      <c r="H27">
        <f t="shared" si="4"/>
        <v>0</v>
      </c>
      <c r="I27">
        <f t="shared" si="5"/>
        <v>0</v>
      </c>
      <c r="J27" s="45">
        <v>3</v>
      </c>
      <c r="K27" s="41"/>
      <c r="L27" s="41"/>
      <c r="M27" s="24" t="str">
        <v/>
      </c>
      <c r="N27" s="24" t="str">
        <v/>
      </c>
      <c r="O27" s="41"/>
      <c r="P27" s="48"/>
      <c r="R27" s="72" t="s">
        <v>61</v>
      </c>
      <c r="S27" s="262" t="s">
        <v>29</v>
      </c>
      <c r="T27" s="309" t="s">
        <v>244</v>
      </c>
      <c r="U27" s="309"/>
      <c r="V27" s="310"/>
      <c r="AB27" s="14"/>
      <c r="AC27" s="7" t="s">
        <v>196</v>
      </c>
      <c r="AD27" s="7" t="b">
        <f t="shared" si="64"/>
        <v>1</v>
      </c>
      <c r="AE27" s="7">
        <f t="shared" si="34"/>
        <v>6</v>
      </c>
      <c r="AF27" s="7" t="str">
        <f t="shared" si="65"/>
        <v/>
      </c>
      <c r="AG27" s="7" t="b">
        <f t="shared" si="28"/>
        <v>1</v>
      </c>
      <c r="AH27" s="9">
        <f>MAX(4, R3)</f>
        <v>4</v>
      </c>
      <c r="AI27" s="7" t="b">
        <f t="shared" si="29"/>
        <v>1</v>
      </c>
      <c r="AJ27" s="7">
        <f t="shared" si="30"/>
        <v>2</v>
      </c>
      <c r="AK27" s="7">
        <v>2</v>
      </c>
      <c r="AL27" s="7" t="b">
        <f t="shared" si="31"/>
        <v>0</v>
      </c>
      <c r="AM27" s="6" t="b">
        <v>1</v>
      </c>
      <c r="AN27" s="7" t="str">
        <f t="shared" si="35"/>
        <v/>
      </c>
      <c r="AO27" s="7">
        <v>3</v>
      </c>
      <c r="AP27" s="7" t="s">
        <v>191</v>
      </c>
      <c r="AQ27" s="7" t="b">
        <f t="shared" si="10"/>
        <v>1</v>
      </c>
      <c r="AR27" s="7">
        <f t="shared" si="11"/>
        <v>3</v>
      </c>
      <c r="AS27" s="7" t="b">
        <f t="shared" si="32"/>
        <v>1</v>
      </c>
      <c r="AT27" s="7"/>
      <c r="AU27" s="7" t="str">
        <f t="shared" si="12"/>
        <v/>
      </c>
      <c r="AV27" s="7" t="str">
        <f t="shared" si="13"/>
        <v/>
      </c>
      <c r="AW27" s="7" t="str">
        <f t="shared" si="33"/>
        <v/>
      </c>
      <c r="AX27" s="44"/>
      <c r="AY27" s="7"/>
      <c r="AZ27" s="15" t="s">
        <v>121</v>
      </c>
      <c r="BD27" s="77" t="s">
        <v>220</v>
      </c>
      <c r="BE27" s="99" t="s">
        <v>221</v>
      </c>
      <c r="BF27" s="24"/>
    </row>
    <row r="28" spans="1:58">
      <c r="A28">
        <v>0</v>
      </c>
      <c r="B28">
        <v>0</v>
      </c>
      <c r="C28">
        <v>0</v>
      </c>
      <c r="D28">
        <f t="shared" si="0"/>
        <v>0</v>
      </c>
      <c r="E28">
        <f t="shared" si="2"/>
        <v>0</v>
      </c>
      <c r="F28">
        <f t="shared" si="1"/>
        <v>0</v>
      </c>
      <c r="G28">
        <f t="shared" si="3"/>
        <v>0</v>
      </c>
      <c r="H28">
        <f t="shared" si="4"/>
        <v>0</v>
      </c>
      <c r="I28">
        <f t="shared" si="5"/>
        <v>0</v>
      </c>
      <c r="J28" s="54">
        <v>3</v>
      </c>
      <c r="K28" s="43"/>
      <c r="L28" s="43"/>
      <c r="M28" s="10" t="str">
        <v/>
      </c>
      <c r="N28" s="10" t="str">
        <v/>
      </c>
      <c r="O28" s="43"/>
      <c r="P28" s="49"/>
      <c r="R28" s="14" t="s">
        <v>248</v>
      </c>
      <c r="S28" s="24" cm="1">
        <f t="array" ref="S28">IFERROR(INDEX(schedule_semester, MAX(MATCH(T28, schedule_courses, 0))), "Take more courses")</f>
        <v>2</v>
      </c>
      <c r="T28" s="24" t="s">
        <v>186</v>
      </c>
      <c r="U28" s="24"/>
      <c r="V28" s="15"/>
      <c r="AB28" s="14"/>
      <c r="AC28" s="7" t="s">
        <v>198</v>
      </c>
      <c r="AD28" s="7" t="b">
        <f t="shared" si="64"/>
        <v>1</v>
      </c>
      <c r="AE28" s="7">
        <f t="shared" si="34"/>
        <v>7</v>
      </c>
      <c r="AF28" s="7" t="str">
        <f t="shared" si="65"/>
        <v/>
      </c>
      <c r="AG28" s="7" t="b">
        <f t="shared" si="28"/>
        <v>1</v>
      </c>
      <c r="AH28" s="9">
        <f>MAX(5, R3)</f>
        <v>5</v>
      </c>
      <c r="AI28" s="7" t="b">
        <f t="shared" si="29"/>
        <v>1</v>
      </c>
      <c r="AJ28" s="7">
        <f t="shared" si="30"/>
        <v>1</v>
      </c>
      <c r="AK28" s="7">
        <v>1</v>
      </c>
      <c r="AL28" s="7" t="b">
        <f t="shared" si="31"/>
        <v>0</v>
      </c>
      <c r="AM28" s="6" t="b">
        <v>1</v>
      </c>
      <c r="AN28" s="7" t="str">
        <f t="shared" si="35"/>
        <v/>
      </c>
      <c r="AO28" s="7">
        <v>3</v>
      </c>
      <c r="AP28" s="7" t="s">
        <v>196</v>
      </c>
      <c r="AQ28" s="7" t="b">
        <f t="shared" si="10"/>
        <v>1</v>
      </c>
      <c r="AR28" s="7">
        <f t="shared" si="11"/>
        <v>6</v>
      </c>
      <c r="AS28" s="7" t="b">
        <f t="shared" si="32"/>
        <v>1</v>
      </c>
      <c r="AT28" s="7"/>
      <c r="AU28" s="7" t="str">
        <f t="shared" si="12"/>
        <v/>
      </c>
      <c r="AV28" s="7" t="str">
        <f t="shared" si="13"/>
        <v/>
      </c>
      <c r="AW28" s="7" t="str">
        <f t="shared" si="33"/>
        <v/>
      </c>
      <c r="AX28" s="44"/>
      <c r="AY28" s="7"/>
      <c r="AZ28" s="15" t="s">
        <v>121</v>
      </c>
      <c r="BD28" s="78" t="s">
        <v>223</v>
      </c>
      <c r="BE28" s="99" t="s">
        <v>224</v>
      </c>
      <c r="BF28" s="24"/>
    </row>
    <row r="29" spans="1:58">
      <c r="A29">
        <v>0</v>
      </c>
      <c r="B29">
        <v>0</v>
      </c>
      <c r="C29">
        <v>0</v>
      </c>
      <c r="D29">
        <f t="shared" si="0"/>
        <v>0</v>
      </c>
      <c r="E29">
        <f t="shared" si="2"/>
        <v>0</v>
      </c>
      <c r="F29">
        <f t="shared" si="1"/>
        <v>0</v>
      </c>
      <c r="G29">
        <f t="shared" si="3"/>
        <v>3</v>
      </c>
      <c r="H29">
        <f t="shared" si="4"/>
        <v>0</v>
      </c>
      <c r="I29">
        <f t="shared" si="5"/>
        <v>0</v>
      </c>
      <c r="J29" s="50">
        <v>4</v>
      </c>
      <c r="K29" s="51"/>
      <c r="L29" s="51" t="s">
        <v>203</v>
      </c>
      <c r="M29" s="55">
        <v>3</v>
      </c>
      <c r="N29" s="55" t="str">
        <v/>
      </c>
      <c r="O29" s="51"/>
      <c r="P29" s="52"/>
      <c r="R29" s="14" t="s">
        <v>251</v>
      </c>
      <c r="S29" s="24" cm="1">
        <f t="array" ref="S29">IFERROR(INDEX(schedule_semester, MAX(MATCH(T29, schedule_courses, 0))), "Take more courses")</f>
        <v>3</v>
      </c>
      <c r="T29" s="24" t="s">
        <v>191</v>
      </c>
      <c r="U29" s="24"/>
      <c r="V29" s="15"/>
      <c r="AB29" s="14"/>
      <c r="AC29" s="7" t="s">
        <v>119</v>
      </c>
      <c r="AD29" s="7" t="b">
        <f t="shared" si="64"/>
        <v>1</v>
      </c>
      <c r="AE29" s="7">
        <f t="shared" si="34"/>
        <v>1</v>
      </c>
      <c r="AF29" s="7" t="str">
        <f t="shared" si="65"/>
        <v/>
      </c>
      <c r="AG29" s="7" t="b">
        <f t="shared" si="28"/>
        <v>1</v>
      </c>
      <c r="AH29" s="9"/>
      <c r="AI29" s="7" t="b">
        <f t="shared" si="29"/>
        <v>1</v>
      </c>
      <c r="AJ29" s="7">
        <f t="shared" si="30"/>
        <v>1</v>
      </c>
      <c r="AK29" s="7"/>
      <c r="AL29" s="7" t="str">
        <f t="shared" si="31"/>
        <v/>
      </c>
      <c r="AM29" s="7"/>
      <c r="AN29" s="7" t="str">
        <f t="shared" si="35"/>
        <v/>
      </c>
      <c r="AO29" s="7">
        <v>4</v>
      </c>
      <c r="AP29" s="7"/>
      <c r="AQ29" s="7" t="str">
        <f t="shared" si="10"/>
        <v/>
      </c>
      <c r="AR29" s="7" t="str">
        <f t="shared" si="11"/>
        <v/>
      </c>
      <c r="AS29" s="7" t="str">
        <f t="shared" si="32"/>
        <v/>
      </c>
      <c r="AT29" s="7"/>
      <c r="AU29" s="7" t="str">
        <f t="shared" si="12"/>
        <v/>
      </c>
      <c r="AV29" s="7" t="str">
        <f t="shared" si="13"/>
        <v/>
      </c>
      <c r="AW29" s="7" t="str">
        <f t="shared" si="33"/>
        <v/>
      </c>
      <c r="AX29" s="44"/>
      <c r="AY29" s="7" t="s">
        <v>154</v>
      </c>
      <c r="AZ29" s="15" t="s">
        <v>121</v>
      </c>
      <c r="BD29" s="16" t="s">
        <v>226</v>
      </c>
      <c r="BE29" s="101"/>
      <c r="BF29" s="24"/>
    </row>
    <row r="30" spans="1:58">
      <c r="A30">
        <v>0</v>
      </c>
      <c r="B30">
        <v>0</v>
      </c>
      <c r="C30">
        <v>0</v>
      </c>
      <c r="D30">
        <f t="shared" si="0"/>
        <v>0</v>
      </c>
      <c r="E30">
        <f t="shared" si="2"/>
        <v>0</v>
      </c>
      <c r="F30">
        <f t="shared" si="1"/>
        <v>0</v>
      </c>
      <c r="G30">
        <f t="shared" si="3"/>
        <v>3</v>
      </c>
      <c r="H30">
        <f t="shared" si="4"/>
        <v>0</v>
      </c>
      <c r="I30">
        <f t="shared" si="5"/>
        <v>0</v>
      </c>
      <c r="J30" s="46">
        <v>4</v>
      </c>
      <c r="K30" s="41"/>
      <c r="L30" s="41" t="s">
        <v>390</v>
      </c>
      <c r="M30" s="24">
        <v>3</v>
      </c>
      <c r="N30" s="24" t="str">
        <v/>
      </c>
      <c r="O30" s="41"/>
      <c r="P30" s="48"/>
      <c r="R30" s="14" t="s">
        <v>254</v>
      </c>
      <c r="S30" s="24" cm="1">
        <f t="array" ref="S30">IFERROR(INDEX(schedule_semester, MAX(MATCH(T30, schedule_courses, 0))), "Take more courses")</f>
        <v>4</v>
      </c>
      <c r="T30" s="24" t="s">
        <v>203</v>
      </c>
      <c r="U30" s="24"/>
      <c r="V30" s="15"/>
      <c r="AB30" s="14"/>
      <c r="AC30" s="7" t="s">
        <v>235</v>
      </c>
      <c r="AD30" s="7" t="b">
        <f t="shared" si="64"/>
        <v>1</v>
      </c>
      <c r="AE30" s="7">
        <f t="shared" si="34"/>
        <v>3</v>
      </c>
      <c r="AF30" s="7" t="str">
        <f t="shared" si="65"/>
        <v/>
      </c>
      <c r="AG30" s="7" t="b">
        <f t="shared" si="28"/>
        <v>1</v>
      </c>
      <c r="AH30" s="9"/>
      <c r="AI30" s="7" t="b">
        <f t="shared" si="29"/>
        <v>1</v>
      </c>
      <c r="AJ30" s="7">
        <f t="shared" si="30"/>
        <v>1</v>
      </c>
      <c r="AK30" s="7"/>
      <c r="AL30" s="7" t="str">
        <f t="shared" si="31"/>
        <v/>
      </c>
      <c r="AM30" s="7"/>
      <c r="AN30" s="7" t="str">
        <f t="shared" si="35"/>
        <v/>
      </c>
      <c r="AO30" s="7">
        <v>3</v>
      </c>
      <c r="AP30" s="7" t="s">
        <v>119</v>
      </c>
      <c r="AQ30" s="7" t="b">
        <f t="shared" si="10"/>
        <v>1</v>
      </c>
      <c r="AR30" s="7">
        <f t="shared" si="11"/>
        <v>1</v>
      </c>
      <c r="AS30" s="7" t="b">
        <f t="shared" si="32"/>
        <v>1</v>
      </c>
      <c r="AT30" s="7"/>
      <c r="AU30" s="7" t="str">
        <f t="shared" si="12"/>
        <v/>
      </c>
      <c r="AV30" s="7" t="str">
        <f t="shared" si="13"/>
        <v/>
      </c>
      <c r="AW30" s="7" t="str">
        <f t="shared" si="33"/>
        <v/>
      </c>
      <c r="AX30" s="41"/>
      <c r="AY30" s="24"/>
      <c r="AZ30" s="15" t="s">
        <v>121</v>
      </c>
      <c r="BD30" s="85" t="s">
        <v>242</v>
      </c>
      <c r="BE30" s="102" t="s">
        <v>395</v>
      </c>
      <c r="BF30" s="24"/>
    </row>
    <row r="31" spans="1:58">
      <c r="A31">
        <v>0</v>
      </c>
      <c r="B31">
        <v>0</v>
      </c>
      <c r="C31">
        <v>0</v>
      </c>
      <c r="D31">
        <f t="shared" si="0"/>
        <v>0</v>
      </c>
      <c r="E31">
        <f t="shared" si="2"/>
        <v>0</v>
      </c>
      <c r="F31">
        <f t="shared" si="1"/>
        <v>0</v>
      </c>
      <c r="G31">
        <f t="shared" si="3"/>
        <v>3</v>
      </c>
      <c r="H31">
        <f t="shared" si="4"/>
        <v>0</v>
      </c>
      <c r="I31">
        <f t="shared" si="5"/>
        <v>0</v>
      </c>
      <c r="J31" s="46">
        <v>4</v>
      </c>
      <c r="K31" s="41"/>
      <c r="L31" s="41" t="s">
        <v>385</v>
      </c>
      <c r="M31" s="24">
        <v>3</v>
      </c>
      <c r="N31" s="24" t="str">
        <v/>
      </c>
      <c r="O31" s="41"/>
      <c r="P31" s="48"/>
      <c r="R31" s="14" t="s">
        <v>257</v>
      </c>
      <c r="S31" s="24" cm="1">
        <f t="array" ref="S31">IFERROR(INDEX(schedule_semester, MAX(MATCH(T31, schedule_courses, 0),MATCH(U31, schedule_courses, 0))), "Take more courses")</f>
        <v>5</v>
      </c>
      <c r="T31" s="24" t="s">
        <v>235</v>
      </c>
      <c r="U31" s="24" t="s">
        <v>258</v>
      </c>
      <c r="V31" s="15"/>
      <c r="AB31" s="14"/>
      <c r="AC31" s="8" t="s">
        <v>258</v>
      </c>
      <c r="AD31" s="8" t="b">
        <f t="shared" si="64"/>
        <v>1</v>
      </c>
      <c r="AE31" s="7">
        <f t="shared" si="34"/>
        <v>5</v>
      </c>
      <c r="AF31" s="7" t="str">
        <f t="shared" si="65"/>
        <v/>
      </c>
      <c r="AG31" s="7" t="b">
        <f t="shared" si="28"/>
        <v>1</v>
      </c>
      <c r="AH31" s="9"/>
      <c r="AI31" s="7" t="b">
        <f t="shared" si="29"/>
        <v>1</v>
      </c>
      <c r="AJ31" s="7">
        <f t="shared" si="30"/>
        <v>1</v>
      </c>
      <c r="AK31" s="7"/>
      <c r="AL31" s="7" t="str">
        <f t="shared" si="31"/>
        <v/>
      </c>
      <c r="AM31" s="6" t="b">
        <v>1</v>
      </c>
      <c r="AN31" s="7" t="str">
        <f t="shared" si="35"/>
        <v/>
      </c>
      <c r="AO31" s="8">
        <v>3</v>
      </c>
      <c r="AP31" s="24" t="s">
        <v>383</v>
      </c>
      <c r="AQ31" s="7" t="b">
        <f t="shared" si="10"/>
        <v>1</v>
      </c>
      <c r="AR31" s="24">
        <f t="shared" si="11"/>
        <v>2</v>
      </c>
      <c r="AS31" s="24" t="b">
        <f t="shared" si="32"/>
        <v>1</v>
      </c>
      <c r="AT31" s="24"/>
      <c r="AU31" s="24" t="str">
        <f t="shared" si="12"/>
        <v/>
      </c>
      <c r="AV31" s="24" t="str">
        <f t="shared" si="13"/>
        <v/>
      </c>
      <c r="AW31" s="24" t="str">
        <f t="shared" si="33"/>
        <v/>
      </c>
      <c r="AX31" s="41"/>
      <c r="AY31" s="24"/>
      <c r="AZ31" s="23" t="s">
        <v>121</v>
      </c>
      <c r="BD31" s="87" t="s">
        <v>246</v>
      </c>
      <c r="BE31" s="102" t="s">
        <v>396</v>
      </c>
      <c r="BF31" s="24"/>
    </row>
    <row r="32" spans="1:58">
      <c r="A32">
        <v>0</v>
      </c>
      <c r="B32">
        <v>0</v>
      </c>
      <c r="C32">
        <v>0</v>
      </c>
      <c r="D32">
        <f t="shared" si="0"/>
        <v>0</v>
      </c>
      <c r="E32">
        <f t="shared" si="2"/>
        <v>0</v>
      </c>
      <c r="F32">
        <f t="shared" si="1"/>
        <v>0</v>
      </c>
      <c r="G32">
        <f t="shared" si="3"/>
        <v>3</v>
      </c>
      <c r="H32">
        <f t="shared" si="4"/>
        <v>0</v>
      </c>
      <c r="I32">
        <f t="shared" si="5"/>
        <v>0</v>
      </c>
      <c r="J32" s="46">
        <v>4</v>
      </c>
      <c r="K32" s="41"/>
      <c r="L32" s="41" t="s">
        <v>389</v>
      </c>
      <c r="M32" s="24">
        <v>3</v>
      </c>
      <c r="N32" s="24" t="str">
        <v/>
      </c>
      <c r="O32" s="41"/>
      <c r="P32" s="48"/>
      <c r="R32" s="14" t="s">
        <v>262</v>
      </c>
      <c r="S32" s="24" cm="1">
        <f t="array" ref="S32">IFERROR(INDEX(schedule_semester, MAX(MATCH(T32, schedule_courses, 0),MATCH(U32, schedule_courses, 0))), "Take more courses")</f>
        <v>7</v>
      </c>
      <c r="T32" s="24" t="s">
        <v>196</v>
      </c>
      <c r="U32" s="24" t="s">
        <v>198</v>
      </c>
      <c r="V32" s="15"/>
      <c r="AB32" s="14"/>
      <c r="AC32" s="7" t="s">
        <v>258</v>
      </c>
      <c r="AD32" s="7" t="b">
        <f t="shared" si="64"/>
        <v>1</v>
      </c>
      <c r="AE32" s="7">
        <f t="shared" si="34"/>
        <v>5</v>
      </c>
      <c r="AF32" s="7" t="str">
        <f t="shared" si="65"/>
        <v/>
      </c>
      <c r="AG32" s="7" t="b">
        <f t="shared" si="28"/>
        <v>1</v>
      </c>
      <c r="AH32" s="9"/>
      <c r="AI32" s="7" t="b">
        <f t="shared" si="29"/>
        <v>1</v>
      </c>
      <c r="AJ32" s="7">
        <f t="shared" si="30"/>
        <v>1</v>
      </c>
      <c r="AK32" s="7"/>
      <c r="AL32" s="7" t="str">
        <f t="shared" si="31"/>
        <v/>
      </c>
      <c r="AM32" s="6" t="b">
        <v>1</v>
      </c>
      <c r="AN32" s="7" t="str">
        <f t="shared" si="35"/>
        <v/>
      </c>
      <c r="AO32" s="7">
        <v>3</v>
      </c>
      <c r="AP32" s="24" t="s">
        <v>235</v>
      </c>
      <c r="AQ32" s="7" t="b">
        <f t="shared" si="10"/>
        <v>1</v>
      </c>
      <c r="AR32" s="24">
        <f t="shared" si="11"/>
        <v>3</v>
      </c>
      <c r="AS32" s="24" t="b">
        <f t="shared" si="32"/>
        <v>1</v>
      </c>
      <c r="AT32" s="24"/>
      <c r="AU32" s="24" t="str">
        <f t="shared" si="12"/>
        <v/>
      </c>
      <c r="AV32" s="24" t="str">
        <f t="shared" si="13"/>
        <v/>
      </c>
      <c r="AW32" s="24" t="str">
        <f t="shared" si="33"/>
        <v/>
      </c>
      <c r="AX32" s="41"/>
      <c r="AY32" s="24"/>
      <c r="AZ32" s="15" t="s">
        <v>121</v>
      </c>
      <c r="BD32" s="85" t="s">
        <v>249</v>
      </c>
      <c r="BE32" s="102" t="s">
        <v>397</v>
      </c>
      <c r="BF32" s="24"/>
    </row>
    <row r="33" spans="1:58">
      <c r="A33">
        <v>0</v>
      </c>
      <c r="B33">
        <v>0</v>
      </c>
      <c r="C33">
        <v>0</v>
      </c>
      <c r="D33">
        <f t="shared" si="0"/>
        <v>0</v>
      </c>
      <c r="E33">
        <f t="shared" si="2"/>
        <v>0</v>
      </c>
      <c r="F33">
        <f t="shared" si="1"/>
        <v>0</v>
      </c>
      <c r="G33">
        <f t="shared" si="3"/>
        <v>2</v>
      </c>
      <c r="H33">
        <f t="shared" si="4"/>
        <v>0</v>
      </c>
      <c r="I33">
        <f t="shared" si="5"/>
        <v>0</v>
      </c>
      <c r="J33" s="46">
        <v>4</v>
      </c>
      <c r="K33" s="41"/>
      <c r="L33" s="41" t="s">
        <v>163</v>
      </c>
      <c r="M33" s="24">
        <v>2</v>
      </c>
      <c r="N33" s="24" t="str">
        <v>GQ</v>
      </c>
      <c r="O33" s="41"/>
      <c r="P33" s="48"/>
      <c r="R33" s="14" t="s">
        <v>265</v>
      </c>
      <c r="S33" s="24" cm="1">
        <f t="array" ref="S33">IFERROR(INDEX(schedule_semester, MAX(MATCH(T33, schedule_courses, 0))), "Take more courses")</f>
        <v>5</v>
      </c>
      <c r="T33" s="29" t="s">
        <v>391</v>
      </c>
      <c r="U33" s="24"/>
      <c r="V33" s="15"/>
      <c r="AB33" s="14"/>
      <c r="AC33" s="7" t="s">
        <v>159</v>
      </c>
      <c r="AD33" s="7" t="b">
        <f t="shared" si="64"/>
        <v>1</v>
      </c>
      <c r="AE33" s="7">
        <f t="shared" si="34"/>
        <v>2</v>
      </c>
      <c r="AF33" s="7" t="str">
        <f t="shared" si="65"/>
        <v/>
      </c>
      <c r="AG33" s="7" t="b">
        <f t="shared" si="28"/>
        <v>1</v>
      </c>
      <c r="AH33" s="9"/>
      <c r="AI33" s="7" t="b">
        <f t="shared" si="29"/>
        <v>1</v>
      </c>
      <c r="AJ33" s="7">
        <f t="shared" si="30"/>
        <v>2</v>
      </c>
      <c r="AK33" s="7"/>
      <c r="AL33" s="7" t="str">
        <f t="shared" si="31"/>
        <v/>
      </c>
      <c r="AM33" s="6" t="b">
        <v>1</v>
      </c>
      <c r="AN33" s="7" t="str">
        <f t="shared" si="35"/>
        <v/>
      </c>
      <c r="AO33" s="7">
        <v>4</v>
      </c>
      <c r="AP33" s="7"/>
      <c r="AQ33" s="7" t="str">
        <f t="shared" si="10"/>
        <v/>
      </c>
      <c r="AR33" s="7" t="str">
        <f t="shared" si="11"/>
        <v/>
      </c>
      <c r="AS33" s="7" t="str">
        <f t="shared" si="32"/>
        <v/>
      </c>
      <c r="AT33" s="7"/>
      <c r="AU33" s="7" t="str">
        <f t="shared" si="12"/>
        <v/>
      </c>
      <c r="AV33" s="7" t="str">
        <f t="shared" si="13"/>
        <v/>
      </c>
      <c r="AW33" s="7" t="str">
        <f t="shared" si="33"/>
        <v/>
      </c>
      <c r="AX33" s="44"/>
      <c r="AY33" s="7"/>
      <c r="AZ33" s="15" t="s">
        <v>259</v>
      </c>
      <c r="BD33" s="87" t="s">
        <v>252</v>
      </c>
      <c r="BE33" s="102" t="s">
        <v>398</v>
      </c>
      <c r="BF33" s="24"/>
    </row>
    <row r="34" spans="1:58">
      <c r="A34">
        <v>0</v>
      </c>
      <c r="B34">
        <v>0</v>
      </c>
      <c r="C34">
        <v>0</v>
      </c>
      <c r="D34">
        <f t="shared" ref="D34:D65" si="66">IFERROR(INDEX(grade_number, MATCH(K34, grade_letter, 0))*M34,0)</f>
        <v>0</v>
      </c>
      <c r="E34">
        <f t="shared" si="2"/>
        <v>0</v>
      </c>
      <c r="F34">
        <f t="shared" ref="F34:F65" si="67">IF(gpa_tf, D34*B34, D34*A34)</f>
        <v>0</v>
      </c>
      <c r="G34">
        <f t="shared" si="3"/>
        <v>0</v>
      </c>
      <c r="H34">
        <f t="shared" si="4"/>
        <v>0</v>
      </c>
      <c r="I34">
        <f t="shared" ref="I34:I65" si="68">IF(gpa_tf, G34*B34, G34*A34)</f>
        <v>0</v>
      </c>
      <c r="J34" s="46">
        <v>4</v>
      </c>
      <c r="K34" s="41"/>
      <c r="L34" s="41"/>
      <c r="M34" s="24" t="str">
        <v/>
      </c>
      <c r="N34" s="24" t="str">
        <v/>
      </c>
      <c r="O34" s="41"/>
      <c r="P34" s="48"/>
      <c r="R34" s="14" t="s">
        <v>270</v>
      </c>
      <c r="S34" s="24" cm="1">
        <f t="array" ref="S34">IFERROR(INDEX(schedule_semester, MAX(MATCH(T34, schedule_courses, 0),MATCH(U34, schedule_courses, 0))), "Take more courses")</f>
        <v>8</v>
      </c>
      <c r="T34" s="24" t="s">
        <v>390</v>
      </c>
      <c r="U34" s="24" t="s">
        <v>210</v>
      </c>
      <c r="V34" s="165"/>
      <c r="AB34" s="14"/>
      <c r="AC34" s="7" t="s">
        <v>152</v>
      </c>
      <c r="AD34" s="7" t="b">
        <f t="shared" si="64"/>
        <v>1</v>
      </c>
      <c r="AE34" s="7">
        <f t="shared" si="34"/>
        <v>1</v>
      </c>
      <c r="AF34" s="7" t="str">
        <f t="shared" si="65"/>
        <v/>
      </c>
      <c r="AG34" s="7" t="b">
        <f t="shared" si="28"/>
        <v>1</v>
      </c>
      <c r="AH34" s="9"/>
      <c r="AI34" s="7" t="b">
        <f t="shared" si="29"/>
        <v>1</v>
      </c>
      <c r="AJ34" s="7">
        <f t="shared" si="30"/>
        <v>1</v>
      </c>
      <c r="AK34" s="7"/>
      <c r="AL34" s="7" t="str">
        <f t="shared" si="31"/>
        <v/>
      </c>
      <c r="AM34" s="7"/>
      <c r="AN34" s="7" t="str">
        <f t="shared" si="35"/>
        <v/>
      </c>
      <c r="AO34" s="7">
        <v>3</v>
      </c>
      <c r="AP34" s="7"/>
      <c r="AQ34" s="7" t="str">
        <f t="shared" si="10"/>
        <v/>
      </c>
      <c r="AR34" s="7" t="str">
        <f t="shared" si="11"/>
        <v/>
      </c>
      <c r="AS34" s="7" t="str">
        <f t="shared" si="32"/>
        <v/>
      </c>
      <c r="AT34" s="7"/>
      <c r="AU34" s="7" t="str">
        <f t="shared" si="12"/>
        <v/>
      </c>
      <c r="AV34" s="7" t="str">
        <f t="shared" si="13"/>
        <v/>
      </c>
      <c r="AW34" s="7" t="str">
        <f t="shared" si="33"/>
        <v/>
      </c>
      <c r="AX34" s="44"/>
      <c r="AY34" s="7" t="s">
        <v>213</v>
      </c>
      <c r="AZ34" s="15" t="s">
        <v>259</v>
      </c>
      <c r="BD34" s="85" t="s">
        <v>255</v>
      </c>
      <c r="BE34" s="103" t="s">
        <v>399</v>
      </c>
      <c r="BF34" s="24"/>
    </row>
    <row r="35" spans="1:58">
      <c r="A35">
        <v>0</v>
      </c>
      <c r="B35">
        <v>0</v>
      </c>
      <c r="C35">
        <v>0</v>
      </c>
      <c r="D35">
        <f t="shared" si="66"/>
        <v>0</v>
      </c>
      <c r="E35">
        <f t="shared" si="2"/>
        <v>0</v>
      </c>
      <c r="F35">
        <f t="shared" si="67"/>
        <v>0</v>
      </c>
      <c r="G35">
        <f t="shared" si="3"/>
        <v>0</v>
      </c>
      <c r="H35">
        <f t="shared" si="4"/>
        <v>0</v>
      </c>
      <c r="I35">
        <f t="shared" si="68"/>
        <v>0</v>
      </c>
      <c r="J35" s="46">
        <v>4</v>
      </c>
      <c r="K35" s="41"/>
      <c r="L35" s="41"/>
      <c r="M35" s="24" t="str">
        <v/>
      </c>
      <c r="N35" s="24" t="str">
        <v/>
      </c>
      <c r="O35" s="41"/>
      <c r="P35" s="48"/>
      <c r="R35" s="13" t="s">
        <v>274</v>
      </c>
      <c r="S35" s="10" cm="1">
        <f t="array" ref="S35">IFERROR(INDEX(schedule_semester, MAX(MATCH(T35, schedule_courses, 0))), "Take more courses")</f>
        <v>8</v>
      </c>
      <c r="T35" s="10" t="s">
        <v>275</v>
      </c>
      <c r="U35" s="10"/>
      <c r="V35" s="26"/>
      <c r="AB35" s="14"/>
      <c r="AC35" s="7" t="s">
        <v>245</v>
      </c>
      <c r="AD35" s="7" t="b">
        <f t="shared" si="64"/>
        <v>1</v>
      </c>
      <c r="AE35" s="7">
        <f t="shared" si="34"/>
        <v>3</v>
      </c>
      <c r="AF35" s="7" t="str">
        <f t="shared" si="65"/>
        <v/>
      </c>
      <c r="AG35" s="7" t="b">
        <f t="shared" si="28"/>
        <v>1</v>
      </c>
      <c r="AH35" s="9"/>
      <c r="AI35" s="7" t="b">
        <f t="shared" si="29"/>
        <v>1</v>
      </c>
      <c r="AJ35" s="7">
        <f t="shared" si="30"/>
        <v>1</v>
      </c>
      <c r="AK35" s="7"/>
      <c r="AL35" s="7" t="str">
        <f t="shared" si="31"/>
        <v/>
      </c>
      <c r="AM35" s="7"/>
      <c r="AN35" s="7" t="str">
        <f t="shared" si="35"/>
        <v/>
      </c>
      <c r="AO35" s="7">
        <v>3</v>
      </c>
      <c r="AP35" s="7"/>
      <c r="AQ35" s="7" t="str">
        <f t="shared" si="10"/>
        <v/>
      </c>
      <c r="AR35" s="7" t="str">
        <f t="shared" si="11"/>
        <v/>
      </c>
      <c r="AS35" s="7" t="str">
        <f t="shared" si="32"/>
        <v/>
      </c>
      <c r="AT35" s="7"/>
      <c r="AU35" s="7" t="str">
        <f t="shared" si="12"/>
        <v/>
      </c>
      <c r="AV35" s="7" t="str">
        <f t="shared" si="13"/>
        <v/>
      </c>
      <c r="AW35" s="7" t="str">
        <f t="shared" si="33"/>
        <v/>
      </c>
      <c r="AX35" s="44"/>
      <c r="AY35" s="7" t="s">
        <v>213</v>
      </c>
      <c r="AZ35" s="15" t="s">
        <v>259</v>
      </c>
      <c r="BD35" s="86" t="s">
        <v>260</v>
      </c>
      <c r="BE35" s="131" t="s">
        <v>400</v>
      </c>
      <c r="BF35" s="24"/>
    </row>
    <row r="36" spans="1:58">
      <c r="A36">
        <v>0</v>
      </c>
      <c r="B36">
        <v>0</v>
      </c>
      <c r="C36">
        <v>0</v>
      </c>
      <c r="D36">
        <f t="shared" si="66"/>
        <v>0</v>
      </c>
      <c r="E36">
        <f t="shared" si="2"/>
        <v>0</v>
      </c>
      <c r="F36">
        <f t="shared" si="67"/>
        <v>0</v>
      </c>
      <c r="G36">
        <f t="shared" si="3"/>
        <v>0</v>
      </c>
      <c r="H36">
        <f t="shared" si="4"/>
        <v>0</v>
      </c>
      <c r="I36">
        <f t="shared" si="68"/>
        <v>0</v>
      </c>
      <c r="J36" s="46">
        <v>4</v>
      </c>
      <c r="K36" s="41"/>
      <c r="L36" s="41"/>
      <c r="M36" s="24" t="str">
        <v/>
      </c>
      <c r="N36" s="24" t="str">
        <v/>
      </c>
      <c r="O36" s="41"/>
      <c r="P36" s="48"/>
      <c r="AB36" s="28"/>
      <c r="AC36" s="7" t="s">
        <v>175</v>
      </c>
      <c r="AD36" s="7" t="b">
        <f t="shared" si="64"/>
        <v>1</v>
      </c>
      <c r="AE36" s="7">
        <f t="shared" si="34"/>
        <v>3</v>
      </c>
      <c r="AF36" s="7" t="str">
        <f t="shared" si="65"/>
        <v/>
      </c>
      <c r="AG36" s="7" t="b">
        <f t="shared" si="28"/>
        <v>1</v>
      </c>
      <c r="AH36" s="9"/>
      <c r="AI36" s="7" t="b">
        <f t="shared" si="29"/>
        <v>1</v>
      </c>
      <c r="AJ36" s="7">
        <f t="shared" si="30"/>
        <v>1</v>
      </c>
      <c r="AK36" s="7"/>
      <c r="AL36" s="7" t="str">
        <f t="shared" si="31"/>
        <v/>
      </c>
      <c r="AM36" s="7"/>
      <c r="AN36" s="7" t="str">
        <f t="shared" si="35"/>
        <v/>
      </c>
      <c r="AO36" s="7">
        <v>3</v>
      </c>
      <c r="AP36" s="7"/>
      <c r="AQ36" s="7" t="str">
        <f t="shared" si="10"/>
        <v/>
      </c>
      <c r="AR36" s="7" t="str">
        <f t="shared" si="11"/>
        <v/>
      </c>
      <c r="AS36" s="7" t="str">
        <f t="shared" si="32"/>
        <v/>
      </c>
      <c r="AT36" s="7"/>
      <c r="AU36" s="7" t="str">
        <f t="shared" si="12"/>
        <v/>
      </c>
      <c r="AV36" s="7" t="str">
        <f t="shared" si="13"/>
        <v/>
      </c>
      <c r="AW36" s="7" t="str">
        <f t="shared" si="33"/>
        <v/>
      </c>
      <c r="AX36" s="44"/>
      <c r="AY36" s="7"/>
      <c r="AZ36" s="15" t="s">
        <v>259</v>
      </c>
      <c r="BD36" s="83"/>
      <c r="BE36" s="83"/>
    </row>
    <row r="37" spans="1:58">
      <c r="A37">
        <v>0</v>
      </c>
      <c r="B37">
        <v>0</v>
      </c>
      <c r="C37">
        <v>0</v>
      </c>
      <c r="D37">
        <f t="shared" si="66"/>
        <v>0</v>
      </c>
      <c r="E37">
        <f t="shared" si="2"/>
        <v>0</v>
      </c>
      <c r="F37">
        <f t="shared" si="67"/>
        <v>0</v>
      </c>
      <c r="G37">
        <f t="shared" si="3"/>
        <v>0</v>
      </c>
      <c r="H37">
        <f t="shared" si="4"/>
        <v>0</v>
      </c>
      <c r="I37">
        <f t="shared" si="68"/>
        <v>0</v>
      </c>
      <c r="J37" s="47">
        <v>4</v>
      </c>
      <c r="K37" s="43"/>
      <c r="L37" s="43"/>
      <c r="M37" s="10" t="str">
        <v/>
      </c>
      <c r="N37" s="10" t="str">
        <v/>
      </c>
      <c r="O37" s="43"/>
      <c r="P37" s="49"/>
      <c r="AB37" s="14"/>
      <c r="AC37" s="25" t="s">
        <v>186</v>
      </c>
      <c r="AD37" s="25" t="b">
        <f t="shared" si="64"/>
        <v>1</v>
      </c>
      <c r="AE37" s="7">
        <f t="shared" si="34"/>
        <v>2</v>
      </c>
      <c r="AF37" s="7" t="str">
        <f t="shared" si="65"/>
        <v/>
      </c>
      <c r="AG37" s="7" t="b">
        <f t="shared" si="28"/>
        <v>1</v>
      </c>
      <c r="AH37" s="25"/>
      <c r="AI37" s="7" t="b">
        <f t="shared" si="29"/>
        <v>1</v>
      </c>
      <c r="AJ37" s="7">
        <f t="shared" si="30"/>
        <v>2</v>
      </c>
      <c r="AK37" s="7"/>
      <c r="AL37" s="7" t="str">
        <f t="shared" si="31"/>
        <v/>
      </c>
      <c r="AM37" s="7"/>
      <c r="AN37" s="7" t="str">
        <f t="shared" si="35"/>
        <v/>
      </c>
      <c r="AO37" s="7">
        <v>1.5</v>
      </c>
      <c r="AP37" s="7"/>
      <c r="AQ37" s="7" t="str">
        <f t="shared" si="10"/>
        <v/>
      </c>
      <c r="AR37" s="7" t="str">
        <f t="shared" si="11"/>
        <v/>
      </c>
      <c r="AS37" s="7" t="str">
        <f t="shared" si="32"/>
        <v/>
      </c>
      <c r="AT37" s="7" t="s">
        <v>383</v>
      </c>
      <c r="AU37" s="7" t="b">
        <f t="shared" si="12"/>
        <v>1</v>
      </c>
      <c r="AV37" s="7">
        <f t="shared" si="13"/>
        <v>2</v>
      </c>
      <c r="AW37" s="7" t="b">
        <f t="shared" si="33"/>
        <v>1</v>
      </c>
      <c r="AX37" s="44"/>
      <c r="AY37" s="7"/>
      <c r="AZ37" s="15" t="s">
        <v>263</v>
      </c>
      <c r="BD37" s="240" t="s">
        <v>267</v>
      </c>
      <c r="BE37" s="245" t="s">
        <v>268</v>
      </c>
      <c r="BF37" s="12" t="s">
        <v>269</v>
      </c>
    </row>
    <row r="38" spans="1:58" ht="93.6">
      <c r="A38">
        <v>0</v>
      </c>
      <c r="B38">
        <v>0</v>
      </c>
      <c r="C38">
        <v>0</v>
      </c>
      <c r="D38">
        <f t="shared" si="66"/>
        <v>0</v>
      </c>
      <c r="E38">
        <f t="shared" si="2"/>
        <v>0</v>
      </c>
      <c r="F38">
        <f t="shared" si="67"/>
        <v>0</v>
      </c>
      <c r="G38">
        <f t="shared" si="3"/>
        <v>3</v>
      </c>
      <c r="H38">
        <f t="shared" si="4"/>
        <v>0</v>
      </c>
      <c r="I38">
        <f t="shared" si="68"/>
        <v>0</v>
      </c>
      <c r="J38" s="53">
        <v>5</v>
      </c>
      <c r="K38" s="51"/>
      <c r="L38" s="51" t="s">
        <v>391</v>
      </c>
      <c r="M38" s="55">
        <v>3</v>
      </c>
      <c r="N38" s="55" t="str">
        <v/>
      </c>
      <c r="O38" s="51"/>
      <c r="P38" s="52"/>
      <c r="R38" s="320" t="s">
        <v>65</v>
      </c>
      <c r="S38" s="321"/>
      <c r="AB38" s="14"/>
      <c r="AC38" s="8" t="s">
        <v>186</v>
      </c>
      <c r="AD38" s="8" t="b">
        <f t="shared" si="64"/>
        <v>1</v>
      </c>
      <c r="AE38" s="7">
        <f t="shared" si="34"/>
        <v>2</v>
      </c>
      <c r="AF38" s="7" t="str">
        <f t="shared" si="65"/>
        <v/>
      </c>
      <c r="AG38" s="7" t="b">
        <f t="shared" si="28"/>
        <v>1</v>
      </c>
      <c r="AH38" s="9"/>
      <c r="AI38" s="7" t="b">
        <f t="shared" si="29"/>
        <v>1</v>
      </c>
      <c r="AJ38" s="7">
        <f t="shared" si="30"/>
        <v>2</v>
      </c>
      <c r="AK38" s="7"/>
      <c r="AL38" s="7" t="str">
        <f t="shared" si="31"/>
        <v/>
      </c>
      <c r="AM38" s="7"/>
      <c r="AN38" s="7" t="str">
        <f t="shared" si="35"/>
        <v/>
      </c>
      <c r="AO38" s="8">
        <v>1.5</v>
      </c>
      <c r="AP38" s="7"/>
      <c r="AQ38" s="7" t="str">
        <f t="shared" si="10"/>
        <v/>
      </c>
      <c r="AR38" s="7" t="str">
        <f t="shared" si="11"/>
        <v/>
      </c>
      <c r="AS38" s="7" t="str">
        <f t="shared" si="32"/>
        <v/>
      </c>
      <c r="AT38" s="7" t="s">
        <v>165</v>
      </c>
      <c r="AU38" s="7" t="b">
        <f t="shared" si="12"/>
        <v>1</v>
      </c>
      <c r="AV38" s="7">
        <f t="shared" si="13"/>
        <v>2</v>
      </c>
      <c r="AW38" s="7" t="b">
        <f t="shared" si="33"/>
        <v>1</v>
      </c>
      <c r="AX38" s="44"/>
      <c r="AY38" s="7"/>
      <c r="AZ38" s="15" t="s">
        <v>263</v>
      </c>
      <c r="BD38" s="241" t="s">
        <v>271</v>
      </c>
      <c r="BE38" s="243" t="s">
        <v>272</v>
      </c>
      <c r="BF38" s="249" t="s">
        <v>273</v>
      </c>
    </row>
    <row r="39" spans="1:58">
      <c r="A39">
        <v>0</v>
      </c>
      <c r="B39">
        <v>0</v>
      </c>
      <c r="C39">
        <v>0</v>
      </c>
      <c r="D39">
        <f t="shared" si="66"/>
        <v>0</v>
      </c>
      <c r="E39">
        <f t="shared" si="2"/>
        <v>0</v>
      </c>
      <c r="F39">
        <f t="shared" si="67"/>
        <v>0</v>
      </c>
      <c r="G39">
        <f t="shared" si="3"/>
        <v>3</v>
      </c>
      <c r="H39">
        <f t="shared" si="4"/>
        <v>0</v>
      </c>
      <c r="I39">
        <f t="shared" si="68"/>
        <v>0</v>
      </c>
      <c r="J39" s="45">
        <v>5</v>
      </c>
      <c r="K39" s="41"/>
      <c r="L39" s="41" t="s">
        <v>351</v>
      </c>
      <c r="M39" s="24">
        <v>3</v>
      </c>
      <c r="N39" s="24" t="str">
        <v/>
      </c>
      <c r="O39" s="41"/>
      <c r="P39" s="48"/>
      <c r="R39" s="28" t="s">
        <v>287</v>
      </c>
      <c r="S39" s="48">
        <v>1</v>
      </c>
      <c r="AB39" s="14"/>
      <c r="AC39" s="7" t="s">
        <v>203</v>
      </c>
      <c r="AD39" s="7" t="b">
        <f t="shared" si="64"/>
        <v>1</v>
      </c>
      <c r="AE39" s="7">
        <f t="shared" si="34"/>
        <v>4</v>
      </c>
      <c r="AF39" s="7" t="str">
        <f t="shared" si="65"/>
        <v/>
      </c>
      <c r="AG39" s="7" t="b">
        <f t="shared" si="28"/>
        <v>1</v>
      </c>
      <c r="AH39" s="9">
        <f>MAX(4, R3)</f>
        <v>4</v>
      </c>
      <c r="AI39" s="7" t="b">
        <f t="shared" si="29"/>
        <v>1</v>
      </c>
      <c r="AJ39" s="7">
        <f t="shared" si="30"/>
        <v>2</v>
      </c>
      <c r="AK39" s="7"/>
      <c r="AL39" s="7" t="str">
        <f t="shared" si="31"/>
        <v/>
      </c>
      <c r="AM39" s="7"/>
      <c r="AN39" s="7" t="str">
        <f t="shared" si="35"/>
        <v/>
      </c>
      <c r="AO39" s="7">
        <v>3</v>
      </c>
      <c r="AP39" s="7" t="s">
        <v>191</v>
      </c>
      <c r="AQ39" s="7" t="b">
        <f t="shared" si="10"/>
        <v>1</v>
      </c>
      <c r="AR39" s="7">
        <f t="shared" si="11"/>
        <v>3</v>
      </c>
      <c r="AS39" s="7" t="b">
        <f t="shared" si="32"/>
        <v>1</v>
      </c>
      <c r="AT39" s="7"/>
      <c r="AU39" s="7" t="str">
        <f t="shared" si="12"/>
        <v/>
      </c>
      <c r="AV39" s="7" t="str">
        <f t="shared" si="13"/>
        <v/>
      </c>
      <c r="AW39" s="7" t="str">
        <f t="shared" si="33"/>
        <v/>
      </c>
      <c r="AX39" s="44"/>
      <c r="AY39" s="7"/>
      <c r="AZ39" s="15" t="s">
        <v>263</v>
      </c>
      <c r="BD39" s="116" t="s">
        <v>277</v>
      </c>
      <c r="BE39" s="244" t="s">
        <v>278</v>
      </c>
      <c r="BF39" s="249"/>
    </row>
    <row r="40" spans="1:58">
      <c r="A40">
        <v>0</v>
      </c>
      <c r="B40">
        <v>0</v>
      </c>
      <c r="C40">
        <v>0</v>
      </c>
      <c r="D40">
        <f t="shared" si="66"/>
        <v>0</v>
      </c>
      <c r="E40">
        <f t="shared" si="2"/>
        <v>0</v>
      </c>
      <c r="F40">
        <f t="shared" si="67"/>
        <v>0</v>
      </c>
      <c r="G40">
        <f t="shared" si="3"/>
        <v>3</v>
      </c>
      <c r="H40">
        <f t="shared" si="4"/>
        <v>0</v>
      </c>
      <c r="I40">
        <f t="shared" si="68"/>
        <v>0</v>
      </c>
      <c r="J40" s="45">
        <v>5</v>
      </c>
      <c r="K40" s="41"/>
      <c r="L40" s="41" t="s">
        <v>258</v>
      </c>
      <c r="M40" s="24">
        <v>3</v>
      </c>
      <c r="N40" s="24" t="str">
        <v/>
      </c>
      <c r="O40" s="41"/>
      <c r="P40" s="48"/>
      <c r="R40" s="28" t="s">
        <v>291</v>
      </c>
      <c r="S40" s="48" t="b">
        <v>1</v>
      </c>
      <c r="AB40" s="14"/>
      <c r="AC40" s="7" t="s">
        <v>210</v>
      </c>
      <c r="AD40" s="7" t="b">
        <f t="shared" si="64"/>
        <v>1</v>
      </c>
      <c r="AE40" s="7">
        <f t="shared" ref="AE40:AE61" si="69">IF(AX40,0,IFERROR(INDEX(schedule_semester,MATCH(AC40,schedule_courses,0)), ""))</f>
        <v>8</v>
      </c>
      <c r="AF40" s="7" t="str">
        <f t="shared" si="65"/>
        <v/>
      </c>
      <c r="AG40" s="7" t="b">
        <f t="shared" si="28"/>
        <v>1</v>
      </c>
      <c r="AH40" s="9">
        <f>MAX(5, R3)</f>
        <v>5</v>
      </c>
      <c r="AI40" s="7" t="b">
        <f t="shared" si="29"/>
        <v>1</v>
      </c>
      <c r="AJ40" s="7">
        <f t="shared" si="30"/>
        <v>2</v>
      </c>
      <c r="AK40" s="7"/>
      <c r="AL40" s="7" t="str">
        <f t="shared" si="31"/>
        <v/>
      </c>
      <c r="AM40" s="7"/>
      <c r="AN40" s="7" t="str">
        <f t="shared" ref="AN40:AN61" si="70">IFERROR(IF(AM40, INDEX(grade_number, MATCH(INDEX(schedule_grades, MATCH(AC40, schedule_courses, 0)), grade_letter, 0))&gt;=2, ""), "")</f>
        <v/>
      </c>
      <c r="AO40" s="7">
        <v>3</v>
      </c>
      <c r="AP40" s="7" t="s">
        <v>198</v>
      </c>
      <c r="AQ40" s="7" t="b">
        <f t="shared" si="10"/>
        <v>1</v>
      </c>
      <c r="AR40" s="7">
        <f t="shared" si="11"/>
        <v>7</v>
      </c>
      <c r="AS40" s="7" t="b">
        <f t="shared" si="32"/>
        <v>1</v>
      </c>
      <c r="AT40" s="7"/>
      <c r="AU40" s="7" t="str">
        <f t="shared" si="12"/>
        <v/>
      </c>
      <c r="AV40" s="7" t="str">
        <f t="shared" si="13"/>
        <v/>
      </c>
      <c r="AW40" s="7" t="str">
        <f t="shared" si="33"/>
        <v/>
      </c>
      <c r="AX40" s="44"/>
      <c r="AY40" s="7"/>
      <c r="AZ40" s="15" t="s">
        <v>263</v>
      </c>
      <c r="BD40" s="116" t="s">
        <v>280</v>
      </c>
      <c r="BE40" s="244" t="s">
        <v>281</v>
      </c>
      <c r="BF40" s="249"/>
    </row>
    <row r="41" spans="1:58">
      <c r="A41">
        <v>0</v>
      </c>
      <c r="B41">
        <v>0</v>
      </c>
      <c r="C41">
        <v>0</v>
      </c>
      <c r="D41">
        <f t="shared" si="66"/>
        <v>0</v>
      </c>
      <c r="E41">
        <f t="shared" si="2"/>
        <v>0</v>
      </c>
      <c r="F41">
        <f t="shared" si="67"/>
        <v>0</v>
      </c>
      <c r="G41">
        <f t="shared" si="3"/>
        <v>3</v>
      </c>
      <c r="H41">
        <f t="shared" si="4"/>
        <v>0</v>
      </c>
      <c r="I41">
        <f t="shared" si="68"/>
        <v>0</v>
      </c>
      <c r="J41" s="45">
        <v>5</v>
      </c>
      <c r="K41" s="41"/>
      <c r="L41" s="41" t="s">
        <v>394</v>
      </c>
      <c r="M41" s="24">
        <v>3</v>
      </c>
      <c r="N41" s="24" t="str">
        <v/>
      </c>
      <c r="O41" s="41"/>
      <c r="P41" s="48"/>
      <c r="R41" s="76" t="s">
        <v>183</v>
      </c>
      <c r="S41" s="168">
        <f>SUM(F2:F82)/SUM(I2:I82)</f>
        <v>0</v>
      </c>
      <c r="AB41" s="14"/>
      <c r="AC41" s="7" t="s">
        <v>351</v>
      </c>
      <c r="AD41" s="7" t="b">
        <f t="shared" si="64"/>
        <v>1</v>
      </c>
      <c r="AE41" s="7">
        <f t="shared" si="69"/>
        <v>5</v>
      </c>
      <c r="AF41" s="7" t="str">
        <f t="shared" si="65"/>
        <v/>
      </c>
      <c r="AG41" s="7" t="b">
        <f t="shared" si="28"/>
        <v>1</v>
      </c>
      <c r="AH41" s="9"/>
      <c r="AI41" s="7" t="b">
        <f t="shared" si="29"/>
        <v>1</v>
      </c>
      <c r="AJ41" s="7">
        <f t="shared" si="30"/>
        <v>1</v>
      </c>
      <c r="AK41" s="7"/>
      <c r="AL41" s="7" t="str">
        <f t="shared" si="31"/>
        <v/>
      </c>
      <c r="AM41" s="7"/>
      <c r="AN41" s="7" t="str">
        <f t="shared" si="70"/>
        <v/>
      </c>
      <c r="AO41" s="7">
        <v>3</v>
      </c>
      <c r="AP41" s="7"/>
      <c r="AQ41" s="7" t="str">
        <f t="shared" ref="AQ41:AQ61" si="71">IF(AP41=0,"",NOT(ISERROR(MATCH(AP41,schedule_courses,0))))</f>
        <v/>
      </c>
      <c r="AR41" s="7" t="str">
        <f t="shared" ref="AR41:AR61" si="72">IF(IFERROR(INDEX(req_tr_AP_credit, MATCH(AP41, req_course,0)), FALSE),0,IFERROR(INDEX(schedule_semester,MATCH(AP41,schedule_courses,0)), ""))</f>
        <v/>
      </c>
      <c r="AS41" s="7" t="str">
        <f t="shared" ref="AS41:AS61" si="73">IF(AR41&lt;&gt;"", AR41&lt;AE41, "")</f>
        <v/>
      </c>
      <c r="AT41" s="7"/>
      <c r="AU41" s="7" t="str">
        <f t="shared" ref="AU41:AU61" si="74">IF(AT41=0,"",NOT(ISERROR(MATCH(AT41,schedule_courses,0))))</f>
        <v/>
      </c>
      <c r="AV41" s="7" t="str">
        <f t="shared" ref="AV41:AV61" si="75">IF(IFERROR(INDEX(req_tr_AP_credit, MATCH(AT41, req_course)), FALSE),0,IFERROR(INDEX(schedule_semester,MATCH(AT41,schedule_courses,0)), ""))</f>
        <v/>
      </c>
      <c r="AW41" s="7" t="str">
        <f t="shared" ref="AW41:AW61" si="76">IF(AV41&lt;&gt;"", AV41&lt;=AE41, "")</f>
        <v/>
      </c>
      <c r="AX41" s="44"/>
      <c r="AY41" s="7"/>
      <c r="AZ41" s="15" t="s">
        <v>263</v>
      </c>
      <c r="BD41" s="116" t="s">
        <v>282</v>
      </c>
      <c r="BE41" s="244" t="s">
        <v>283</v>
      </c>
      <c r="BF41" s="249"/>
    </row>
    <row r="42" spans="1:58" ht="31.2">
      <c r="A42">
        <v>0</v>
      </c>
      <c r="B42">
        <v>0</v>
      </c>
      <c r="C42">
        <v>0</v>
      </c>
      <c r="D42">
        <f t="shared" si="66"/>
        <v>0</v>
      </c>
      <c r="E42">
        <f t="shared" si="2"/>
        <v>0</v>
      </c>
      <c r="F42">
        <f t="shared" si="67"/>
        <v>0</v>
      </c>
      <c r="G42">
        <f t="shared" si="3"/>
        <v>3</v>
      </c>
      <c r="H42">
        <f t="shared" si="4"/>
        <v>0</v>
      </c>
      <c r="I42">
        <f t="shared" si="68"/>
        <v>0</v>
      </c>
      <c r="J42" s="45">
        <v>5</v>
      </c>
      <c r="K42" s="41"/>
      <c r="L42" s="41" t="s">
        <v>139</v>
      </c>
      <c r="M42" s="24">
        <v>3</v>
      </c>
      <c r="N42" s="24" t="str">
        <v>GWS</v>
      </c>
      <c r="O42" s="41"/>
      <c r="P42" s="48"/>
      <c r="AB42" s="28"/>
      <c r="AC42" s="7" t="s">
        <v>275</v>
      </c>
      <c r="AD42" s="7" t="b">
        <f t="shared" si="64"/>
        <v>1</v>
      </c>
      <c r="AE42" s="7">
        <f t="shared" si="69"/>
        <v>8</v>
      </c>
      <c r="AF42" s="7" t="str">
        <f t="shared" si="65"/>
        <v/>
      </c>
      <c r="AG42" s="7" t="b">
        <f t="shared" si="28"/>
        <v>1</v>
      </c>
      <c r="AH42" s="9"/>
      <c r="AI42" s="7" t="b">
        <f t="shared" si="29"/>
        <v>1</v>
      </c>
      <c r="AJ42" s="7">
        <f t="shared" si="30"/>
        <v>2</v>
      </c>
      <c r="AK42" s="7"/>
      <c r="AL42" s="7" t="str">
        <f t="shared" si="31"/>
        <v/>
      </c>
      <c r="AM42" s="7"/>
      <c r="AN42" s="7" t="str">
        <f t="shared" si="70"/>
        <v/>
      </c>
      <c r="AO42" s="7">
        <v>3</v>
      </c>
      <c r="AP42" s="7"/>
      <c r="AQ42" s="7" t="str">
        <f t="shared" si="71"/>
        <v/>
      </c>
      <c r="AR42" s="7" t="str">
        <f t="shared" si="72"/>
        <v/>
      </c>
      <c r="AS42" s="7" t="str">
        <f t="shared" si="73"/>
        <v/>
      </c>
      <c r="AT42" s="7"/>
      <c r="AU42" s="7" t="str">
        <f t="shared" si="74"/>
        <v/>
      </c>
      <c r="AV42" s="7" t="str">
        <f t="shared" si="75"/>
        <v/>
      </c>
      <c r="AW42" s="7" t="str">
        <f t="shared" si="76"/>
        <v/>
      </c>
      <c r="AX42" s="44"/>
      <c r="AY42" s="7"/>
      <c r="AZ42" s="15" t="s">
        <v>263</v>
      </c>
      <c r="BD42" s="116" t="s">
        <v>284</v>
      </c>
      <c r="BE42" s="244" t="s">
        <v>285</v>
      </c>
      <c r="BF42" s="249" t="s">
        <v>286</v>
      </c>
    </row>
    <row r="43" spans="1:58" ht="31.2">
      <c r="A43">
        <v>0</v>
      </c>
      <c r="B43">
        <v>0</v>
      </c>
      <c r="C43">
        <v>0</v>
      </c>
      <c r="D43">
        <f t="shared" si="66"/>
        <v>0</v>
      </c>
      <c r="E43">
        <f t="shared" si="2"/>
        <v>0</v>
      </c>
      <c r="F43">
        <f t="shared" si="67"/>
        <v>0</v>
      </c>
      <c r="G43">
        <f t="shared" si="3"/>
        <v>0</v>
      </c>
      <c r="H43">
        <f t="shared" si="4"/>
        <v>0</v>
      </c>
      <c r="I43">
        <f t="shared" si="68"/>
        <v>0</v>
      </c>
      <c r="J43" s="45">
        <v>5</v>
      </c>
      <c r="K43" s="41"/>
      <c r="L43" s="41"/>
      <c r="M43" s="24" t="str">
        <v/>
      </c>
      <c r="N43" s="24" t="str">
        <v/>
      </c>
      <c r="O43" s="41"/>
      <c r="P43" s="48"/>
      <c r="AB43" s="28"/>
      <c r="AC43" s="7" t="s">
        <v>276</v>
      </c>
      <c r="AD43" s="7" t="b">
        <f>NOT(ISERROR(MATCH(AC43,schedule_courses,0)))</f>
        <v>0</v>
      </c>
      <c r="AE43" s="7" t="str">
        <f>IF(AX43,0,IFERROR(INDEX(schedule_semester,MATCH(AC43,schedule_courses,0)), ""))</f>
        <v/>
      </c>
      <c r="AF43" s="7" t="str">
        <f>IF(ISNA(MATCH(AC43, $R$6:$R$7, 0)), "", $R$3)</f>
        <v/>
      </c>
      <c r="AG43" s="7" t="str">
        <f>IF(AE43="", "", AE43&lt;AF43)</f>
        <v/>
      </c>
      <c r="AH43" s="9"/>
      <c r="AI43" s="7" t="str">
        <f>IF(AE43="", "", AE43&gt;=AH43)</f>
        <v/>
      </c>
      <c r="AJ43" s="7" t="str">
        <f>IF(AE43="","",IF(MOD(AE43,2)=0,2,1))</f>
        <v/>
      </c>
      <c r="AK43" s="7"/>
      <c r="AL43" s="7" t="str">
        <f>IF(AK43&lt;&gt;0, AK43&lt;&gt;AJ43, "")</f>
        <v/>
      </c>
      <c r="AM43" s="7"/>
      <c r="AN43" s="7" t="str">
        <f>IFERROR(IF(AM43, INDEX(grade_number, MATCH(INDEX(schedule_grades, MATCH(AC43, schedule_courses, 0)), grade_letter, 0))&gt;=2, ""), "")</f>
        <v/>
      </c>
      <c r="AO43" s="7">
        <v>2</v>
      </c>
      <c r="AP43" s="7"/>
      <c r="AQ43" s="7" t="str">
        <f>IF(AP43=0,"",NOT(ISERROR(MATCH(AP43,schedule_courses,0))))</f>
        <v/>
      </c>
      <c r="AR43" s="7" t="str">
        <f>IF(IFERROR(INDEX(req_tr_AP_credit, MATCH(AP43, req_course,0)), FALSE),0,IFERROR(INDEX(schedule_semester,MATCH(AP43,schedule_courses,0)), ""))</f>
        <v/>
      </c>
      <c r="AS43" s="7" t="str">
        <f>IF(AR43&lt;&gt;"", AR43&lt;AE43, "")</f>
        <v/>
      </c>
      <c r="AT43" s="7"/>
      <c r="AU43" s="7" t="str">
        <f>IF(AT43=0,"",NOT(ISERROR(MATCH(AT43,schedule_courses,0))))</f>
        <v/>
      </c>
      <c r="AV43" s="7" t="str">
        <f>IF(IFERROR(INDEX(req_tr_AP_credit, MATCH(AT43, req_course)), FALSE),0,IFERROR(INDEX(schedule_semester,MATCH(AT43,schedule_courses,0)), ""))</f>
        <v/>
      </c>
      <c r="AW43" s="7" t="str">
        <f>IF(AV43&lt;&gt;"", AV43&lt;=AE43, "")</f>
        <v/>
      </c>
      <c r="AX43" s="44"/>
      <c r="AY43" s="7"/>
      <c r="AZ43" s="15" t="s">
        <v>263</v>
      </c>
      <c r="BD43" s="116" t="s">
        <v>288</v>
      </c>
      <c r="BE43" s="244" t="s">
        <v>289</v>
      </c>
      <c r="BF43" s="249" t="s">
        <v>290</v>
      </c>
    </row>
    <row r="44" spans="1:58" ht="31.2">
      <c r="A44">
        <v>0</v>
      </c>
      <c r="B44">
        <v>0</v>
      </c>
      <c r="C44">
        <v>0</v>
      </c>
      <c r="D44">
        <f t="shared" si="66"/>
        <v>0</v>
      </c>
      <c r="E44">
        <f t="shared" si="2"/>
        <v>0</v>
      </c>
      <c r="F44">
        <f t="shared" si="67"/>
        <v>0</v>
      </c>
      <c r="G44">
        <f t="shared" si="3"/>
        <v>0</v>
      </c>
      <c r="H44">
        <f t="shared" si="4"/>
        <v>0</v>
      </c>
      <c r="I44">
        <f t="shared" si="68"/>
        <v>0</v>
      </c>
      <c r="J44" s="45">
        <v>5</v>
      </c>
      <c r="K44" s="41"/>
      <c r="L44" s="41"/>
      <c r="M44" s="24" t="str">
        <v/>
      </c>
      <c r="N44" s="24" t="str">
        <v/>
      </c>
      <c r="O44" s="41"/>
      <c r="P44" s="48"/>
      <c r="AB44" s="28"/>
      <c r="AC44" s="7" t="s">
        <v>375</v>
      </c>
      <c r="AD44" s="7" t="b">
        <f>NOT(ISERROR(MATCH(AC44,schedule_courses,0)))</f>
        <v>0</v>
      </c>
      <c r="AE44" s="7" t="str">
        <f>IF(AX44,0,IFERROR(INDEX(schedule_semester,MATCH(AC44,schedule_courses,0)), ""))</f>
        <v/>
      </c>
      <c r="AF44" s="7" t="str">
        <f>IF(ISNA(MATCH(AC44, $R$6:$R$7, 0)), "", $R$3)</f>
        <v/>
      </c>
      <c r="AG44" s="7" t="str">
        <f>IF(AE44="", "", AE44&lt;AF44)</f>
        <v/>
      </c>
      <c r="AH44" s="9"/>
      <c r="AI44" s="7" t="str">
        <f>IF(AE44="", "", AE44&gt;=AH44)</f>
        <v/>
      </c>
      <c r="AJ44" s="7" t="str">
        <f>IF(AE44="","",IF(MOD(AE44,2)=0,2,1))</f>
        <v/>
      </c>
      <c r="AK44" s="7"/>
      <c r="AL44" s="7" t="str">
        <f>IF(AK44&lt;&gt;0, AK44&lt;&gt;AJ44, "")</f>
        <v/>
      </c>
      <c r="AM44" s="7"/>
      <c r="AN44" s="7" t="str">
        <f>IFERROR(IF(AM44, INDEX(grade_number, MATCH(INDEX(schedule_grades, MATCH(AC44, schedule_courses, 0)), grade_letter, 0))&gt;=2, ""), "")</f>
        <v/>
      </c>
      <c r="AO44" s="7">
        <v>3</v>
      </c>
      <c r="AP44" s="7" t="s">
        <v>354</v>
      </c>
      <c r="AQ44" s="7" t="b">
        <f>IF(AP44=0,"",NOT(ISERROR(MATCH(AP44,schedule_courses,0))))</f>
        <v>1</v>
      </c>
      <c r="AR44" s="7">
        <f>IF(IFERROR(INDEX(req_tr_AP_credit, MATCH(AP44, req_course,0)), FALSE),0,IFERROR(INDEX(schedule_semester,MATCH(AP44,schedule_courses,0)), ""))</f>
        <v>3</v>
      </c>
      <c r="AS44" s="7" t="b">
        <f>IF(AR44&lt;&gt;"", AR44&lt;AE44, "")</f>
        <v>1</v>
      </c>
      <c r="AT44" s="7"/>
      <c r="AU44" s="7" t="str">
        <f>IF(AT44=0,"",NOT(ISERROR(MATCH(AT44,schedule_courses,0))))</f>
        <v/>
      </c>
      <c r="AV44" s="7" t="str">
        <f>IF(IFERROR(INDEX(req_tr_AP_credit, MATCH(AT44, req_course)), FALSE),0,IFERROR(INDEX(schedule_semester,MATCH(AT44,schedule_courses,0)), ""))</f>
        <v/>
      </c>
      <c r="AW44" s="7" t="str">
        <f>IF(AV44&lt;&gt;"", AV44&lt;=AE44, "")</f>
        <v/>
      </c>
      <c r="AX44" s="44"/>
      <c r="AY44" s="7"/>
      <c r="AZ44" s="15" t="s">
        <v>263</v>
      </c>
      <c r="BD44" s="116" t="s">
        <v>292</v>
      </c>
      <c r="BE44" s="244" t="s">
        <v>293</v>
      </c>
      <c r="BF44" s="249" t="s">
        <v>294</v>
      </c>
    </row>
    <row r="45" spans="1:58">
      <c r="A45">
        <v>0</v>
      </c>
      <c r="B45">
        <v>0</v>
      </c>
      <c r="C45">
        <v>0</v>
      </c>
      <c r="D45">
        <f t="shared" si="66"/>
        <v>0</v>
      </c>
      <c r="E45">
        <f t="shared" si="2"/>
        <v>0</v>
      </c>
      <c r="F45">
        <f t="shared" si="67"/>
        <v>0</v>
      </c>
      <c r="G45">
        <f t="shared" si="3"/>
        <v>0</v>
      </c>
      <c r="H45">
        <f t="shared" si="4"/>
        <v>0</v>
      </c>
      <c r="I45">
        <f t="shared" si="68"/>
        <v>0</v>
      </c>
      <c r="J45" s="45">
        <v>5</v>
      </c>
      <c r="K45" s="41"/>
      <c r="L45" s="41"/>
      <c r="M45" s="24" t="str">
        <v/>
      </c>
      <c r="N45" s="24" t="str">
        <v/>
      </c>
      <c r="O45" s="41"/>
      <c r="P45" s="48"/>
      <c r="AB45" s="28"/>
      <c r="AC45" s="7" t="s">
        <v>376</v>
      </c>
      <c r="AD45" s="7" t="b">
        <f>NOT(ISERROR(MATCH(AC45,schedule_courses,0)))</f>
        <v>0</v>
      </c>
      <c r="AE45" s="7" t="str">
        <f>IF(AX45,0,IFERROR(INDEX(schedule_semester,MATCH(AC45,schedule_courses,0)), ""))</f>
        <v/>
      </c>
      <c r="AF45" s="7" t="str">
        <f>IF(ISNA(MATCH(AC45, $R$6:$R$7, 0)), "", $R$3)</f>
        <v/>
      </c>
      <c r="AG45" s="7" t="str">
        <f>IF(AE45="", "", AE45&lt;AF45)</f>
        <v/>
      </c>
      <c r="AH45" s="9"/>
      <c r="AI45" s="7" t="str">
        <f>IF(AE45="", "", AE45&gt;=AH45)</f>
        <v/>
      </c>
      <c r="AJ45" s="7" t="str">
        <f>IF(AE45="","",IF(MOD(AE45,2)=0,2,1))</f>
        <v/>
      </c>
      <c r="AK45" s="7"/>
      <c r="AL45" s="7" t="str">
        <f>IF(AK45&lt;&gt;0, AK45&lt;&gt;AJ45, "")</f>
        <v/>
      </c>
      <c r="AM45" s="7"/>
      <c r="AN45" s="7" t="str">
        <f>IFERROR(IF(AM45, INDEX(grade_number, MATCH(INDEX(schedule_grades, MATCH(AC45, schedule_courses, 0)), grade_letter, 0))&gt;=2, ""), "")</f>
        <v/>
      </c>
      <c r="AO45" s="7">
        <v>3</v>
      </c>
      <c r="AP45" s="7" t="s">
        <v>375</v>
      </c>
      <c r="AQ45" s="7" t="b">
        <f>IF(AP45=0,"",NOT(ISERROR(MATCH(AP45,schedule_courses,0))))</f>
        <v>0</v>
      </c>
      <c r="AR45" s="7" t="str">
        <f>IF(IFERROR(INDEX(req_tr_AP_credit, MATCH(AP45, req_course,0)), FALSE),0,IFERROR(INDEX(schedule_semester,MATCH(AP45,schedule_courses,0)), ""))</f>
        <v/>
      </c>
      <c r="AS45" s="7" t="str">
        <f>IF(AR45&lt;&gt;"", AR45&lt;AE45, "")</f>
        <v/>
      </c>
      <c r="AT45" s="7"/>
      <c r="AU45" s="7" t="str">
        <f>IF(AT45=0,"",NOT(ISERROR(MATCH(AT45,schedule_courses,0))))</f>
        <v/>
      </c>
      <c r="AV45" s="7" t="str">
        <f>IF(IFERROR(INDEX(req_tr_AP_credit, MATCH(AT45, req_course)), FALSE),0,IFERROR(INDEX(schedule_semester,MATCH(AT45,schedule_courses,0)), ""))</f>
        <v/>
      </c>
      <c r="AW45" s="7" t="str">
        <f>IF(AV45&lt;&gt;"", AV45&lt;=AE45, "")</f>
        <v/>
      </c>
      <c r="AX45" s="44"/>
      <c r="AY45" s="7"/>
      <c r="AZ45" s="15" t="s">
        <v>263</v>
      </c>
      <c r="BD45" s="116" t="s">
        <v>296</v>
      </c>
      <c r="BE45" s="244" t="s">
        <v>281</v>
      </c>
      <c r="BF45" s="249"/>
    </row>
    <row r="46" spans="1:58" ht="31.2">
      <c r="A46">
        <v>0</v>
      </c>
      <c r="B46">
        <v>0</v>
      </c>
      <c r="C46">
        <v>0</v>
      </c>
      <c r="D46">
        <f t="shared" si="66"/>
        <v>0</v>
      </c>
      <c r="E46">
        <f t="shared" si="2"/>
        <v>0</v>
      </c>
      <c r="F46">
        <f t="shared" si="67"/>
        <v>0</v>
      </c>
      <c r="G46">
        <f t="shared" si="3"/>
        <v>0</v>
      </c>
      <c r="H46">
        <f t="shared" si="4"/>
        <v>0</v>
      </c>
      <c r="I46">
        <f t="shared" si="68"/>
        <v>0</v>
      </c>
      <c r="J46" s="54">
        <v>5</v>
      </c>
      <c r="K46" s="43"/>
      <c r="L46" s="43"/>
      <c r="M46" s="10" t="str">
        <v/>
      </c>
      <c r="N46" s="10" t="str">
        <v/>
      </c>
      <c r="O46" s="43"/>
      <c r="P46" s="49"/>
      <c r="AB46" s="28"/>
      <c r="AC46" s="258" t="s">
        <v>376</v>
      </c>
      <c r="AD46" s="8" t="b">
        <f>NOT(ISERROR(MATCH(AC46,schedule_courses,0)))</f>
        <v>0</v>
      </c>
      <c r="AE46" s="8" t="str">
        <f>IF(AX46,0,IFERROR(INDEX(schedule_semester,MATCH(AC46,schedule_courses,0)), ""))</f>
        <v/>
      </c>
      <c r="AF46" s="8" t="str">
        <f>IF(ISNA(MATCH(AC46, $R$6:$R$7, 0)), "", $R$3)</f>
        <v/>
      </c>
      <c r="AG46" s="8" t="str">
        <f>IF(AE46="", "", AE46&lt;AF46)</f>
        <v/>
      </c>
      <c r="AH46" s="8"/>
      <c r="AI46" s="8" t="str">
        <f>IF(AE46="", "", AE46&gt;=AH46)</f>
        <v/>
      </c>
      <c r="AJ46" s="8" t="str">
        <f>IF(AE46="","",IF(MOD(AE46,2)=0,2,1))</f>
        <v/>
      </c>
      <c r="AK46" s="8"/>
      <c r="AL46" s="8" t="str">
        <f>IF(AK46&lt;&gt;0, AK46&lt;&gt;AJ46, "")</f>
        <v/>
      </c>
      <c r="AM46" s="8"/>
      <c r="AN46" s="8" t="str">
        <f>IFERROR(IF(AM46, INDEX(grade_number, MATCH(INDEX(schedule_grades, MATCH(AC46, schedule_courses, 0)), grade_letter, 0))&gt;=2, ""), "")</f>
        <v/>
      </c>
      <c r="AO46" s="258">
        <v>3</v>
      </c>
      <c r="AP46" s="7" t="s">
        <v>390</v>
      </c>
      <c r="AQ46" s="7" t="b">
        <f>IF(AP46=0,"",NOT(ISERROR(MATCH(AP46,schedule_courses,0))))</f>
        <v>1</v>
      </c>
      <c r="AR46" s="7">
        <f>IF(IFERROR(INDEX(req_tr_AP_credit, MATCH(AP46, req_course,0)), FALSE),0,IFERROR(INDEX(schedule_semester,MATCH(AP46,schedule_courses,0)), ""))</f>
        <v>4</v>
      </c>
      <c r="AS46" s="7" t="b">
        <f>IF(AR46&lt;&gt;"", AR46&lt;AE46, "")</f>
        <v>1</v>
      </c>
      <c r="AT46" s="7"/>
      <c r="AU46" s="7" t="str">
        <f>IF(AT46=0,"",NOT(ISERROR(MATCH(AT46,schedule_courses,0))))</f>
        <v/>
      </c>
      <c r="AV46" s="7" t="str">
        <f>IF(IFERROR(INDEX(req_tr_AP_credit, MATCH(AT46, req_course)), FALSE),0,IFERROR(INDEX(schedule_semester,MATCH(AT46,schedule_courses,0)), ""))</f>
        <v/>
      </c>
      <c r="AW46" s="7" t="str">
        <f>IF(AV46&lt;&gt;"", AV46&lt;=AE46, "")</f>
        <v/>
      </c>
      <c r="AX46" s="44"/>
      <c r="AY46" s="7"/>
      <c r="AZ46" s="15" t="s">
        <v>263</v>
      </c>
      <c r="BD46" s="116" t="s">
        <v>297</v>
      </c>
      <c r="BE46" s="244" t="s">
        <v>285</v>
      </c>
      <c r="BF46" s="249" t="s">
        <v>298</v>
      </c>
    </row>
    <row r="47" spans="1:58" ht="31.2">
      <c r="A47">
        <v>0</v>
      </c>
      <c r="B47">
        <v>0</v>
      </c>
      <c r="C47">
        <v>0</v>
      </c>
      <c r="D47">
        <f t="shared" si="66"/>
        <v>0</v>
      </c>
      <c r="E47">
        <f t="shared" si="2"/>
        <v>0</v>
      </c>
      <c r="F47">
        <f t="shared" si="67"/>
        <v>0</v>
      </c>
      <c r="G47">
        <f t="shared" si="3"/>
        <v>3</v>
      </c>
      <c r="H47">
        <f t="shared" si="4"/>
        <v>0</v>
      </c>
      <c r="I47">
        <f t="shared" si="68"/>
        <v>0</v>
      </c>
      <c r="J47" s="50">
        <v>6</v>
      </c>
      <c r="K47" s="51"/>
      <c r="L47" s="51" t="s">
        <v>196</v>
      </c>
      <c r="M47" s="55">
        <v>3</v>
      </c>
      <c r="N47" s="55" t="str">
        <v/>
      </c>
      <c r="O47" s="51"/>
      <c r="P47" s="52"/>
      <c r="W47" s="11"/>
      <c r="X47" s="11"/>
      <c r="Y47" s="11"/>
      <c r="Z47" s="11"/>
      <c r="AB47" s="14"/>
      <c r="AC47" s="7" t="s">
        <v>208</v>
      </c>
      <c r="AD47" s="7" t="b">
        <f>NOT(ISERROR(MATCH(AC47,schedule_courses,0)))</f>
        <v>0</v>
      </c>
      <c r="AE47" s="7" t="str">
        <f>IF(AX47,0,IFERROR(INDEX(schedule_semester,MATCH(AC47,schedule_courses,0)), ""))</f>
        <v/>
      </c>
      <c r="AF47" s="7" t="str">
        <f>IF(ISNA(MATCH(AC47, $R$6:$R$7, 0)), "", $R$3)</f>
        <v/>
      </c>
      <c r="AG47" s="7" t="str">
        <f>IF(AE47="", "", AE47&lt;AF47)</f>
        <v/>
      </c>
      <c r="AH47" s="9"/>
      <c r="AI47" s="7" t="str">
        <f>IF(AE47="", "", AE47&gt;=AH47)</f>
        <v/>
      </c>
      <c r="AJ47" s="7" t="str">
        <f>IF(AE47="","",IF(MOD(AE47,2)=0,2,1))</f>
        <v/>
      </c>
      <c r="AK47" s="7"/>
      <c r="AL47" s="7" t="str">
        <f>IF(AK47&lt;&gt;0, AK47&lt;&gt;AJ47, "")</f>
        <v/>
      </c>
      <c r="AM47" s="7"/>
      <c r="AN47" s="7" t="str">
        <f>IFERROR(IF(AM47, INDEX(grade_number, MATCH(INDEX(schedule_grades, MATCH(AC47, schedule_courses, 0)), grade_letter, 0))&gt;=2, ""), "")</f>
        <v/>
      </c>
      <c r="AO47" s="7">
        <v>3</v>
      </c>
      <c r="AQ47" s="7" t="str">
        <f>IF(AP47=0,"",NOT(ISERROR(MATCH(AP47,schedule_courses,0))))</f>
        <v/>
      </c>
      <c r="AR47" t="str">
        <f>IF(IFERROR(INDEX(req_tr_AP_credit, MATCH(AP47, req_course,0)), FALSE),0,IFERROR(INDEX(schedule_semester,MATCH(AP47,schedule_courses,0)), ""))</f>
        <v/>
      </c>
      <c r="AS47" t="str">
        <f>IF(AR47&lt;&gt;"", AR47&lt;AE47, "")</f>
        <v/>
      </c>
      <c r="AU47" t="str">
        <f>IF(AT47=0,"",NOT(ISERROR(MATCH(AT47,schedule_courses,0))))</f>
        <v/>
      </c>
      <c r="AV47" t="str">
        <f>IF(IFERROR(INDEX(req_tr_AP_credit, MATCH(AT47, req_course)), FALSE),0,IFERROR(INDEX(schedule_semester,MATCH(AT47,schedule_courses,0)), ""))</f>
        <v/>
      </c>
      <c r="AW47" t="str">
        <f>IF(AV47&lt;&gt;"", AV47&lt;=AE47, "")</f>
        <v/>
      </c>
      <c r="AX47" s="41"/>
      <c r="AY47" s="24"/>
      <c r="AZ47" s="15" t="s">
        <v>263</v>
      </c>
      <c r="BD47" s="116" t="s">
        <v>300</v>
      </c>
      <c r="BE47" s="244" t="s">
        <v>301</v>
      </c>
      <c r="BF47" s="249" t="s">
        <v>302</v>
      </c>
    </row>
    <row r="48" spans="1:58" ht="78">
      <c r="A48">
        <v>0</v>
      </c>
      <c r="B48">
        <v>0</v>
      </c>
      <c r="C48">
        <v>0</v>
      </c>
      <c r="D48">
        <f t="shared" si="66"/>
        <v>0</v>
      </c>
      <c r="E48">
        <f t="shared" si="2"/>
        <v>0</v>
      </c>
      <c r="F48">
        <f t="shared" si="67"/>
        <v>0</v>
      </c>
      <c r="G48">
        <f t="shared" si="3"/>
        <v>3</v>
      </c>
      <c r="H48">
        <f t="shared" si="4"/>
        <v>0</v>
      </c>
      <c r="I48">
        <f t="shared" si="68"/>
        <v>0</v>
      </c>
      <c r="J48" s="46">
        <v>6</v>
      </c>
      <c r="K48" s="41"/>
      <c r="L48" s="41" t="s">
        <v>350</v>
      </c>
      <c r="M48" s="24">
        <v>3</v>
      </c>
      <c r="N48" s="24" t="str">
        <v/>
      </c>
      <c r="O48" s="41"/>
      <c r="P48" s="48"/>
      <c r="AB48" s="180" t="s">
        <v>295</v>
      </c>
      <c r="AC48" s="178"/>
      <c r="AD48" s="174" t="b">
        <f t="shared" ref="AD48:AD61" si="77">NOT(ISERROR(MATCH(AC48,schedule_courses,0)))</f>
        <v>0</v>
      </c>
      <c r="AE48" s="174" t="str">
        <f t="shared" si="69"/>
        <v/>
      </c>
      <c r="AF48" s="174" t="str">
        <f t="shared" ref="AF48:AF61" si="78">IF(ISNA(MATCH(AC48, $R$6:$R$7, 0)), "", $R$3)</f>
        <v/>
      </c>
      <c r="AG48" s="174" t="str">
        <f t="shared" ref="AG48:AG61" si="79">IF(AE48="", "", AE48&lt;AF48)</f>
        <v/>
      </c>
      <c r="AH48" s="173"/>
      <c r="AI48" s="174" t="str">
        <f t="shared" ref="AI48:AI61" si="80">IF(AE48="", "", AE48&gt;=AH48)</f>
        <v/>
      </c>
      <c r="AJ48" s="174" t="str">
        <f t="shared" ref="AJ48:AJ61" si="81">IF(AE48="","",IF(MOD(AE48,2)=0,2,1))</f>
        <v/>
      </c>
      <c r="AK48" s="174"/>
      <c r="AL48" s="174" t="str">
        <f t="shared" ref="AL48:AL61" si="82">IF(AK48&lt;&gt;0, AK48&lt;&gt;AJ48, "")</f>
        <v/>
      </c>
      <c r="AM48" s="174"/>
      <c r="AN48" s="174" t="str">
        <f t="shared" si="70"/>
        <v/>
      </c>
      <c r="AO48" s="178"/>
      <c r="AP48" s="55"/>
      <c r="AQ48" s="174" t="str">
        <f t="shared" si="71"/>
        <v/>
      </c>
      <c r="AR48" s="55" t="str">
        <f t="shared" si="72"/>
        <v/>
      </c>
      <c r="AS48" s="55" t="str">
        <f t="shared" si="73"/>
        <v/>
      </c>
      <c r="AT48" s="55"/>
      <c r="AU48" s="55" t="str">
        <f t="shared" si="74"/>
        <v/>
      </c>
      <c r="AV48" s="55" t="str">
        <f t="shared" si="75"/>
        <v/>
      </c>
      <c r="AW48" s="55" t="str">
        <f t="shared" si="76"/>
        <v/>
      </c>
      <c r="AX48" s="51"/>
      <c r="AY48" s="51"/>
      <c r="AZ48" s="12"/>
      <c r="BD48" s="116" t="s">
        <v>303</v>
      </c>
      <c r="BE48" s="244" t="s">
        <v>281</v>
      </c>
      <c r="BF48" s="249"/>
    </row>
    <row r="49" spans="1:58">
      <c r="A49">
        <v>0</v>
      </c>
      <c r="B49">
        <v>0</v>
      </c>
      <c r="C49">
        <v>0</v>
      </c>
      <c r="D49">
        <f t="shared" si="66"/>
        <v>0</v>
      </c>
      <c r="E49">
        <f t="shared" si="2"/>
        <v>0</v>
      </c>
      <c r="F49">
        <f t="shared" si="67"/>
        <v>0</v>
      </c>
      <c r="G49">
        <f t="shared" si="3"/>
        <v>3</v>
      </c>
      <c r="H49">
        <f t="shared" si="4"/>
        <v>0</v>
      </c>
      <c r="I49">
        <f t="shared" si="68"/>
        <v>0</v>
      </c>
      <c r="J49" s="46">
        <v>6</v>
      </c>
      <c r="K49" s="41"/>
      <c r="L49" s="41" t="s">
        <v>369</v>
      </c>
      <c r="M49" s="24">
        <v>3</v>
      </c>
      <c r="N49" s="24" t="str">
        <v/>
      </c>
      <c r="O49" s="41"/>
      <c r="P49" s="48"/>
      <c r="R49" s="11"/>
      <c r="S49" s="11"/>
      <c r="T49" s="11"/>
      <c r="U49" s="11"/>
      <c r="V49" s="11"/>
      <c r="AB49" s="14"/>
      <c r="AC49" s="44"/>
      <c r="AD49" s="7" t="b">
        <f t="shared" si="77"/>
        <v>0</v>
      </c>
      <c r="AE49" s="7" t="str">
        <f t="shared" si="69"/>
        <v/>
      </c>
      <c r="AF49" s="7" t="str">
        <f t="shared" si="78"/>
        <v/>
      </c>
      <c r="AG49" s="7" t="str">
        <f t="shared" si="79"/>
        <v/>
      </c>
      <c r="AH49" s="9"/>
      <c r="AI49" s="7" t="str">
        <f t="shared" si="80"/>
        <v/>
      </c>
      <c r="AJ49" s="7" t="str">
        <f t="shared" si="81"/>
        <v/>
      </c>
      <c r="AK49" s="7"/>
      <c r="AL49" s="7" t="str">
        <f t="shared" si="82"/>
        <v/>
      </c>
      <c r="AM49" s="7"/>
      <c r="AN49" s="7" t="str">
        <f t="shared" si="70"/>
        <v/>
      </c>
      <c r="AO49" s="44"/>
      <c r="AP49" s="24"/>
      <c r="AQ49" s="7" t="str">
        <f t="shared" si="71"/>
        <v/>
      </c>
      <c r="AR49" s="24" t="str">
        <f t="shared" si="72"/>
        <v/>
      </c>
      <c r="AS49" s="24" t="str">
        <f t="shared" si="73"/>
        <v/>
      </c>
      <c r="AT49" s="24"/>
      <c r="AU49" s="24" t="str">
        <f t="shared" si="74"/>
        <v/>
      </c>
      <c r="AV49" s="24" t="str">
        <f t="shared" si="75"/>
        <v/>
      </c>
      <c r="AW49" s="24" t="str">
        <f t="shared" si="76"/>
        <v/>
      </c>
      <c r="AX49" s="41"/>
      <c r="AY49" s="41"/>
      <c r="AZ49" s="15"/>
      <c r="BD49" s="242" t="s">
        <v>304</v>
      </c>
      <c r="BE49" s="246" t="s">
        <v>305</v>
      </c>
      <c r="BF49" s="250"/>
    </row>
    <row r="50" spans="1:58">
      <c r="A50">
        <v>0</v>
      </c>
      <c r="B50">
        <v>0</v>
      </c>
      <c r="C50">
        <v>0</v>
      </c>
      <c r="D50">
        <f t="shared" si="66"/>
        <v>0</v>
      </c>
      <c r="E50">
        <f t="shared" si="2"/>
        <v>0</v>
      </c>
      <c r="F50">
        <f t="shared" si="67"/>
        <v>0</v>
      </c>
      <c r="G50">
        <f t="shared" si="3"/>
        <v>3</v>
      </c>
      <c r="H50">
        <f t="shared" si="4"/>
        <v>0</v>
      </c>
      <c r="I50">
        <f t="shared" si="68"/>
        <v>0</v>
      </c>
      <c r="J50" s="46">
        <v>6</v>
      </c>
      <c r="K50" s="41"/>
      <c r="L50" s="41" t="s">
        <v>388</v>
      </c>
      <c r="M50" s="24">
        <v>3</v>
      </c>
      <c r="N50" s="24" t="str">
        <v/>
      </c>
      <c r="O50" s="41"/>
      <c r="P50" s="48"/>
      <c r="Q50" s="11"/>
      <c r="AB50" s="14"/>
      <c r="AC50" s="44"/>
      <c r="AD50" s="7" t="b">
        <f t="shared" si="77"/>
        <v>0</v>
      </c>
      <c r="AE50" s="7" t="str">
        <f t="shared" si="69"/>
        <v/>
      </c>
      <c r="AF50" s="7" t="str">
        <f t="shared" si="78"/>
        <v/>
      </c>
      <c r="AG50" s="7" t="str">
        <f t="shared" si="79"/>
        <v/>
      </c>
      <c r="AH50" s="9"/>
      <c r="AI50" s="7" t="str">
        <f t="shared" si="80"/>
        <v/>
      </c>
      <c r="AJ50" s="7" t="str">
        <f t="shared" si="81"/>
        <v/>
      </c>
      <c r="AK50" s="7"/>
      <c r="AL50" s="7" t="str">
        <f t="shared" si="82"/>
        <v/>
      </c>
      <c r="AM50" s="7"/>
      <c r="AN50" s="7" t="str">
        <f t="shared" si="70"/>
        <v/>
      </c>
      <c r="AO50" s="44"/>
      <c r="AP50" s="24"/>
      <c r="AQ50" s="7" t="str">
        <f t="shared" si="71"/>
        <v/>
      </c>
      <c r="AR50" s="24" t="str">
        <f t="shared" si="72"/>
        <v/>
      </c>
      <c r="AS50" s="24" t="str">
        <f t="shared" si="73"/>
        <v/>
      </c>
      <c r="AT50" s="24"/>
      <c r="AU50" s="24" t="str">
        <f t="shared" si="74"/>
        <v/>
      </c>
      <c r="AV50" s="24" t="str">
        <f t="shared" si="75"/>
        <v/>
      </c>
      <c r="AW50" s="24" t="str">
        <f t="shared" si="76"/>
        <v/>
      </c>
      <c r="AX50" s="41"/>
      <c r="AY50" s="41"/>
      <c r="AZ50" s="15"/>
      <c r="BD50" s="83"/>
      <c r="BE50" s="83"/>
    </row>
    <row r="51" spans="1:58">
      <c r="A51">
        <v>0</v>
      </c>
      <c r="B51">
        <v>0</v>
      </c>
      <c r="C51">
        <v>0</v>
      </c>
      <c r="D51">
        <f t="shared" si="66"/>
        <v>0</v>
      </c>
      <c r="E51">
        <f t="shared" si="2"/>
        <v>0</v>
      </c>
      <c r="F51">
        <f t="shared" si="67"/>
        <v>0</v>
      </c>
      <c r="G51">
        <f t="shared" si="3"/>
        <v>3</v>
      </c>
      <c r="H51">
        <f t="shared" si="4"/>
        <v>0</v>
      </c>
      <c r="I51">
        <f t="shared" si="68"/>
        <v>0</v>
      </c>
      <c r="J51" s="46">
        <v>6</v>
      </c>
      <c r="K51" s="41"/>
      <c r="L51" s="41" t="s">
        <v>238</v>
      </c>
      <c r="M51" s="24">
        <v>3</v>
      </c>
      <c r="N51" s="24" t="str">
        <v>GA</v>
      </c>
      <c r="O51" s="41"/>
      <c r="P51" s="48"/>
      <c r="AB51" s="14"/>
      <c r="AC51" s="44"/>
      <c r="AD51" s="7" t="b">
        <f t="shared" si="77"/>
        <v>0</v>
      </c>
      <c r="AE51" s="7" t="str">
        <f t="shared" si="69"/>
        <v/>
      </c>
      <c r="AF51" s="7" t="str">
        <f t="shared" si="78"/>
        <v/>
      </c>
      <c r="AG51" s="7" t="str">
        <f t="shared" si="79"/>
        <v/>
      </c>
      <c r="AH51" s="9"/>
      <c r="AI51" s="7" t="str">
        <f t="shared" si="80"/>
        <v/>
      </c>
      <c r="AJ51" s="7" t="str">
        <f t="shared" si="81"/>
        <v/>
      </c>
      <c r="AK51" s="7"/>
      <c r="AL51" s="7" t="str">
        <f t="shared" si="82"/>
        <v/>
      </c>
      <c r="AM51" s="7"/>
      <c r="AN51" s="7" t="str">
        <f t="shared" si="70"/>
        <v/>
      </c>
      <c r="AO51" s="44"/>
      <c r="AP51" s="24"/>
      <c r="AQ51" s="7" t="str">
        <f t="shared" si="71"/>
        <v/>
      </c>
      <c r="AR51" s="24" t="str">
        <f t="shared" si="72"/>
        <v/>
      </c>
      <c r="AS51" s="24" t="str">
        <f t="shared" si="73"/>
        <v/>
      </c>
      <c r="AT51" s="24"/>
      <c r="AU51" s="24" t="str">
        <f t="shared" si="74"/>
        <v/>
      </c>
      <c r="AV51" s="24" t="str">
        <f t="shared" si="75"/>
        <v/>
      </c>
      <c r="AW51" s="24" t="str">
        <f t="shared" si="76"/>
        <v/>
      </c>
      <c r="AX51" s="41"/>
      <c r="AY51" s="41"/>
      <c r="AZ51" s="15"/>
      <c r="BD51" s="74" t="s">
        <v>31</v>
      </c>
      <c r="BE51" s="12"/>
    </row>
    <row r="52" spans="1:58">
      <c r="A52">
        <v>0</v>
      </c>
      <c r="B52">
        <v>0</v>
      </c>
      <c r="C52">
        <v>0</v>
      </c>
      <c r="D52">
        <f t="shared" si="66"/>
        <v>0</v>
      </c>
      <c r="E52">
        <f t="shared" si="2"/>
        <v>0</v>
      </c>
      <c r="F52">
        <f t="shared" si="67"/>
        <v>0</v>
      </c>
      <c r="G52">
        <f t="shared" si="3"/>
        <v>0</v>
      </c>
      <c r="H52">
        <f t="shared" si="4"/>
        <v>0</v>
      </c>
      <c r="I52">
        <f t="shared" si="68"/>
        <v>0</v>
      </c>
      <c r="J52" s="46">
        <v>6</v>
      </c>
      <c r="K52" s="41"/>
      <c r="L52" s="41"/>
      <c r="M52" s="24" t="str">
        <v/>
      </c>
      <c r="N52" s="24" t="str">
        <v/>
      </c>
      <c r="O52" s="41"/>
      <c r="P52" s="48"/>
      <c r="AB52" s="14"/>
      <c r="AC52" s="44"/>
      <c r="AD52" s="7" t="b">
        <f t="shared" si="77"/>
        <v>0</v>
      </c>
      <c r="AE52" s="7" t="str">
        <f t="shared" si="69"/>
        <v/>
      </c>
      <c r="AF52" s="7" t="str">
        <f t="shared" si="78"/>
        <v/>
      </c>
      <c r="AG52" s="7" t="str">
        <f t="shared" si="79"/>
        <v/>
      </c>
      <c r="AH52" s="9"/>
      <c r="AI52" s="7" t="str">
        <f t="shared" si="80"/>
        <v/>
      </c>
      <c r="AJ52" s="7" t="str">
        <f t="shared" si="81"/>
        <v/>
      </c>
      <c r="AK52" s="7"/>
      <c r="AL52" s="7" t="str">
        <f t="shared" si="82"/>
        <v/>
      </c>
      <c r="AM52" s="7"/>
      <c r="AN52" s="7" t="str">
        <f t="shared" si="70"/>
        <v/>
      </c>
      <c r="AO52" s="44"/>
      <c r="AP52" s="24"/>
      <c r="AQ52" s="7" t="str">
        <f t="shared" si="71"/>
        <v/>
      </c>
      <c r="AR52" s="24" t="str">
        <f t="shared" si="72"/>
        <v/>
      </c>
      <c r="AS52" s="24" t="str">
        <f t="shared" si="73"/>
        <v/>
      </c>
      <c r="AT52" s="24"/>
      <c r="AU52" s="24" t="str">
        <f t="shared" si="74"/>
        <v/>
      </c>
      <c r="AV52" s="24" t="str">
        <f t="shared" si="75"/>
        <v/>
      </c>
      <c r="AW52" s="24" t="str">
        <f t="shared" si="76"/>
        <v/>
      </c>
      <c r="AX52" s="41"/>
      <c r="AY52" s="41"/>
      <c r="AZ52" s="15"/>
      <c r="BD52" s="14" t="s">
        <v>96</v>
      </c>
      <c r="BE52" s="15">
        <v>4</v>
      </c>
    </row>
    <row r="53" spans="1:58">
      <c r="A53">
        <v>0</v>
      </c>
      <c r="B53">
        <v>0</v>
      </c>
      <c r="C53">
        <v>0</v>
      </c>
      <c r="D53">
        <f t="shared" si="66"/>
        <v>0</v>
      </c>
      <c r="E53">
        <f t="shared" si="2"/>
        <v>0</v>
      </c>
      <c r="F53">
        <f t="shared" si="67"/>
        <v>0</v>
      </c>
      <c r="G53">
        <f t="shared" si="3"/>
        <v>0</v>
      </c>
      <c r="H53">
        <f t="shared" si="4"/>
        <v>0</v>
      </c>
      <c r="I53">
        <f t="shared" si="68"/>
        <v>0</v>
      </c>
      <c r="J53" s="46">
        <v>6</v>
      </c>
      <c r="K53" s="41"/>
      <c r="L53" s="41"/>
      <c r="M53" s="24" t="str">
        <v/>
      </c>
      <c r="N53" s="24" t="str">
        <v/>
      </c>
      <c r="O53" s="41"/>
      <c r="P53" s="48"/>
      <c r="AB53" s="14"/>
      <c r="AC53" s="44"/>
      <c r="AD53" s="7" t="b">
        <f t="shared" si="77"/>
        <v>0</v>
      </c>
      <c r="AE53" s="7" t="str">
        <f t="shared" si="69"/>
        <v/>
      </c>
      <c r="AF53" s="7" t="str">
        <f t="shared" si="78"/>
        <v/>
      </c>
      <c r="AG53" s="7" t="str">
        <f t="shared" si="79"/>
        <v/>
      </c>
      <c r="AH53" s="9"/>
      <c r="AI53" s="7" t="str">
        <f t="shared" si="80"/>
        <v/>
      </c>
      <c r="AJ53" s="7" t="str">
        <f t="shared" si="81"/>
        <v/>
      </c>
      <c r="AK53" s="7"/>
      <c r="AL53" s="7" t="str">
        <f t="shared" si="82"/>
        <v/>
      </c>
      <c r="AM53" s="7"/>
      <c r="AN53" s="7" t="str">
        <f t="shared" si="70"/>
        <v/>
      </c>
      <c r="AO53" s="44"/>
      <c r="AP53" s="24"/>
      <c r="AQ53" s="7" t="str">
        <f t="shared" si="71"/>
        <v/>
      </c>
      <c r="AR53" s="24" t="str">
        <f t="shared" si="72"/>
        <v/>
      </c>
      <c r="AS53" s="24" t="str">
        <f t="shared" si="73"/>
        <v/>
      </c>
      <c r="AT53" s="24"/>
      <c r="AU53" s="24" t="str">
        <f t="shared" si="74"/>
        <v/>
      </c>
      <c r="AV53" s="24" t="str">
        <f t="shared" si="75"/>
        <v/>
      </c>
      <c r="AW53" s="24" t="str">
        <f t="shared" si="76"/>
        <v/>
      </c>
      <c r="AX53" s="41"/>
      <c r="AY53" s="41"/>
      <c r="AZ53" s="15"/>
      <c r="BD53" s="14" t="s">
        <v>132</v>
      </c>
      <c r="BE53" s="15">
        <v>3.67</v>
      </c>
    </row>
    <row r="54" spans="1:58">
      <c r="A54">
        <v>0</v>
      </c>
      <c r="B54">
        <v>0</v>
      </c>
      <c r="C54">
        <v>0</v>
      </c>
      <c r="D54">
        <f t="shared" si="66"/>
        <v>0</v>
      </c>
      <c r="E54">
        <f t="shared" si="2"/>
        <v>0</v>
      </c>
      <c r="F54">
        <f t="shared" si="67"/>
        <v>0</v>
      </c>
      <c r="G54">
        <f t="shared" si="3"/>
        <v>0</v>
      </c>
      <c r="H54">
        <f t="shared" si="4"/>
        <v>0</v>
      </c>
      <c r="I54">
        <f t="shared" si="68"/>
        <v>0</v>
      </c>
      <c r="J54" s="46">
        <v>6</v>
      </c>
      <c r="K54" s="41"/>
      <c r="L54" s="41"/>
      <c r="M54" s="24" t="str">
        <v/>
      </c>
      <c r="N54" s="24" t="str">
        <v/>
      </c>
      <c r="O54" s="41"/>
      <c r="P54" s="48"/>
      <c r="AB54" s="14"/>
      <c r="AC54" s="44"/>
      <c r="AD54" s="7" t="b">
        <f t="shared" si="77"/>
        <v>0</v>
      </c>
      <c r="AE54" s="7" t="str">
        <f t="shared" si="69"/>
        <v/>
      </c>
      <c r="AF54" s="7" t="str">
        <f t="shared" si="78"/>
        <v/>
      </c>
      <c r="AG54" s="7" t="str">
        <f t="shared" si="79"/>
        <v/>
      </c>
      <c r="AH54" s="9"/>
      <c r="AI54" s="7" t="str">
        <f t="shared" si="80"/>
        <v/>
      </c>
      <c r="AJ54" s="7" t="str">
        <f t="shared" si="81"/>
        <v/>
      </c>
      <c r="AK54" s="7"/>
      <c r="AL54" s="7" t="str">
        <f t="shared" si="82"/>
        <v/>
      </c>
      <c r="AM54" s="7"/>
      <c r="AN54" s="7" t="str">
        <f t="shared" si="70"/>
        <v/>
      </c>
      <c r="AO54" s="44"/>
      <c r="AP54" s="24"/>
      <c r="AQ54" s="7" t="str">
        <f t="shared" si="71"/>
        <v/>
      </c>
      <c r="AR54" s="24" t="str">
        <f t="shared" si="72"/>
        <v/>
      </c>
      <c r="AS54" s="24" t="str">
        <f t="shared" si="73"/>
        <v/>
      </c>
      <c r="AT54" s="24"/>
      <c r="AU54" s="24" t="str">
        <f t="shared" si="74"/>
        <v/>
      </c>
      <c r="AV54" s="24" t="str">
        <f t="shared" si="75"/>
        <v/>
      </c>
      <c r="AW54" s="24" t="str">
        <f t="shared" si="76"/>
        <v/>
      </c>
      <c r="AX54" s="41"/>
      <c r="AY54" s="41"/>
      <c r="AZ54" s="15"/>
      <c r="BD54" s="14" t="s">
        <v>309</v>
      </c>
      <c r="BE54" s="15">
        <v>3.33</v>
      </c>
    </row>
    <row r="55" spans="1:58">
      <c r="A55">
        <v>0</v>
      </c>
      <c r="B55">
        <v>0</v>
      </c>
      <c r="C55">
        <v>0</v>
      </c>
      <c r="D55">
        <f t="shared" si="66"/>
        <v>0</v>
      </c>
      <c r="E55">
        <f t="shared" si="2"/>
        <v>0</v>
      </c>
      <c r="F55">
        <f t="shared" si="67"/>
        <v>0</v>
      </c>
      <c r="G55">
        <f t="shared" si="3"/>
        <v>0</v>
      </c>
      <c r="H55">
        <f t="shared" si="4"/>
        <v>0</v>
      </c>
      <c r="I55">
        <f t="shared" si="68"/>
        <v>0</v>
      </c>
      <c r="J55" s="47">
        <v>6</v>
      </c>
      <c r="K55" s="43"/>
      <c r="L55" s="43"/>
      <c r="M55" s="10" t="str">
        <v/>
      </c>
      <c r="N55" s="10" t="str">
        <v/>
      </c>
      <c r="O55" s="43"/>
      <c r="P55" s="49"/>
      <c r="AB55" s="14"/>
      <c r="AC55" s="44"/>
      <c r="AD55" s="7" t="b">
        <f t="shared" si="77"/>
        <v>0</v>
      </c>
      <c r="AE55" s="7" t="str">
        <f t="shared" si="69"/>
        <v/>
      </c>
      <c r="AF55" s="7" t="str">
        <f t="shared" si="78"/>
        <v/>
      </c>
      <c r="AG55" s="7" t="str">
        <f t="shared" si="79"/>
        <v/>
      </c>
      <c r="AH55" s="9"/>
      <c r="AI55" s="7" t="str">
        <f t="shared" si="80"/>
        <v/>
      </c>
      <c r="AJ55" s="7" t="str">
        <f t="shared" si="81"/>
        <v/>
      </c>
      <c r="AK55" s="7"/>
      <c r="AL55" s="7" t="str">
        <f t="shared" si="82"/>
        <v/>
      </c>
      <c r="AM55" s="7"/>
      <c r="AN55" s="7" t="str">
        <f t="shared" si="70"/>
        <v/>
      </c>
      <c r="AO55" s="44"/>
      <c r="AP55" s="24"/>
      <c r="AQ55" s="7" t="str">
        <f t="shared" si="71"/>
        <v/>
      </c>
      <c r="AR55" s="24" t="str">
        <f t="shared" si="72"/>
        <v/>
      </c>
      <c r="AS55" s="24" t="str">
        <f t="shared" si="73"/>
        <v/>
      </c>
      <c r="AT55" s="24"/>
      <c r="AU55" s="24" t="str">
        <f t="shared" si="74"/>
        <v/>
      </c>
      <c r="AV55" s="24" t="str">
        <f t="shared" si="75"/>
        <v/>
      </c>
      <c r="AW55" s="24" t="str">
        <f t="shared" si="76"/>
        <v/>
      </c>
      <c r="AX55" s="41"/>
      <c r="AY55" s="41"/>
      <c r="AZ55" s="15"/>
      <c r="BD55" s="14" t="s">
        <v>311</v>
      </c>
      <c r="BE55" s="15">
        <v>3</v>
      </c>
    </row>
    <row r="56" spans="1:58">
      <c r="A56">
        <v>0</v>
      </c>
      <c r="B56">
        <v>0</v>
      </c>
      <c r="C56">
        <v>0</v>
      </c>
      <c r="D56">
        <f t="shared" si="66"/>
        <v>0</v>
      </c>
      <c r="E56">
        <f t="shared" si="2"/>
        <v>0</v>
      </c>
      <c r="F56">
        <f t="shared" si="67"/>
        <v>0</v>
      </c>
      <c r="G56">
        <f t="shared" si="3"/>
        <v>3</v>
      </c>
      <c r="H56">
        <f t="shared" si="4"/>
        <v>0</v>
      </c>
      <c r="I56">
        <f t="shared" si="68"/>
        <v>0</v>
      </c>
      <c r="J56" s="53">
        <v>7</v>
      </c>
      <c r="K56" s="51"/>
      <c r="L56" s="51" t="s">
        <v>198</v>
      </c>
      <c r="M56" s="55">
        <v>3</v>
      </c>
      <c r="N56" s="55" t="str">
        <v/>
      </c>
      <c r="O56" s="51"/>
      <c r="P56" s="52"/>
      <c r="AB56" s="14"/>
      <c r="AC56" s="44"/>
      <c r="AD56" s="7" t="b">
        <f t="shared" si="77"/>
        <v>0</v>
      </c>
      <c r="AE56" s="7" t="str">
        <f t="shared" si="69"/>
        <v/>
      </c>
      <c r="AF56" s="7" t="str">
        <f t="shared" si="78"/>
        <v/>
      </c>
      <c r="AG56" s="7" t="str">
        <f t="shared" si="79"/>
        <v/>
      </c>
      <c r="AH56" s="9"/>
      <c r="AI56" s="7" t="str">
        <f t="shared" si="80"/>
        <v/>
      </c>
      <c r="AJ56" s="7" t="str">
        <f t="shared" si="81"/>
        <v/>
      </c>
      <c r="AK56" s="7"/>
      <c r="AL56" s="7" t="str">
        <f t="shared" si="82"/>
        <v/>
      </c>
      <c r="AM56" s="7"/>
      <c r="AN56" s="7" t="str">
        <f t="shared" si="70"/>
        <v/>
      </c>
      <c r="AO56" s="44"/>
      <c r="AP56" s="24"/>
      <c r="AQ56" s="7" t="str">
        <f t="shared" si="71"/>
        <v/>
      </c>
      <c r="AR56" s="24" t="str">
        <f t="shared" si="72"/>
        <v/>
      </c>
      <c r="AS56" s="24" t="str">
        <f t="shared" si="73"/>
        <v/>
      </c>
      <c r="AT56" s="24"/>
      <c r="AU56" s="24" t="str">
        <f t="shared" si="74"/>
        <v/>
      </c>
      <c r="AV56" s="24" t="str">
        <f t="shared" si="75"/>
        <v/>
      </c>
      <c r="AW56" s="24" t="str">
        <f t="shared" si="76"/>
        <v/>
      </c>
      <c r="AX56" s="41"/>
      <c r="AY56" s="41"/>
      <c r="AZ56" s="15"/>
      <c r="BD56" s="14" t="s">
        <v>312</v>
      </c>
      <c r="BE56" s="15">
        <v>2.67</v>
      </c>
    </row>
    <row r="57" spans="1:58">
      <c r="A57">
        <v>0</v>
      </c>
      <c r="B57">
        <v>0</v>
      </c>
      <c r="C57">
        <v>0</v>
      </c>
      <c r="D57">
        <f t="shared" si="66"/>
        <v>0</v>
      </c>
      <c r="E57">
        <f t="shared" si="2"/>
        <v>0</v>
      </c>
      <c r="F57">
        <f t="shared" si="67"/>
        <v>0</v>
      </c>
      <c r="G57">
        <f t="shared" si="3"/>
        <v>0</v>
      </c>
      <c r="H57">
        <f t="shared" si="4"/>
        <v>0</v>
      </c>
      <c r="I57">
        <f t="shared" si="68"/>
        <v>0</v>
      </c>
      <c r="J57" s="45">
        <v>7</v>
      </c>
      <c r="K57" s="41"/>
      <c r="L57" s="41"/>
      <c r="M57" s="24" t="str">
        <v/>
      </c>
      <c r="N57" s="24" t="str">
        <v/>
      </c>
      <c r="O57" s="41"/>
      <c r="P57" s="48"/>
      <c r="AB57" s="14"/>
      <c r="AC57" s="44"/>
      <c r="AD57" s="7" t="b">
        <f t="shared" si="77"/>
        <v>0</v>
      </c>
      <c r="AE57" s="7" t="str">
        <f t="shared" si="69"/>
        <v/>
      </c>
      <c r="AF57" s="7" t="str">
        <f t="shared" si="78"/>
        <v/>
      </c>
      <c r="AG57" s="7" t="str">
        <f t="shared" si="79"/>
        <v/>
      </c>
      <c r="AH57" s="9"/>
      <c r="AI57" s="7" t="str">
        <f t="shared" si="80"/>
        <v/>
      </c>
      <c r="AJ57" s="7" t="str">
        <f t="shared" si="81"/>
        <v/>
      </c>
      <c r="AK57" s="7"/>
      <c r="AL57" s="7" t="str">
        <f t="shared" si="82"/>
        <v/>
      </c>
      <c r="AM57" s="7"/>
      <c r="AN57" s="7" t="str">
        <f t="shared" si="70"/>
        <v/>
      </c>
      <c r="AO57" s="44"/>
      <c r="AP57" s="24"/>
      <c r="AQ57" s="7" t="str">
        <f t="shared" si="71"/>
        <v/>
      </c>
      <c r="AR57" s="24" t="str">
        <f t="shared" si="72"/>
        <v/>
      </c>
      <c r="AS57" s="24" t="str">
        <f t="shared" si="73"/>
        <v/>
      </c>
      <c r="AT57" s="24"/>
      <c r="AU57" s="24" t="str">
        <f t="shared" si="74"/>
        <v/>
      </c>
      <c r="AV57" s="24" t="str">
        <f t="shared" si="75"/>
        <v/>
      </c>
      <c r="AW57" s="24" t="str">
        <f t="shared" si="76"/>
        <v/>
      </c>
      <c r="AX57" s="41"/>
      <c r="AY57" s="41"/>
      <c r="AZ57" s="15"/>
      <c r="BD57" s="14" t="s">
        <v>314</v>
      </c>
      <c r="BE57" s="15">
        <v>2.33</v>
      </c>
    </row>
    <row r="58" spans="1:58">
      <c r="A58">
        <v>0</v>
      </c>
      <c r="B58">
        <v>0</v>
      </c>
      <c r="C58">
        <v>0</v>
      </c>
      <c r="D58">
        <f t="shared" si="66"/>
        <v>0</v>
      </c>
      <c r="E58">
        <f t="shared" si="2"/>
        <v>0</v>
      </c>
      <c r="F58">
        <f t="shared" si="67"/>
        <v>0</v>
      </c>
      <c r="G58">
        <f t="shared" si="3"/>
        <v>3</v>
      </c>
      <c r="H58">
        <f t="shared" si="4"/>
        <v>0</v>
      </c>
      <c r="I58">
        <f t="shared" si="68"/>
        <v>0</v>
      </c>
      <c r="J58" s="45">
        <v>7</v>
      </c>
      <c r="K58" s="41"/>
      <c r="L58" s="41" t="s">
        <v>382</v>
      </c>
      <c r="M58" s="24">
        <v>3</v>
      </c>
      <c r="N58" s="24" t="str">
        <v/>
      </c>
      <c r="O58" s="41"/>
      <c r="P58" s="48"/>
      <c r="AB58" s="14"/>
      <c r="AC58" s="44"/>
      <c r="AD58" s="7" t="b">
        <f t="shared" si="77"/>
        <v>0</v>
      </c>
      <c r="AE58" s="7" t="str">
        <f t="shared" si="69"/>
        <v/>
      </c>
      <c r="AF58" s="7" t="str">
        <f t="shared" si="78"/>
        <v/>
      </c>
      <c r="AG58" s="7" t="str">
        <f t="shared" si="79"/>
        <v/>
      </c>
      <c r="AH58" s="9"/>
      <c r="AI58" s="7" t="str">
        <f t="shared" si="80"/>
        <v/>
      </c>
      <c r="AJ58" s="7" t="str">
        <f t="shared" si="81"/>
        <v/>
      </c>
      <c r="AK58" s="7"/>
      <c r="AL58" s="7" t="str">
        <f t="shared" si="82"/>
        <v/>
      </c>
      <c r="AM58" s="7"/>
      <c r="AN58" s="7" t="str">
        <f t="shared" si="70"/>
        <v/>
      </c>
      <c r="AO58" s="44"/>
      <c r="AP58" s="24"/>
      <c r="AQ58" s="7" t="str">
        <f t="shared" si="71"/>
        <v/>
      </c>
      <c r="AR58" s="24" t="str">
        <f t="shared" si="72"/>
        <v/>
      </c>
      <c r="AS58" s="24" t="str">
        <f t="shared" si="73"/>
        <v/>
      </c>
      <c r="AT58" s="24"/>
      <c r="AU58" s="24" t="str">
        <f t="shared" si="74"/>
        <v/>
      </c>
      <c r="AV58" s="24" t="str">
        <f t="shared" si="75"/>
        <v/>
      </c>
      <c r="AW58" s="24" t="str">
        <f t="shared" si="76"/>
        <v/>
      </c>
      <c r="AX58" s="41"/>
      <c r="AY58" s="41"/>
      <c r="AZ58" s="15"/>
      <c r="BD58" s="14" t="s">
        <v>315</v>
      </c>
      <c r="BE58" s="15">
        <v>2</v>
      </c>
    </row>
    <row r="59" spans="1:58">
      <c r="A59">
        <v>0</v>
      </c>
      <c r="B59">
        <v>0</v>
      </c>
      <c r="C59">
        <v>0</v>
      </c>
      <c r="D59">
        <f t="shared" si="66"/>
        <v>0</v>
      </c>
      <c r="E59">
        <f t="shared" si="2"/>
        <v>0</v>
      </c>
      <c r="F59">
        <f t="shared" si="67"/>
        <v>0</v>
      </c>
      <c r="G59">
        <f t="shared" si="3"/>
        <v>3</v>
      </c>
      <c r="H59">
        <f t="shared" si="4"/>
        <v>0</v>
      </c>
      <c r="I59">
        <f t="shared" si="68"/>
        <v>0</v>
      </c>
      <c r="J59" s="45">
        <v>7</v>
      </c>
      <c r="K59" s="41"/>
      <c r="L59" s="41" t="s">
        <v>348</v>
      </c>
      <c r="M59" s="24">
        <v>3</v>
      </c>
      <c r="N59" s="24" t="str">
        <v>GWS</v>
      </c>
      <c r="O59" s="41"/>
      <c r="P59" s="48"/>
      <c r="AB59" s="14"/>
      <c r="AC59" s="44"/>
      <c r="AD59" s="7" t="b">
        <f t="shared" si="77"/>
        <v>0</v>
      </c>
      <c r="AE59" s="7" t="str">
        <f t="shared" si="69"/>
        <v/>
      </c>
      <c r="AF59" s="7" t="str">
        <f t="shared" si="78"/>
        <v/>
      </c>
      <c r="AG59" s="7" t="str">
        <f t="shared" si="79"/>
        <v/>
      </c>
      <c r="AH59" s="9"/>
      <c r="AI59" s="7" t="str">
        <f t="shared" si="80"/>
        <v/>
      </c>
      <c r="AJ59" s="7" t="str">
        <f t="shared" si="81"/>
        <v/>
      </c>
      <c r="AK59" s="7"/>
      <c r="AL59" s="7" t="str">
        <f t="shared" si="82"/>
        <v/>
      </c>
      <c r="AM59" s="7"/>
      <c r="AN59" s="7" t="str">
        <f t="shared" si="70"/>
        <v/>
      </c>
      <c r="AO59" s="44"/>
      <c r="AP59" s="24"/>
      <c r="AQ59" s="7" t="str">
        <f t="shared" si="71"/>
        <v/>
      </c>
      <c r="AR59" s="24" t="str">
        <f t="shared" si="72"/>
        <v/>
      </c>
      <c r="AS59" s="24" t="str">
        <f t="shared" si="73"/>
        <v/>
      </c>
      <c r="AT59" s="24"/>
      <c r="AU59" s="24" t="str">
        <f t="shared" si="74"/>
        <v/>
      </c>
      <c r="AV59" s="24" t="str">
        <f t="shared" si="75"/>
        <v/>
      </c>
      <c r="AW59" s="24" t="str">
        <f t="shared" si="76"/>
        <v/>
      </c>
      <c r="AX59" s="41"/>
      <c r="AY59" s="41"/>
      <c r="AZ59" s="15"/>
      <c r="BD59" s="14" t="s">
        <v>316</v>
      </c>
      <c r="BE59" s="15">
        <v>1</v>
      </c>
    </row>
    <row r="60" spans="1:58">
      <c r="A60">
        <v>0</v>
      </c>
      <c r="B60">
        <v>0</v>
      </c>
      <c r="C60">
        <v>0</v>
      </c>
      <c r="D60">
        <f t="shared" si="66"/>
        <v>0</v>
      </c>
      <c r="E60">
        <f t="shared" si="2"/>
        <v>0</v>
      </c>
      <c r="F60">
        <f t="shared" si="67"/>
        <v>0</v>
      </c>
      <c r="G60">
        <f t="shared" si="3"/>
        <v>3</v>
      </c>
      <c r="H60">
        <f t="shared" si="4"/>
        <v>0</v>
      </c>
      <c r="I60">
        <f t="shared" si="68"/>
        <v>0</v>
      </c>
      <c r="J60" s="45">
        <v>7</v>
      </c>
      <c r="K60" s="41"/>
      <c r="L60" s="41" t="s">
        <v>264</v>
      </c>
      <c r="M60" s="24">
        <v>3</v>
      </c>
      <c r="N60" s="24" t="str">
        <v>GN</v>
      </c>
      <c r="O60" s="41"/>
      <c r="P60" s="48" t="s">
        <v>232</v>
      </c>
      <c r="AB60" s="14"/>
      <c r="AC60" s="44"/>
      <c r="AD60" s="7" t="b">
        <f t="shared" si="77"/>
        <v>0</v>
      </c>
      <c r="AE60" s="7" t="str">
        <f t="shared" si="69"/>
        <v/>
      </c>
      <c r="AF60" s="7" t="str">
        <f t="shared" si="78"/>
        <v/>
      </c>
      <c r="AG60" s="7" t="str">
        <f t="shared" si="79"/>
        <v/>
      </c>
      <c r="AH60" s="9"/>
      <c r="AI60" s="7" t="str">
        <f t="shared" si="80"/>
        <v/>
      </c>
      <c r="AJ60" s="7" t="str">
        <f t="shared" si="81"/>
        <v/>
      </c>
      <c r="AK60" s="7"/>
      <c r="AL60" s="7" t="str">
        <f t="shared" si="82"/>
        <v/>
      </c>
      <c r="AM60" s="7"/>
      <c r="AN60" s="7" t="str">
        <f t="shared" si="70"/>
        <v/>
      </c>
      <c r="AO60" s="44"/>
      <c r="AP60" s="24"/>
      <c r="AQ60" s="7" t="str">
        <f t="shared" si="71"/>
        <v/>
      </c>
      <c r="AR60" s="24" t="str">
        <f t="shared" si="72"/>
        <v/>
      </c>
      <c r="AS60" s="24" t="str">
        <f t="shared" si="73"/>
        <v/>
      </c>
      <c r="AT60" s="24"/>
      <c r="AU60" s="24" t="str">
        <f t="shared" si="74"/>
        <v/>
      </c>
      <c r="AV60" s="24" t="str">
        <f t="shared" si="75"/>
        <v/>
      </c>
      <c r="AW60" s="24" t="str">
        <f t="shared" si="76"/>
        <v/>
      </c>
      <c r="AX60" s="41"/>
      <c r="AY60" s="41"/>
      <c r="AZ60" s="15"/>
      <c r="BD60" s="14" t="s">
        <v>317</v>
      </c>
      <c r="BE60" s="26">
        <v>0</v>
      </c>
    </row>
    <row r="61" spans="1:58">
      <c r="A61">
        <v>0</v>
      </c>
      <c r="B61">
        <v>0</v>
      </c>
      <c r="C61">
        <v>0</v>
      </c>
      <c r="D61">
        <f t="shared" si="66"/>
        <v>0</v>
      </c>
      <c r="E61">
        <f t="shared" si="2"/>
        <v>0</v>
      </c>
      <c r="F61">
        <f t="shared" si="67"/>
        <v>0</v>
      </c>
      <c r="G61">
        <f t="shared" si="3"/>
        <v>1.5</v>
      </c>
      <c r="H61">
        <f t="shared" si="4"/>
        <v>0</v>
      </c>
      <c r="I61">
        <f t="shared" si="68"/>
        <v>0</v>
      </c>
      <c r="J61" s="45">
        <v>7</v>
      </c>
      <c r="K61" s="41"/>
      <c r="L61" s="41" t="s">
        <v>299</v>
      </c>
      <c r="M61" s="24">
        <v>1.5</v>
      </c>
      <c r="N61" s="24" t="str">
        <v>GHW</v>
      </c>
      <c r="O61" s="41"/>
      <c r="P61" s="48"/>
      <c r="AB61" s="14"/>
      <c r="AC61" s="44"/>
      <c r="AD61" s="7" t="b">
        <f t="shared" si="77"/>
        <v>0</v>
      </c>
      <c r="AE61" s="7" t="str">
        <f t="shared" si="69"/>
        <v/>
      </c>
      <c r="AF61" s="7" t="str">
        <f t="shared" si="78"/>
        <v/>
      </c>
      <c r="AG61" s="7" t="str">
        <f t="shared" si="79"/>
        <v/>
      </c>
      <c r="AH61" s="9"/>
      <c r="AI61" s="7" t="str">
        <f t="shared" si="80"/>
        <v/>
      </c>
      <c r="AJ61" s="7" t="str">
        <f t="shared" si="81"/>
        <v/>
      </c>
      <c r="AK61" s="7"/>
      <c r="AL61" s="7" t="str">
        <f t="shared" si="82"/>
        <v/>
      </c>
      <c r="AM61" s="7"/>
      <c r="AN61" s="7" t="str">
        <f t="shared" si="70"/>
        <v/>
      </c>
      <c r="AO61" s="44"/>
      <c r="AP61" s="24"/>
      <c r="AQ61" s="7" t="str">
        <f t="shared" si="71"/>
        <v/>
      </c>
      <c r="AR61" s="24" t="str">
        <f t="shared" si="72"/>
        <v/>
      </c>
      <c r="AS61" s="24" t="str">
        <f t="shared" si="73"/>
        <v/>
      </c>
      <c r="AT61" s="24"/>
      <c r="AU61" s="24" t="str">
        <f t="shared" si="74"/>
        <v/>
      </c>
      <c r="AV61" s="24" t="str">
        <f t="shared" si="75"/>
        <v/>
      </c>
      <c r="AW61" s="24" t="str">
        <f t="shared" si="76"/>
        <v/>
      </c>
      <c r="AX61" s="41"/>
      <c r="AY61" s="41"/>
      <c r="AZ61" s="15"/>
      <c r="BD61" s="55"/>
    </row>
    <row r="62" spans="1:58">
      <c r="A62">
        <v>0</v>
      </c>
      <c r="B62">
        <v>0</v>
      </c>
      <c r="C62">
        <v>0</v>
      </c>
      <c r="D62">
        <f t="shared" si="66"/>
        <v>0</v>
      </c>
      <c r="E62">
        <f t="shared" si="2"/>
        <v>0</v>
      </c>
      <c r="F62">
        <f t="shared" si="67"/>
        <v>0</v>
      </c>
      <c r="G62">
        <f t="shared" si="3"/>
        <v>0</v>
      </c>
      <c r="H62">
        <f t="shared" si="4"/>
        <v>0</v>
      </c>
      <c r="I62">
        <f t="shared" si="68"/>
        <v>0</v>
      </c>
      <c r="J62" s="45">
        <v>7</v>
      </c>
      <c r="K62" s="41"/>
      <c r="L62" s="41"/>
      <c r="M62" s="24" t="str">
        <v/>
      </c>
      <c r="N62" s="24" t="str">
        <v/>
      </c>
      <c r="O62" s="41"/>
      <c r="P62" s="48"/>
      <c r="AB62" s="14"/>
      <c r="AC62" s="7"/>
      <c r="AD62" s="7"/>
      <c r="AE62" s="7"/>
      <c r="AF62" s="7"/>
      <c r="AG62" s="7"/>
      <c r="AH62" s="9"/>
      <c r="AI62" s="7"/>
      <c r="AJ62" s="7"/>
      <c r="AK62" s="7"/>
      <c r="AL62" s="7"/>
      <c r="AM62" s="7"/>
      <c r="AN62" s="7"/>
      <c r="AO62" s="7"/>
      <c r="AP62" s="24"/>
      <c r="AQ62" s="7"/>
      <c r="AR62" s="24"/>
      <c r="AS62" s="24"/>
      <c r="AT62" s="24"/>
      <c r="AU62" s="24"/>
      <c r="AV62" s="24"/>
      <c r="AW62" s="24"/>
      <c r="AX62" s="41"/>
      <c r="AY62" s="41"/>
      <c r="AZ62" s="15"/>
      <c r="BD62" s="237" t="s">
        <v>321</v>
      </c>
    </row>
    <row r="63" spans="1:58">
      <c r="A63">
        <v>0</v>
      </c>
      <c r="B63">
        <v>0</v>
      </c>
      <c r="C63">
        <v>0</v>
      </c>
      <c r="D63">
        <f t="shared" si="66"/>
        <v>0</v>
      </c>
      <c r="E63">
        <f t="shared" si="2"/>
        <v>0</v>
      </c>
      <c r="F63">
        <f t="shared" si="67"/>
        <v>0</v>
      </c>
      <c r="G63">
        <f t="shared" si="3"/>
        <v>0</v>
      </c>
      <c r="H63">
        <f t="shared" si="4"/>
        <v>0</v>
      </c>
      <c r="I63">
        <f t="shared" si="68"/>
        <v>0</v>
      </c>
      <c r="J63" s="45">
        <v>7</v>
      </c>
      <c r="K63" s="41"/>
      <c r="L63" s="41"/>
      <c r="M63" s="24" t="str">
        <v/>
      </c>
      <c r="N63" s="24" t="str">
        <v/>
      </c>
      <c r="O63" s="41"/>
      <c r="P63" s="48"/>
      <c r="AB63" s="14"/>
      <c r="AC63" s="24"/>
      <c r="AD63" s="24"/>
      <c r="AE63" s="24"/>
      <c r="AF63" s="24"/>
      <c r="AG63" s="24"/>
      <c r="AH63" s="24"/>
      <c r="AI63" s="24"/>
      <c r="AJ63" s="24"/>
      <c r="AK63" s="24"/>
      <c r="AL63" s="24"/>
      <c r="AM63" s="24"/>
      <c r="AN63" s="24"/>
      <c r="AO63" s="24"/>
      <c r="AP63" s="24"/>
      <c r="AQ63" s="24"/>
      <c r="AR63" s="24"/>
      <c r="AS63" s="24"/>
      <c r="AT63" s="22"/>
      <c r="AU63" s="22"/>
      <c r="AV63" s="22"/>
      <c r="AW63" s="22"/>
      <c r="AX63" s="7"/>
      <c r="AY63" s="7"/>
      <c r="AZ63" s="191"/>
      <c r="BD63" s="33" t="b">
        <v>1</v>
      </c>
    </row>
    <row r="64" spans="1:58">
      <c r="A64">
        <v>0</v>
      </c>
      <c r="B64">
        <v>0</v>
      </c>
      <c r="C64">
        <v>0</v>
      </c>
      <c r="D64">
        <f t="shared" si="66"/>
        <v>0</v>
      </c>
      <c r="E64">
        <f t="shared" si="2"/>
        <v>0</v>
      </c>
      <c r="F64">
        <f t="shared" si="67"/>
        <v>0</v>
      </c>
      <c r="G64">
        <f t="shared" si="3"/>
        <v>0</v>
      </c>
      <c r="H64">
        <f t="shared" si="4"/>
        <v>0</v>
      </c>
      <c r="I64">
        <f t="shared" si="68"/>
        <v>0</v>
      </c>
      <c r="J64" s="54">
        <v>7</v>
      </c>
      <c r="K64" s="43"/>
      <c r="L64" s="43"/>
      <c r="M64" s="10" t="str">
        <v/>
      </c>
      <c r="N64" s="10" t="str">
        <v/>
      </c>
      <c r="O64" s="43"/>
      <c r="P64" s="49"/>
      <c r="AB64" s="13"/>
      <c r="AC64" s="10"/>
      <c r="AD64" s="10"/>
      <c r="AE64" s="10"/>
      <c r="AF64" s="10"/>
      <c r="AG64" s="10"/>
      <c r="AH64" s="10"/>
      <c r="AI64" s="10"/>
      <c r="AJ64" s="10"/>
      <c r="AK64" s="10"/>
      <c r="AL64" s="10"/>
      <c r="AM64" s="10"/>
      <c r="AN64" s="10"/>
      <c r="AO64" s="10"/>
      <c r="AP64" s="10"/>
      <c r="AQ64" s="10"/>
      <c r="AR64" s="10"/>
      <c r="AS64" s="10"/>
      <c r="AT64" s="31"/>
      <c r="AU64" s="31"/>
      <c r="AV64" s="31"/>
      <c r="AW64" s="31"/>
      <c r="AX64" s="10"/>
      <c r="AY64" s="10"/>
      <c r="AZ64" s="26"/>
      <c r="BD64" s="34" t="b">
        <v>0</v>
      </c>
    </row>
    <row r="65" spans="1:56">
      <c r="A65">
        <v>0</v>
      </c>
      <c r="B65">
        <v>0</v>
      </c>
      <c r="C65">
        <v>0</v>
      </c>
      <c r="D65">
        <f t="shared" si="66"/>
        <v>0</v>
      </c>
      <c r="E65">
        <f t="shared" si="2"/>
        <v>0</v>
      </c>
      <c r="F65">
        <f t="shared" si="67"/>
        <v>0</v>
      </c>
      <c r="G65">
        <f t="shared" si="3"/>
        <v>3</v>
      </c>
      <c r="H65">
        <f t="shared" si="4"/>
        <v>0</v>
      </c>
      <c r="I65">
        <f t="shared" si="68"/>
        <v>0</v>
      </c>
      <c r="J65" s="50">
        <v>8</v>
      </c>
      <c r="K65" s="51"/>
      <c r="L65" s="51" t="s">
        <v>275</v>
      </c>
      <c r="M65" s="55">
        <v>3</v>
      </c>
      <c r="N65" s="55" t="str">
        <v/>
      </c>
      <c r="O65" s="51"/>
      <c r="P65" s="52"/>
      <c r="BD65" s="24"/>
    </row>
    <row r="66" spans="1:56">
      <c r="A66">
        <v>0</v>
      </c>
      <c r="B66">
        <v>0</v>
      </c>
      <c r="C66">
        <v>0</v>
      </c>
      <c r="D66">
        <f t="shared" ref="D66:D82" si="83">IFERROR(INDEX(grade_number, MATCH(K66, grade_letter, 0))*M66,0)</f>
        <v>0</v>
      </c>
      <c r="E66">
        <f t="shared" si="2"/>
        <v>0</v>
      </c>
      <c r="F66">
        <f t="shared" ref="F66:F82" si="84">IF(gpa_tf, D66*B66, D66*A66)</f>
        <v>0</v>
      </c>
      <c r="G66">
        <f t="shared" si="3"/>
        <v>3</v>
      </c>
      <c r="H66">
        <f t="shared" si="4"/>
        <v>0</v>
      </c>
      <c r="I66">
        <f t="shared" ref="I66:I82" si="85">IF(gpa_tf, G66*B66, G66*A66)</f>
        <v>0</v>
      </c>
      <c r="J66" s="46">
        <v>8</v>
      </c>
      <c r="K66" s="41"/>
      <c r="L66" s="41" t="s">
        <v>210</v>
      </c>
      <c r="M66" s="24">
        <v>3</v>
      </c>
      <c r="N66" s="24" t="str">
        <v/>
      </c>
      <c r="O66" s="41"/>
      <c r="P66" s="48"/>
      <c r="AB66" s="93" t="s">
        <v>313</v>
      </c>
      <c r="AC66" s="92"/>
      <c r="AD66" s="92"/>
      <c r="AE66" s="92"/>
      <c r="AF66" s="92"/>
      <c r="AG66" s="92"/>
      <c r="AH66" s="92"/>
      <c r="AI66" s="92"/>
      <c r="AJ66" s="92"/>
      <c r="AK66" s="92"/>
      <c r="AL66" s="92"/>
      <c r="AM66" s="92"/>
      <c r="AN66" s="92"/>
      <c r="AO66" s="92"/>
      <c r="AP66" s="92"/>
      <c r="AQ66" s="92"/>
      <c r="AR66" s="92"/>
      <c r="AS66" s="92"/>
      <c r="AT66" s="92"/>
      <c r="AU66" s="92"/>
      <c r="AV66" s="92"/>
      <c r="AW66" s="92"/>
      <c r="AX66" s="92"/>
      <c r="AY66" s="92"/>
      <c r="AZ66" s="94"/>
      <c r="BD66" s="36" t="s">
        <v>325</v>
      </c>
    </row>
    <row r="67" spans="1:56">
      <c r="A67">
        <v>0</v>
      </c>
      <c r="B67">
        <v>0</v>
      </c>
      <c r="C67">
        <v>0</v>
      </c>
      <c r="D67">
        <f t="shared" si="83"/>
        <v>0</v>
      </c>
      <c r="E67">
        <f t="shared" ref="E67:E82" si="86">D67*C67</f>
        <v>0</v>
      </c>
      <c r="F67">
        <f t="shared" si="84"/>
        <v>0</v>
      </c>
      <c r="G67">
        <f t="shared" ref="G67:G82" si="87">IF(M67="",0,M67)</f>
        <v>3</v>
      </c>
      <c r="H67">
        <f t="shared" ref="H67:H82" si="88">G67*C67</f>
        <v>0</v>
      </c>
      <c r="I67">
        <f t="shared" si="85"/>
        <v>0</v>
      </c>
      <c r="J67" s="46">
        <v>8</v>
      </c>
      <c r="K67" s="41"/>
      <c r="L67" s="41" t="s">
        <v>318</v>
      </c>
      <c r="M67" s="24">
        <v>3</v>
      </c>
      <c r="N67" s="24" t="str">
        <v>GH</v>
      </c>
      <c r="O67" s="41" t="b">
        <v>1</v>
      </c>
      <c r="P67" s="48" t="s">
        <v>228</v>
      </c>
      <c r="AB67" s="89" t="s">
        <v>73</v>
      </c>
      <c r="AC67" s="88" t="s">
        <v>33</v>
      </c>
      <c r="AD67" s="5" t="s">
        <v>104</v>
      </c>
      <c r="AE67" s="5" t="s">
        <v>105</v>
      </c>
      <c r="AF67" s="5" t="s">
        <v>106</v>
      </c>
      <c r="AG67" s="5" t="s">
        <v>107</v>
      </c>
      <c r="AH67" s="5" t="s">
        <v>108</v>
      </c>
      <c r="AI67" s="5" t="s">
        <v>109</v>
      </c>
      <c r="AJ67" s="5" t="s">
        <v>110</v>
      </c>
      <c r="AK67" s="5" t="s">
        <v>111</v>
      </c>
      <c r="AL67" s="5" t="s">
        <v>112</v>
      </c>
      <c r="AM67" s="5" t="s">
        <v>113</v>
      </c>
      <c r="AN67" s="5" t="s">
        <v>114</v>
      </c>
      <c r="AO67" s="88" t="s">
        <v>35</v>
      </c>
      <c r="AP67" s="88" t="s">
        <v>77</v>
      </c>
      <c r="AQ67" s="91" t="s">
        <v>104</v>
      </c>
      <c r="AR67" s="5" t="s">
        <v>105</v>
      </c>
      <c r="AS67" s="5" t="s">
        <v>115</v>
      </c>
      <c r="AT67" s="88" t="s">
        <v>79</v>
      </c>
      <c r="AU67" s="91" t="s">
        <v>104</v>
      </c>
      <c r="AV67" s="91" t="s">
        <v>105</v>
      </c>
      <c r="AW67" s="5" t="s">
        <v>116</v>
      </c>
      <c r="AX67" s="88" t="s">
        <v>80</v>
      </c>
      <c r="AY67" s="88" t="s">
        <v>37</v>
      </c>
      <c r="AZ67" s="90" t="s">
        <v>83</v>
      </c>
      <c r="BD67" s="33" t="s">
        <v>228</v>
      </c>
    </row>
    <row r="68" spans="1:56">
      <c r="A68">
        <v>0</v>
      </c>
      <c r="B68">
        <v>0</v>
      </c>
      <c r="C68">
        <v>0</v>
      </c>
      <c r="D68">
        <f t="shared" si="83"/>
        <v>0</v>
      </c>
      <c r="E68">
        <f t="shared" si="86"/>
        <v>0</v>
      </c>
      <c r="F68">
        <f t="shared" si="84"/>
        <v>0</v>
      </c>
      <c r="G68">
        <f t="shared" si="87"/>
        <v>3</v>
      </c>
      <c r="H68">
        <f t="shared" si="88"/>
        <v>0</v>
      </c>
      <c r="I68">
        <f t="shared" si="85"/>
        <v>0</v>
      </c>
      <c r="J68" s="46">
        <v>8</v>
      </c>
      <c r="K68" s="41"/>
      <c r="L68" s="41" t="s">
        <v>264</v>
      </c>
      <c r="M68" s="24">
        <v>3</v>
      </c>
      <c r="N68" s="24" t="str">
        <v>GN</v>
      </c>
      <c r="O68" s="41" t="b">
        <v>1</v>
      </c>
      <c r="P68" s="48"/>
      <c r="AB68" s="14"/>
      <c r="AC68" s="24" t="s">
        <v>138</v>
      </c>
      <c r="AD68" s="7" t="b">
        <f>NOT(ISERROR(MATCH(AC68,schedule_courses,0)))</f>
        <v>0</v>
      </c>
      <c r="AE68" s="7">
        <f>IF(AX68,0,IFERROR(INDEX(schedule_semester,MATCH(AC68,schedule_courses,0)), ""))</f>
        <v>0</v>
      </c>
      <c r="AF68" s="7">
        <f>IF(ISNA(MATCH(AC68, $R$6:$R$7, 0)), "", $R$3)</f>
        <v>3</v>
      </c>
      <c r="AG68" s="7" t="b">
        <f>IF(AE68="", "", AE68&lt;AF68)</f>
        <v>1</v>
      </c>
      <c r="AH68" s="7"/>
      <c r="AI68" s="7" t="b">
        <f>IF(AE68="", "", AE68&gt;=AH68)</f>
        <v>1</v>
      </c>
      <c r="AJ68" s="7">
        <f>IF(AE68="","",IF(MOD(AE68,2)=0,2,1))</f>
        <v>2</v>
      </c>
      <c r="AK68" s="7"/>
      <c r="AL68" s="7" t="str">
        <f>IF(AK68&lt;&gt;0, AK68&lt;&gt;AJ68, "")</f>
        <v/>
      </c>
      <c r="AM68" s="7"/>
      <c r="AN68" s="7" t="str">
        <f>IFERROR(IF(AM68, INDEX(grade_number, MATCH(INDEX(schedule_grades, MATCH(AC68, schedule_courses, 0)), grade_letter, 0))&gt;=2, ""), "")</f>
        <v/>
      </c>
      <c r="AO68" s="24">
        <v>3</v>
      </c>
      <c r="AP68" s="24"/>
      <c r="AQ68" s="7" t="str">
        <f t="shared" ref="AQ68:AQ102" si="89">IF(AP68=0,"",NOT(ISERROR(MATCH(AP68,schedule_courses,0))))</f>
        <v/>
      </c>
      <c r="AR68" s="7" t="str">
        <f t="shared" ref="AR68:AR102" si="90">IF(IFERROR(INDEX(req_tr_AP_credit, MATCH(AP68, req_course,0)), FALSE),0,IFERROR(INDEX(schedule_semester,MATCH(AP68,schedule_courses,0)), ""))</f>
        <v/>
      </c>
      <c r="AS68" s="7" t="str">
        <f>IF(AR68&lt;&gt;"", AR68&lt;AE68, "")</f>
        <v/>
      </c>
      <c r="AT68" s="24"/>
      <c r="AU68" s="7" t="str">
        <f t="shared" ref="AU68:AU102" si="91">IF(AT68=0,"",NOT(ISERROR(MATCH(AT68,schedule_courses,0))))</f>
        <v/>
      </c>
      <c r="AV68" s="7" t="str">
        <f t="shared" ref="AV68:AV102" si="92">IF(IFERROR(INDEX(req_tr_AP_credit, MATCH(AT68, req_course)), FALSE),0,IFERROR(INDEX(schedule_semester,MATCH(AT68,schedule_courses,0)), ""))</f>
        <v/>
      </c>
      <c r="AW68" s="7" t="str">
        <f>IF(AV68&lt;&gt;"", AV68&lt;=AE68, "")</f>
        <v/>
      </c>
      <c r="AX68" s="41" t="b">
        <v>1</v>
      </c>
      <c r="AY68" s="24" t="s">
        <v>154</v>
      </c>
      <c r="AZ68" s="15"/>
      <c r="BD68" s="34" t="s">
        <v>232</v>
      </c>
    </row>
    <row r="69" spans="1:56">
      <c r="A69">
        <v>0</v>
      </c>
      <c r="B69">
        <v>0</v>
      </c>
      <c r="C69">
        <v>0</v>
      </c>
      <c r="D69">
        <f t="shared" si="83"/>
        <v>0</v>
      </c>
      <c r="E69">
        <f t="shared" si="86"/>
        <v>0</v>
      </c>
      <c r="F69">
        <f t="shared" si="84"/>
        <v>0</v>
      </c>
      <c r="G69">
        <f t="shared" si="87"/>
        <v>1.5</v>
      </c>
      <c r="H69">
        <f t="shared" si="88"/>
        <v>0</v>
      </c>
      <c r="I69">
        <f t="shared" si="85"/>
        <v>0</v>
      </c>
      <c r="J69" s="46">
        <v>8</v>
      </c>
      <c r="K69" s="41"/>
      <c r="L69" s="41" t="s">
        <v>299</v>
      </c>
      <c r="M69" s="24">
        <v>1.5</v>
      </c>
      <c r="N69" s="24" t="str">
        <v>GHW</v>
      </c>
      <c r="O69" s="41"/>
      <c r="P69" s="48"/>
      <c r="AB69" s="14"/>
      <c r="AC69" s="24" t="s">
        <v>103</v>
      </c>
      <c r="AD69" s="24" t="b">
        <f>NOT(ISERROR(MATCH(AC69,schedule_courses,0)))</f>
        <v>1</v>
      </c>
      <c r="AE69" s="24">
        <f>IF(AX69,0,IFERROR(INDEX(schedule_semester,MATCH(AC69,schedule_courses,0)), ""))</f>
        <v>1</v>
      </c>
      <c r="AF69" s="24">
        <f>IF(ISNA(MATCH(AC69, $R$6:$R$7, 0)), "", $R$3)</f>
        <v>3</v>
      </c>
      <c r="AG69" s="24" t="b">
        <f t="shared" ref="AG69:AG99" si="93">IF(AE69="", "", AE69&lt;AF69)</f>
        <v>1</v>
      </c>
      <c r="AH69" s="24"/>
      <c r="AI69" s="7" t="b">
        <f t="shared" ref="AI69:AI99" si="94">IF(AE69="", "", AE69&gt;=AH69)</f>
        <v>1</v>
      </c>
      <c r="AJ69" s="24">
        <f t="shared" ref="AJ69:AJ99" si="95">IF(AE69="","",IF(MOD(AE69,2)=0,2,1))</f>
        <v>1</v>
      </c>
      <c r="AK69" s="24"/>
      <c r="AL69" s="24" t="str">
        <f t="shared" ref="AL69:AL99" si="96">IF(AK69&lt;&gt;0, AK69&lt;&gt;AJ69, "")</f>
        <v/>
      </c>
      <c r="AM69" s="24"/>
      <c r="AN69" s="24" t="str">
        <f>IFERROR(IF(AM69, INDEX(grade_number, MATCH(INDEX(schedule_grades, MATCH(AC69, schedule_courses, 0)), grade_letter, 0))&gt;=2, ""), "")</f>
        <v/>
      </c>
      <c r="AO69" s="24">
        <v>3</v>
      </c>
      <c r="AP69" s="24" t="s">
        <v>138</v>
      </c>
      <c r="AQ69" s="24" t="b">
        <f t="shared" si="89"/>
        <v>0</v>
      </c>
      <c r="AR69" s="24">
        <f t="shared" si="90"/>
        <v>0</v>
      </c>
      <c r="AS69" s="24" t="b">
        <f t="shared" ref="AS69:AS102" si="97">IF(AR69&lt;&gt;"", AR69&lt;AE69, "")</f>
        <v>1</v>
      </c>
      <c r="AT69" s="24"/>
      <c r="AU69" s="24" t="str">
        <f t="shared" si="91"/>
        <v/>
      </c>
      <c r="AV69" s="24" t="str">
        <f t="shared" si="92"/>
        <v/>
      </c>
      <c r="AW69" s="24" t="str">
        <f t="shared" ref="AW69:AW102" si="98">IF(AV69&lt;&gt;"", AV69&lt;=AE69, "")</f>
        <v/>
      </c>
      <c r="AX69" s="41"/>
      <c r="AY69" s="24" t="s">
        <v>154</v>
      </c>
      <c r="AZ69" s="15"/>
      <c r="BD69" s="24"/>
    </row>
    <row r="70" spans="1:56">
      <c r="A70">
        <v>0</v>
      </c>
      <c r="B70">
        <v>0</v>
      </c>
      <c r="C70">
        <v>0</v>
      </c>
      <c r="D70">
        <f t="shared" si="83"/>
        <v>0</v>
      </c>
      <c r="E70">
        <f t="shared" si="86"/>
        <v>0</v>
      </c>
      <c r="F70">
        <f t="shared" si="84"/>
        <v>0</v>
      </c>
      <c r="G70">
        <f t="shared" si="87"/>
        <v>0</v>
      </c>
      <c r="H70">
        <f t="shared" si="88"/>
        <v>0</v>
      </c>
      <c r="I70">
        <f t="shared" si="85"/>
        <v>0</v>
      </c>
      <c r="J70" s="46">
        <v>8</v>
      </c>
      <c r="K70" s="41"/>
      <c r="L70" s="41"/>
      <c r="M70" s="24" t="str">
        <v/>
      </c>
      <c r="N70" s="24" t="str">
        <v/>
      </c>
      <c r="O70" s="41"/>
      <c r="P70" s="48"/>
      <c r="AB70" s="16"/>
      <c r="AC70" s="24"/>
      <c r="AD70" s="24"/>
      <c r="AE70" s="24"/>
      <c r="AF70" s="24"/>
      <c r="AG70" s="24"/>
      <c r="AH70" s="24"/>
      <c r="AI70" s="7"/>
      <c r="AJ70" s="24"/>
      <c r="AK70" s="24"/>
      <c r="AL70" s="24"/>
      <c r="AM70" s="24"/>
      <c r="AN70" s="24"/>
      <c r="AO70" s="24"/>
      <c r="AP70" s="24"/>
      <c r="AQ70" s="24" t="str">
        <f t="shared" si="89"/>
        <v/>
      </c>
      <c r="AR70" s="24" t="str">
        <f t="shared" si="90"/>
        <v/>
      </c>
      <c r="AS70" s="24" t="str">
        <f t="shared" si="97"/>
        <v/>
      </c>
      <c r="AT70" s="24"/>
      <c r="AU70" s="24" t="str">
        <f t="shared" si="91"/>
        <v/>
      </c>
      <c r="AV70" s="24" t="str">
        <f t="shared" si="92"/>
        <v/>
      </c>
      <c r="AW70" s="24" t="str">
        <f t="shared" si="98"/>
        <v/>
      </c>
      <c r="AX70" s="41"/>
      <c r="AY70" s="24"/>
      <c r="AZ70" s="15"/>
      <c r="BD70" s="24"/>
    </row>
    <row r="71" spans="1:56">
      <c r="A71">
        <v>0</v>
      </c>
      <c r="B71">
        <v>0</v>
      </c>
      <c r="C71">
        <v>0</v>
      </c>
      <c r="D71">
        <f t="shared" si="83"/>
        <v>0</v>
      </c>
      <c r="E71">
        <f t="shared" si="86"/>
        <v>0</v>
      </c>
      <c r="F71">
        <f t="shared" si="84"/>
        <v>0</v>
      </c>
      <c r="G71">
        <f t="shared" si="87"/>
        <v>0</v>
      </c>
      <c r="H71">
        <f t="shared" si="88"/>
        <v>0</v>
      </c>
      <c r="I71">
        <f t="shared" si="85"/>
        <v>0</v>
      </c>
      <c r="J71" s="46">
        <v>8</v>
      </c>
      <c r="K71" s="41"/>
      <c r="L71" s="41"/>
      <c r="M71" s="24" t="str">
        <v/>
      </c>
      <c r="N71" s="24" t="str">
        <v/>
      </c>
      <c r="O71" s="41"/>
      <c r="P71" s="48"/>
      <c r="AB71" s="16" t="s">
        <v>401</v>
      </c>
      <c r="AC71" s="38" t="s">
        <v>320</v>
      </c>
      <c r="AD71" s="24" t="b">
        <f t="shared" ref="AD71:AD76" si="99">NOT(ISERROR(MATCH(AC71,schedule_courses,0)))</f>
        <v>0</v>
      </c>
      <c r="AE71" s="24" t="str">
        <f t="shared" ref="AE71:AE76" si="100">IF(AX71,0,IFERROR(INDEX(schedule_semester,MATCH(AC71,schedule_courses,0)), ""))</f>
        <v/>
      </c>
      <c r="AF71" s="24" t="str">
        <f t="shared" ref="AF71:AF76" si="101">IF(ISNA(MATCH(AC71, $R$6:$R$7, 0)), "", $R$3)</f>
        <v/>
      </c>
      <c r="AG71" s="24" t="str">
        <f t="shared" si="93"/>
        <v/>
      </c>
      <c r="AH71" s="24"/>
      <c r="AI71" s="7" t="str">
        <f t="shared" si="94"/>
        <v/>
      </c>
      <c r="AJ71" s="24" t="str">
        <f t="shared" si="95"/>
        <v/>
      </c>
      <c r="AK71" s="24"/>
      <c r="AL71" s="24" t="str">
        <f t="shared" si="96"/>
        <v/>
      </c>
      <c r="AM71" s="24"/>
      <c r="AN71" s="24" t="str">
        <f t="shared" ref="AN71:AN76" si="102">IFERROR(IF(AM71, INDEX(grade_number, MATCH(INDEX(schedule_grades, MATCH(AC71, schedule_courses, 0)), grade_letter, 0))&gt;=2, ""), "")</f>
        <v/>
      </c>
      <c r="AO71" s="24">
        <v>3</v>
      </c>
      <c r="AP71" s="24"/>
      <c r="AQ71" s="24" t="str">
        <f t="shared" si="89"/>
        <v/>
      </c>
      <c r="AR71" s="24" t="str">
        <f t="shared" si="90"/>
        <v/>
      </c>
      <c r="AS71" s="24" t="str">
        <f t="shared" si="97"/>
        <v/>
      </c>
      <c r="AT71" s="24"/>
      <c r="AU71" s="24" t="str">
        <f t="shared" si="91"/>
        <v/>
      </c>
      <c r="AV71" s="24" t="str">
        <f t="shared" si="92"/>
        <v/>
      </c>
      <c r="AW71" s="24" t="str">
        <f t="shared" si="98"/>
        <v/>
      </c>
      <c r="AX71" s="41"/>
      <c r="AY71" s="24" t="s">
        <v>154</v>
      </c>
      <c r="AZ71" s="15"/>
      <c r="BD71" s="24"/>
    </row>
    <row r="72" spans="1:56">
      <c r="A72">
        <v>0</v>
      </c>
      <c r="B72">
        <v>0</v>
      </c>
      <c r="C72">
        <v>0</v>
      </c>
      <c r="D72">
        <f t="shared" si="83"/>
        <v>0</v>
      </c>
      <c r="E72">
        <f t="shared" si="86"/>
        <v>0</v>
      </c>
      <c r="F72">
        <f t="shared" si="84"/>
        <v>0</v>
      </c>
      <c r="G72">
        <f t="shared" si="87"/>
        <v>0</v>
      </c>
      <c r="H72">
        <f t="shared" si="88"/>
        <v>0</v>
      </c>
      <c r="I72">
        <f t="shared" si="85"/>
        <v>0</v>
      </c>
      <c r="J72" s="46">
        <v>8</v>
      </c>
      <c r="K72" s="41"/>
      <c r="L72" s="41"/>
      <c r="M72" s="24" t="str">
        <v/>
      </c>
      <c r="N72" s="24" t="str">
        <v/>
      </c>
      <c r="O72" s="41"/>
      <c r="P72" s="48"/>
      <c r="AB72" s="70">
        <v>2</v>
      </c>
      <c r="AC72" s="33" t="s">
        <v>322</v>
      </c>
      <c r="AD72" s="24" t="b">
        <f t="shared" si="99"/>
        <v>0</v>
      </c>
      <c r="AE72" s="24" t="str">
        <f t="shared" si="100"/>
        <v/>
      </c>
      <c r="AF72" s="24" t="str">
        <f t="shared" si="101"/>
        <v/>
      </c>
      <c r="AG72" s="24" t="str">
        <f t="shared" si="93"/>
        <v/>
      </c>
      <c r="AH72" s="24"/>
      <c r="AI72" s="7" t="str">
        <f t="shared" si="94"/>
        <v/>
      </c>
      <c r="AJ72" s="24" t="str">
        <f t="shared" si="95"/>
        <v/>
      </c>
      <c r="AK72" s="24"/>
      <c r="AL72" s="24" t="str">
        <f t="shared" si="96"/>
        <v/>
      </c>
      <c r="AM72" s="24"/>
      <c r="AN72" s="24" t="str">
        <f t="shared" si="102"/>
        <v/>
      </c>
      <c r="AO72" s="29">
        <v>3</v>
      </c>
      <c r="AP72" s="24" t="s">
        <v>103</v>
      </c>
      <c r="AQ72" s="24" t="b">
        <f t="shared" si="89"/>
        <v>1</v>
      </c>
      <c r="AR72" s="24">
        <f t="shared" si="90"/>
        <v>1</v>
      </c>
      <c r="AS72" s="24" t="b">
        <f t="shared" si="97"/>
        <v>1</v>
      </c>
      <c r="AT72" s="24"/>
      <c r="AU72" s="24" t="str">
        <f t="shared" si="91"/>
        <v/>
      </c>
      <c r="AV72" s="24" t="str">
        <f t="shared" si="92"/>
        <v/>
      </c>
      <c r="AW72" s="24" t="str">
        <f t="shared" si="98"/>
        <v/>
      </c>
      <c r="AX72" s="41"/>
      <c r="AY72" s="24"/>
      <c r="AZ72" s="15"/>
      <c r="BD72" s="24"/>
    </row>
    <row r="73" spans="1:56">
      <c r="A73">
        <v>0</v>
      </c>
      <c r="B73">
        <v>0</v>
      </c>
      <c r="C73">
        <v>0</v>
      </c>
      <c r="D73">
        <f t="shared" si="83"/>
        <v>0</v>
      </c>
      <c r="E73">
        <f t="shared" si="86"/>
        <v>0</v>
      </c>
      <c r="F73">
        <f t="shared" si="84"/>
        <v>0</v>
      </c>
      <c r="G73">
        <f t="shared" si="87"/>
        <v>0</v>
      </c>
      <c r="H73">
        <f t="shared" si="88"/>
        <v>0</v>
      </c>
      <c r="I73">
        <f t="shared" si="85"/>
        <v>0</v>
      </c>
      <c r="J73" s="47">
        <v>8</v>
      </c>
      <c r="K73" s="43"/>
      <c r="L73" s="43"/>
      <c r="M73" s="10" t="str">
        <v/>
      </c>
      <c r="N73" s="10" t="str">
        <v/>
      </c>
      <c r="O73" s="43"/>
      <c r="P73" s="49"/>
      <c r="AB73" s="14"/>
      <c r="AC73" s="33" t="s">
        <v>323</v>
      </c>
      <c r="AD73" s="24" t="b">
        <f t="shared" si="99"/>
        <v>0</v>
      </c>
      <c r="AE73" s="24" t="str">
        <f t="shared" si="100"/>
        <v/>
      </c>
      <c r="AF73" s="24" t="str">
        <f t="shared" si="101"/>
        <v/>
      </c>
      <c r="AG73" s="24" t="str">
        <f t="shared" si="93"/>
        <v/>
      </c>
      <c r="AH73" s="24"/>
      <c r="AI73" s="7" t="str">
        <f t="shared" si="94"/>
        <v/>
      </c>
      <c r="AJ73" s="24" t="str">
        <f t="shared" si="95"/>
        <v/>
      </c>
      <c r="AK73" s="24"/>
      <c r="AL73" s="24" t="str">
        <f t="shared" si="96"/>
        <v/>
      </c>
      <c r="AM73" s="24"/>
      <c r="AN73" s="24" t="str">
        <f t="shared" si="102"/>
        <v/>
      </c>
      <c r="AO73" s="29">
        <v>3</v>
      </c>
      <c r="AP73" s="24" t="s">
        <v>383</v>
      </c>
      <c r="AQ73" s="24" t="b">
        <f t="shared" si="89"/>
        <v>1</v>
      </c>
      <c r="AR73" s="24">
        <f t="shared" si="90"/>
        <v>2</v>
      </c>
      <c r="AS73" s="24" t="b">
        <f t="shared" si="97"/>
        <v>1</v>
      </c>
      <c r="AT73" s="24"/>
      <c r="AU73" s="24" t="str">
        <f t="shared" si="91"/>
        <v/>
      </c>
      <c r="AV73" s="24" t="str">
        <f t="shared" si="92"/>
        <v/>
      </c>
      <c r="AW73" s="24" t="str">
        <f t="shared" si="98"/>
        <v/>
      </c>
      <c r="AX73" s="41"/>
      <c r="AY73" s="24"/>
      <c r="AZ73" s="15"/>
      <c r="BD73" s="73"/>
    </row>
    <row r="74" spans="1:56">
      <c r="A74">
        <v>0</v>
      </c>
      <c r="B74">
        <v>1</v>
      </c>
      <c r="C74">
        <v>1</v>
      </c>
      <c r="D74">
        <f t="shared" si="83"/>
        <v>0</v>
      </c>
      <c r="E74">
        <f t="shared" si="86"/>
        <v>0</v>
      </c>
      <c r="F74">
        <f t="shared" si="84"/>
        <v>0</v>
      </c>
      <c r="G74">
        <f t="shared" si="87"/>
        <v>0</v>
      </c>
      <c r="H74">
        <f t="shared" si="88"/>
        <v>0</v>
      </c>
      <c r="I74">
        <f t="shared" si="85"/>
        <v>0</v>
      </c>
      <c r="J74" s="169"/>
      <c r="K74" s="51"/>
      <c r="L74" s="51"/>
      <c r="M74" s="55" t="str">
        <v/>
      </c>
      <c r="N74" s="55" t="str">
        <v/>
      </c>
      <c r="O74" s="51"/>
      <c r="P74" s="52"/>
      <c r="AB74" s="14"/>
      <c r="AC74" s="33" t="s">
        <v>324</v>
      </c>
      <c r="AD74" s="24" t="b">
        <f t="shared" si="99"/>
        <v>0</v>
      </c>
      <c r="AE74" s="24" t="str">
        <f t="shared" si="100"/>
        <v/>
      </c>
      <c r="AF74" s="24" t="str">
        <f t="shared" si="101"/>
        <v/>
      </c>
      <c r="AG74" s="24" t="str">
        <f t="shared" si="93"/>
        <v/>
      </c>
      <c r="AH74" s="24"/>
      <c r="AI74" s="7" t="str">
        <f t="shared" si="94"/>
        <v/>
      </c>
      <c r="AJ74" s="24" t="str">
        <f t="shared" si="95"/>
        <v/>
      </c>
      <c r="AK74" s="24"/>
      <c r="AL74" s="24" t="str">
        <f t="shared" si="96"/>
        <v/>
      </c>
      <c r="AM74" s="24"/>
      <c r="AN74" s="24" t="str">
        <f t="shared" si="102"/>
        <v/>
      </c>
      <c r="AO74" s="29">
        <v>3</v>
      </c>
      <c r="AP74" s="29" t="s">
        <v>103</v>
      </c>
      <c r="AQ74" s="29" t="b">
        <f t="shared" si="89"/>
        <v>1</v>
      </c>
      <c r="AR74" s="29">
        <f t="shared" si="90"/>
        <v>1</v>
      </c>
      <c r="AS74" s="29" t="b">
        <f t="shared" si="97"/>
        <v>1</v>
      </c>
      <c r="AT74" s="24"/>
      <c r="AU74" s="24" t="str">
        <f t="shared" si="91"/>
        <v/>
      </c>
      <c r="AV74" s="24" t="str">
        <f t="shared" si="92"/>
        <v/>
      </c>
      <c r="AW74" s="24" t="str">
        <f t="shared" si="98"/>
        <v/>
      </c>
      <c r="AX74" s="41"/>
      <c r="AY74" s="24"/>
      <c r="AZ74" s="15"/>
      <c r="BD74" s="24"/>
    </row>
    <row r="75" spans="1:56">
      <c r="A75">
        <v>0</v>
      </c>
      <c r="B75">
        <v>1</v>
      </c>
      <c r="C75">
        <v>1</v>
      </c>
      <c r="D75">
        <f t="shared" si="83"/>
        <v>0</v>
      </c>
      <c r="E75">
        <f t="shared" si="86"/>
        <v>0</v>
      </c>
      <c r="F75">
        <f t="shared" si="84"/>
        <v>0</v>
      </c>
      <c r="G75">
        <f t="shared" si="87"/>
        <v>0</v>
      </c>
      <c r="H75">
        <f t="shared" si="88"/>
        <v>0</v>
      </c>
      <c r="I75">
        <f t="shared" si="85"/>
        <v>0</v>
      </c>
      <c r="J75" s="170"/>
      <c r="K75" s="41"/>
      <c r="L75" s="41"/>
      <c r="M75" s="24" t="str">
        <v/>
      </c>
      <c r="N75" s="24" t="str">
        <v/>
      </c>
      <c r="O75" s="41"/>
      <c r="P75" s="48"/>
      <c r="AB75" s="14"/>
      <c r="AC75" s="33" t="s">
        <v>383</v>
      </c>
      <c r="AD75" s="24" t="b">
        <f t="shared" si="99"/>
        <v>1</v>
      </c>
      <c r="AE75" s="24">
        <f t="shared" si="100"/>
        <v>2</v>
      </c>
      <c r="AF75" s="24" t="str">
        <f t="shared" si="101"/>
        <v/>
      </c>
      <c r="AG75" s="24" t="b">
        <f t="shared" si="93"/>
        <v>1</v>
      </c>
      <c r="AH75" s="24"/>
      <c r="AI75" s="7" t="b">
        <f t="shared" si="94"/>
        <v>1</v>
      </c>
      <c r="AJ75" s="24">
        <f t="shared" si="95"/>
        <v>2</v>
      </c>
      <c r="AK75" s="24"/>
      <c r="AL75" s="24" t="str">
        <f t="shared" si="96"/>
        <v/>
      </c>
      <c r="AM75" s="24"/>
      <c r="AN75" s="24" t="str">
        <f t="shared" si="102"/>
        <v/>
      </c>
      <c r="AO75" s="29">
        <v>3</v>
      </c>
      <c r="AP75" s="24"/>
      <c r="AQ75" s="24" t="str">
        <f t="shared" si="89"/>
        <v/>
      </c>
      <c r="AR75" s="24" t="str">
        <f t="shared" si="90"/>
        <v/>
      </c>
      <c r="AS75" s="24" t="str">
        <f t="shared" si="97"/>
        <v/>
      </c>
      <c r="AT75" s="24" t="s">
        <v>165</v>
      </c>
      <c r="AU75" s="24" t="b">
        <f t="shared" si="91"/>
        <v>1</v>
      </c>
      <c r="AV75" s="24">
        <f t="shared" si="92"/>
        <v>2</v>
      </c>
      <c r="AW75" s="24" t="b">
        <f t="shared" si="98"/>
        <v>1</v>
      </c>
      <c r="AX75" s="41"/>
      <c r="AY75" s="24"/>
      <c r="AZ75" s="15"/>
      <c r="BD75" s="24"/>
    </row>
    <row r="76" spans="1:56">
      <c r="A76">
        <v>0</v>
      </c>
      <c r="B76">
        <v>1</v>
      </c>
      <c r="C76">
        <v>1</v>
      </c>
      <c r="D76">
        <f t="shared" si="83"/>
        <v>0</v>
      </c>
      <c r="E76">
        <f t="shared" si="86"/>
        <v>0</v>
      </c>
      <c r="F76">
        <f t="shared" si="84"/>
        <v>0</v>
      </c>
      <c r="G76">
        <f t="shared" si="87"/>
        <v>0</v>
      </c>
      <c r="H76">
        <f t="shared" si="88"/>
        <v>0</v>
      </c>
      <c r="I76">
        <f t="shared" si="85"/>
        <v>0</v>
      </c>
      <c r="J76" s="170"/>
      <c r="K76" s="41"/>
      <c r="L76" s="41"/>
      <c r="M76" s="24" t="str">
        <v/>
      </c>
      <c r="N76" s="24" t="str">
        <v/>
      </c>
      <c r="O76" s="41"/>
      <c r="P76" s="48"/>
      <c r="AB76" s="14"/>
      <c r="AC76" s="34" t="s">
        <v>390</v>
      </c>
      <c r="AD76" s="24" t="b">
        <f t="shared" si="99"/>
        <v>1</v>
      </c>
      <c r="AE76" s="24">
        <f t="shared" si="100"/>
        <v>4</v>
      </c>
      <c r="AF76" s="24" t="str">
        <f t="shared" si="101"/>
        <v/>
      </c>
      <c r="AG76" s="24" t="b">
        <f t="shared" si="93"/>
        <v>1</v>
      </c>
      <c r="AH76" s="24"/>
      <c r="AI76" s="7" t="b">
        <f t="shared" si="94"/>
        <v>1</v>
      </c>
      <c r="AJ76" s="24">
        <f t="shared" si="95"/>
        <v>2</v>
      </c>
      <c r="AK76" s="24"/>
      <c r="AL76" s="24" t="str">
        <f t="shared" si="96"/>
        <v/>
      </c>
      <c r="AM76" s="24"/>
      <c r="AN76" s="24" t="str">
        <f t="shared" si="102"/>
        <v/>
      </c>
      <c r="AO76" s="29">
        <v>3</v>
      </c>
      <c r="AP76" s="29" t="s">
        <v>383</v>
      </c>
      <c r="AQ76" s="29" t="b">
        <f t="shared" si="89"/>
        <v>1</v>
      </c>
      <c r="AR76" s="29">
        <f t="shared" si="90"/>
        <v>2</v>
      </c>
      <c r="AS76" s="29" t="b">
        <f t="shared" si="97"/>
        <v>1</v>
      </c>
      <c r="AT76" s="24"/>
      <c r="AU76" s="24" t="str">
        <f t="shared" si="91"/>
        <v/>
      </c>
      <c r="AV76" s="24" t="str">
        <f t="shared" si="92"/>
        <v/>
      </c>
      <c r="AW76" s="24" t="str">
        <f t="shared" si="98"/>
        <v/>
      </c>
      <c r="AX76" s="41"/>
      <c r="AY76" s="24"/>
      <c r="AZ76" s="15"/>
      <c r="BD76" s="24"/>
    </row>
    <row r="77" spans="1:56">
      <c r="A77">
        <v>0</v>
      </c>
      <c r="B77">
        <v>1</v>
      </c>
      <c r="C77">
        <v>1</v>
      </c>
      <c r="D77">
        <f t="shared" si="83"/>
        <v>0</v>
      </c>
      <c r="E77">
        <f t="shared" si="86"/>
        <v>0</v>
      </c>
      <c r="F77">
        <f t="shared" si="84"/>
        <v>0</v>
      </c>
      <c r="G77">
        <f t="shared" si="87"/>
        <v>0</v>
      </c>
      <c r="H77">
        <f t="shared" si="88"/>
        <v>0</v>
      </c>
      <c r="I77">
        <f t="shared" si="85"/>
        <v>0</v>
      </c>
      <c r="J77" s="170"/>
      <c r="K77" s="41"/>
      <c r="L77" s="41"/>
      <c r="M77" s="24" t="str">
        <v/>
      </c>
      <c r="N77" s="24" t="str">
        <v/>
      </c>
      <c r="O77" s="41"/>
      <c r="P77" s="48"/>
      <c r="AB77" s="16" t="s">
        <v>326</v>
      </c>
      <c r="AC77" s="29"/>
      <c r="AD77" s="29"/>
      <c r="AE77" s="24"/>
      <c r="AF77" s="24"/>
      <c r="AG77" s="24"/>
      <c r="AH77" s="24"/>
      <c r="AI77" s="7"/>
      <c r="AJ77" s="24"/>
      <c r="AK77" s="24"/>
      <c r="AL77" s="24"/>
      <c r="AM77" s="24"/>
      <c r="AN77" s="24"/>
      <c r="AO77" s="29"/>
      <c r="AP77" s="24"/>
      <c r="AQ77" s="24" t="str">
        <f t="shared" si="89"/>
        <v/>
      </c>
      <c r="AR77" s="24" t="str">
        <f t="shared" si="90"/>
        <v/>
      </c>
      <c r="AS77" s="24" t="str">
        <f t="shared" si="97"/>
        <v/>
      </c>
      <c r="AT77" s="24"/>
      <c r="AU77" s="24" t="str">
        <f t="shared" si="91"/>
        <v/>
      </c>
      <c r="AV77" s="24" t="str">
        <f t="shared" si="92"/>
        <v/>
      </c>
      <c r="AW77" s="24" t="str">
        <f t="shared" si="98"/>
        <v/>
      </c>
      <c r="AX77" s="41"/>
      <c r="AY77" s="24"/>
      <c r="AZ77" s="15"/>
      <c r="BD77" s="24"/>
    </row>
    <row r="78" spans="1:56">
      <c r="A78">
        <v>0</v>
      </c>
      <c r="B78">
        <v>1</v>
      </c>
      <c r="C78">
        <v>1</v>
      </c>
      <c r="D78">
        <f t="shared" si="83"/>
        <v>0</v>
      </c>
      <c r="E78">
        <f t="shared" si="86"/>
        <v>0</v>
      </c>
      <c r="F78">
        <f t="shared" si="84"/>
        <v>0</v>
      </c>
      <c r="G78">
        <f t="shared" si="87"/>
        <v>0</v>
      </c>
      <c r="H78">
        <f t="shared" si="88"/>
        <v>0</v>
      </c>
      <c r="I78">
        <f t="shared" si="85"/>
        <v>0</v>
      </c>
      <c r="J78" s="170"/>
      <c r="K78" s="41"/>
      <c r="L78" s="41"/>
      <c r="M78" s="24" t="str">
        <v/>
      </c>
      <c r="N78" s="24" t="str">
        <v/>
      </c>
      <c r="O78" s="41"/>
      <c r="P78" s="48"/>
      <c r="AB78" s="63" cm="1">
        <f t="array" ref="AB78">SUM(IF(ISNA(MATCH(AC71:AC76,L3:L83,0)),0,1))</f>
        <v>2</v>
      </c>
      <c r="AC78" s="29"/>
      <c r="AD78" s="29"/>
      <c r="AE78" s="24"/>
      <c r="AF78" s="24"/>
      <c r="AG78" s="24"/>
      <c r="AH78" s="24"/>
      <c r="AI78" s="7"/>
      <c r="AJ78" s="24"/>
      <c r="AK78" s="24"/>
      <c r="AL78" s="24"/>
      <c r="AM78" s="24"/>
      <c r="AN78" s="24"/>
      <c r="AO78" s="29"/>
      <c r="AP78" s="24"/>
      <c r="AQ78" s="24" t="str">
        <f t="shared" si="89"/>
        <v/>
      </c>
      <c r="AR78" s="24" t="str">
        <f t="shared" si="90"/>
        <v/>
      </c>
      <c r="AS78" s="24" t="str">
        <f t="shared" si="97"/>
        <v/>
      </c>
      <c r="AT78" s="24"/>
      <c r="AU78" s="24" t="str">
        <f t="shared" si="91"/>
        <v/>
      </c>
      <c r="AV78" s="24" t="str">
        <f t="shared" si="92"/>
        <v/>
      </c>
      <c r="AW78" s="24" t="str">
        <f t="shared" si="98"/>
        <v/>
      </c>
      <c r="AX78" s="41"/>
      <c r="AY78" s="24"/>
      <c r="AZ78" s="15"/>
      <c r="BD78" s="24"/>
    </row>
    <row r="79" spans="1:56">
      <c r="A79">
        <v>0</v>
      </c>
      <c r="B79">
        <v>1</v>
      </c>
      <c r="C79">
        <v>1</v>
      </c>
      <c r="D79">
        <f t="shared" si="83"/>
        <v>0</v>
      </c>
      <c r="E79">
        <f t="shared" si="86"/>
        <v>0</v>
      </c>
      <c r="F79">
        <f t="shared" si="84"/>
        <v>0</v>
      </c>
      <c r="G79">
        <f t="shared" si="87"/>
        <v>0</v>
      </c>
      <c r="H79">
        <f t="shared" si="88"/>
        <v>0</v>
      </c>
      <c r="I79">
        <f t="shared" si="85"/>
        <v>0</v>
      </c>
      <c r="J79" s="170"/>
      <c r="K79" s="41"/>
      <c r="L79" s="41"/>
      <c r="M79" s="24" t="str">
        <v/>
      </c>
      <c r="N79" s="24" t="str">
        <v/>
      </c>
      <c r="O79" s="41"/>
      <c r="P79" s="48"/>
      <c r="AB79" s="64" t="str">
        <f>IF(AB78&gt;=2, "Satisfied", "Not Satisfied")</f>
        <v>Satisfied</v>
      </c>
      <c r="AC79" s="29"/>
      <c r="AD79" s="29"/>
      <c r="AE79" s="24"/>
      <c r="AF79" s="24"/>
      <c r="AG79" s="24"/>
      <c r="AH79" s="24"/>
      <c r="AI79" s="7"/>
      <c r="AJ79" s="24"/>
      <c r="AK79" s="24"/>
      <c r="AL79" s="24"/>
      <c r="AM79" s="24"/>
      <c r="AN79" s="24"/>
      <c r="AO79" s="29"/>
      <c r="AP79" s="24"/>
      <c r="AQ79" s="24" t="str">
        <f t="shared" si="89"/>
        <v/>
      </c>
      <c r="AR79" s="24" t="str">
        <f t="shared" si="90"/>
        <v/>
      </c>
      <c r="AS79" s="24" t="str">
        <f t="shared" si="97"/>
        <v/>
      </c>
      <c r="AT79" s="24"/>
      <c r="AU79" s="24" t="str">
        <f t="shared" si="91"/>
        <v/>
      </c>
      <c r="AV79" s="24" t="str">
        <f t="shared" si="92"/>
        <v/>
      </c>
      <c r="AW79" s="24" t="str">
        <f t="shared" si="98"/>
        <v/>
      </c>
      <c r="AX79" s="41"/>
      <c r="AY79" s="24"/>
      <c r="AZ79" s="15"/>
    </row>
    <row r="80" spans="1:56">
      <c r="A80">
        <v>0</v>
      </c>
      <c r="B80">
        <v>1</v>
      </c>
      <c r="C80">
        <v>1</v>
      </c>
      <c r="D80">
        <f t="shared" si="83"/>
        <v>0</v>
      </c>
      <c r="E80">
        <f t="shared" si="86"/>
        <v>0</v>
      </c>
      <c r="F80">
        <f t="shared" si="84"/>
        <v>0</v>
      </c>
      <c r="G80">
        <f t="shared" si="87"/>
        <v>0</v>
      </c>
      <c r="H80">
        <f t="shared" si="88"/>
        <v>0</v>
      </c>
      <c r="I80">
        <f t="shared" si="85"/>
        <v>0</v>
      </c>
      <c r="J80" s="170"/>
      <c r="K80" s="41"/>
      <c r="L80" s="41"/>
      <c r="M80" s="24" t="str">
        <v/>
      </c>
      <c r="N80" s="24" t="str">
        <v/>
      </c>
      <c r="O80" s="41"/>
      <c r="P80" s="48"/>
      <c r="AB80" s="16"/>
      <c r="AC80" s="29"/>
      <c r="AD80" s="29"/>
      <c r="AE80" s="24"/>
      <c r="AF80" s="24"/>
      <c r="AG80" s="24"/>
      <c r="AH80" s="24"/>
      <c r="AI80" s="7"/>
      <c r="AJ80" s="24"/>
      <c r="AK80" s="24"/>
      <c r="AL80" s="24"/>
      <c r="AM80" s="24"/>
      <c r="AN80" s="24"/>
      <c r="AO80" s="29"/>
      <c r="AP80" s="24"/>
      <c r="AQ80" s="24" t="str">
        <f t="shared" si="89"/>
        <v/>
      </c>
      <c r="AR80" s="24" t="str">
        <f t="shared" si="90"/>
        <v/>
      </c>
      <c r="AS80" s="24" t="str">
        <f t="shared" si="97"/>
        <v/>
      </c>
      <c r="AT80" s="24"/>
      <c r="AU80" s="24" t="str">
        <f t="shared" si="91"/>
        <v/>
      </c>
      <c r="AV80" s="24" t="str">
        <f t="shared" si="92"/>
        <v/>
      </c>
      <c r="AW80" s="24" t="str">
        <f t="shared" si="98"/>
        <v/>
      </c>
      <c r="AX80" s="41"/>
      <c r="AY80" s="24"/>
      <c r="AZ80" s="15"/>
    </row>
    <row r="81" spans="1:52">
      <c r="A81">
        <v>0</v>
      </c>
      <c r="B81">
        <v>1</v>
      </c>
      <c r="C81">
        <v>1</v>
      </c>
      <c r="D81">
        <f t="shared" si="83"/>
        <v>0</v>
      </c>
      <c r="E81">
        <f t="shared" si="86"/>
        <v>0</v>
      </c>
      <c r="F81">
        <f t="shared" si="84"/>
        <v>0</v>
      </c>
      <c r="G81">
        <f t="shared" si="87"/>
        <v>0</v>
      </c>
      <c r="H81">
        <f t="shared" si="88"/>
        <v>0</v>
      </c>
      <c r="I81">
        <f t="shared" si="85"/>
        <v>0</v>
      </c>
      <c r="J81" s="170"/>
      <c r="K81" s="41"/>
      <c r="L81" s="41"/>
      <c r="M81" s="24" t="str">
        <v/>
      </c>
      <c r="N81" s="24" t="str">
        <v/>
      </c>
      <c r="O81" s="41"/>
      <c r="P81" s="48"/>
      <c r="AB81" s="16" t="s">
        <v>402</v>
      </c>
      <c r="AC81" s="62" t="s">
        <v>391</v>
      </c>
      <c r="AD81" s="29" t="b">
        <f t="shared" ref="AD81:AD99" si="103">NOT(ISERROR(MATCH(AC81,schedule_courses,0)))</f>
        <v>1</v>
      </c>
      <c r="AE81" s="24">
        <f t="shared" ref="AE81:AE99" si="104">IF(AX81,0,IFERROR(INDEX(schedule_semester,MATCH(AC81,schedule_courses,0)), ""))</f>
        <v>5</v>
      </c>
      <c r="AF81" s="24" t="str">
        <f t="shared" ref="AF81:AF99" si="105">IF(ISNA(MATCH(AC81, $R$6:$R$7, 0)), "", $R$3)</f>
        <v/>
      </c>
      <c r="AG81" s="24" t="b">
        <f t="shared" si="93"/>
        <v>1</v>
      </c>
      <c r="AH81" s="24"/>
      <c r="AI81" s="7" t="b">
        <f t="shared" si="94"/>
        <v>1</v>
      </c>
      <c r="AJ81" s="24">
        <f t="shared" si="95"/>
        <v>1</v>
      </c>
      <c r="AK81" s="24"/>
      <c r="AL81" s="24" t="str">
        <f t="shared" si="96"/>
        <v/>
      </c>
      <c r="AM81" s="24"/>
      <c r="AN81" s="24" t="str">
        <f t="shared" ref="AN81:AN99" si="106">IFERROR(IF(AM81, INDEX(grade_number, MATCH(INDEX(schedule_grades, MATCH(AC81, schedule_courses, 0)), grade_letter, 0))&gt;=2, ""), "")</f>
        <v/>
      </c>
      <c r="AO81" s="29">
        <v>3</v>
      </c>
      <c r="AP81" s="24" t="s">
        <v>165</v>
      </c>
      <c r="AQ81" s="24" t="b">
        <f t="shared" si="89"/>
        <v>1</v>
      </c>
      <c r="AR81" s="24">
        <f t="shared" si="90"/>
        <v>2</v>
      </c>
      <c r="AS81" s="24" t="b">
        <f t="shared" si="97"/>
        <v>1</v>
      </c>
      <c r="AT81" s="24"/>
      <c r="AU81" s="24" t="str">
        <f t="shared" si="91"/>
        <v/>
      </c>
      <c r="AV81" s="24" t="str">
        <f t="shared" si="92"/>
        <v/>
      </c>
      <c r="AW81" s="24" t="str">
        <f t="shared" si="98"/>
        <v/>
      </c>
      <c r="AX81" s="41"/>
      <c r="AY81" s="24"/>
      <c r="AZ81" s="15"/>
    </row>
    <row r="82" spans="1:52">
      <c r="A82">
        <v>0</v>
      </c>
      <c r="B82">
        <v>1</v>
      </c>
      <c r="C82">
        <v>1</v>
      </c>
      <c r="D82">
        <f t="shared" si="83"/>
        <v>0</v>
      </c>
      <c r="E82">
        <f t="shared" si="86"/>
        <v>0</v>
      </c>
      <c r="F82">
        <f t="shared" si="84"/>
        <v>0</v>
      </c>
      <c r="G82">
        <f t="shared" si="87"/>
        <v>0</v>
      </c>
      <c r="H82">
        <f t="shared" si="88"/>
        <v>0</v>
      </c>
      <c r="I82">
        <f t="shared" si="85"/>
        <v>0</v>
      </c>
      <c r="J82" s="171"/>
      <c r="K82" s="43"/>
      <c r="L82" s="43"/>
      <c r="M82" s="10" t="str">
        <v/>
      </c>
      <c r="N82" s="10" t="str">
        <v/>
      </c>
      <c r="O82" s="43"/>
      <c r="P82" s="49"/>
      <c r="AB82" s="70">
        <v>10</v>
      </c>
      <c r="AC82" s="66" t="s">
        <v>391</v>
      </c>
      <c r="AD82" s="29" t="b">
        <f t="shared" ref="AD82:AD92" si="107">NOT(ISERROR(MATCH(AC82,schedule_courses,0)))</f>
        <v>1</v>
      </c>
      <c r="AE82" s="24">
        <f t="shared" ref="AE82:AE92" si="108">IF(AX82,0,IFERROR(INDEX(schedule_semester,MATCH(AC82,schedule_courses,0)), ""))</f>
        <v>5</v>
      </c>
      <c r="AF82" s="24" t="str">
        <f t="shared" ref="AF82:AF92" si="109">IF(ISNA(MATCH(AC82, $R$6:$R$7, 0)), "", $R$3)</f>
        <v/>
      </c>
      <c r="AG82" s="24" t="b">
        <f t="shared" ref="AG82:AG92" si="110">IF(AE82="", "", AE82&lt;AF82)</f>
        <v>1</v>
      </c>
      <c r="AH82" s="24"/>
      <c r="AI82" s="7" t="b">
        <f t="shared" ref="AI82:AI92" si="111">IF(AE82="", "", AE82&gt;=AH82)</f>
        <v>1</v>
      </c>
      <c r="AJ82" s="24">
        <f t="shared" ref="AJ82:AJ92" si="112">IF(AE82="","",IF(MOD(AE82,2)=0,2,1))</f>
        <v>1</v>
      </c>
      <c r="AK82" s="24"/>
      <c r="AL82" s="24" t="str">
        <f t="shared" ref="AL82:AL92" si="113">IF(AK82&lt;&gt;0, AK82&lt;&gt;AJ82, "")</f>
        <v/>
      </c>
      <c r="AM82" s="24"/>
      <c r="AN82" s="24" t="str">
        <f t="shared" ref="AN82:AN92" si="114">IFERROR(IF(AM82, INDEX(grade_number, MATCH(INDEX(schedule_grades, MATCH(AC82, schedule_courses, 0)), grade_letter, 0))&gt;=2, ""), "")</f>
        <v/>
      </c>
      <c r="AO82" s="29">
        <v>3</v>
      </c>
      <c r="AP82" s="24" t="s">
        <v>383</v>
      </c>
      <c r="AQ82" s="24" t="b">
        <f t="shared" si="89"/>
        <v>1</v>
      </c>
      <c r="AR82" s="24">
        <f t="shared" si="90"/>
        <v>2</v>
      </c>
      <c r="AS82" s="24" t="b">
        <f t="shared" si="97"/>
        <v>1</v>
      </c>
      <c r="AT82" s="24"/>
      <c r="AU82" s="24" t="str">
        <f t="shared" si="91"/>
        <v/>
      </c>
      <c r="AV82" s="24" t="str">
        <f t="shared" si="92"/>
        <v/>
      </c>
      <c r="AW82" s="24" t="str">
        <f t="shared" si="98"/>
        <v/>
      </c>
      <c r="AX82" s="41"/>
      <c r="AY82" s="24"/>
      <c r="AZ82" s="15"/>
    </row>
    <row r="83" spans="1:52">
      <c r="AB83" s="14"/>
      <c r="AC83" s="39" t="s">
        <v>275</v>
      </c>
      <c r="AD83" s="29" t="b">
        <f t="shared" si="107"/>
        <v>1</v>
      </c>
      <c r="AE83" s="24">
        <f t="shared" si="108"/>
        <v>8</v>
      </c>
      <c r="AF83" s="24" t="str">
        <f t="shared" si="109"/>
        <v/>
      </c>
      <c r="AG83" s="24" t="b">
        <f t="shared" si="110"/>
        <v>1</v>
      </c>
      <c r="AH83" s="24"/>
      <c r="AI83" s="7" t="b">
        <f t="shared" si="111"/>
        <v>1</v>
      </c>
      <c r="AJ83" s="24">
        <f t="shared" si="112"/>
        <v>2</v>
      </c>
      <c r="AK83" s="24"/>
      <c r="AL83" s="24" t="str">
        <f t="shared" si="113"/>
        <v/>
      </c>
      <c r="AM83" s="24"/>
      <c r="AN83" s="24" t="str">
        <f t="shared" si="114"/>
        <v/>
      </c>
      <c r="AO83" s="29">
        <v>3</v>
      </c>
      <c r="AP83" s="24" t="s">
        <v>119</v>
      </c>
      <c r="AQ83" s="24" t="b">
        <f t="shared" si="89"/>
        <v>1</v>
      </c>
      <c r="AR83" s="24">
        <f t="shared" si="90"/>
        <v>1</v>
      </c>
      <c r="AS83" s="24" t="b">
        <f t="shared" si="97"/>
        <v>1</v>
      </c>
      <c r="AT83" s="24"/>
      <c r="AU83" s="24" t="str">
        <f t="shared" si="91"/>
        <v/>
      </c>
      <c r="AV83" s="24" t="str">
        <f t="shared" si="92"/>
        <v/>
      </c>
      <c r="AW83" s="24" t="str">
        <f t="shared" si="98"/>
        <v/>
      </c>
      <c r="AX83" s="41"/>
      <c r="AY83" s="24"/>
      <c r="AZ83" s="15"/>
    </row>
    <row r="84" spans="1:52">
      <c r="AB84" s="14"/>
      <c r="AC84" s="66" t="s">
        <v>275</v>
      </c>
      <c r="AD84" s="29" t="b">
        <f t="shared" si="107"/>
        <v>1</v>
      </c>
      <c r="AE84" s="24">
        <f t="shared" si="108"/>
        <v>8</v>
      </c>
      <c r="AF84" s="24" t="str">
        <f t="shared" si="109"/>
        <v/>
      </c>
      <c r="AG84" s="24" t="b">
        <f t="shared" si="110"/>
        <v>1</v>
      </c>
      <c r="AH84" s="24"/>
      <c r="AI84" s="7" t="b">
        <f t="shared" si="111"/>
        <v>1</v>
      </c>
      <c r="AJ84" s="24">
        <f t="shared" si="112"/>
        <v>2</v>
      </c>
      <c r="AK84" s="24"/>
      <c r="AL84" s="24" t="str">
        <f t="shared" si="113"/>
        <v/>
      </c>
      <c r="AM84" s="24"/>
      <c r="AN84" s="24" t="str">
        <f t="shared" si="114"/>
        <v/>
      </c>
      <c r="AO84" s="29">
        <v>3</v>
      </c>
      <c r="AP84" s="29" t="s">
        <v>163</v>
      </c>
      <c r="AQ84" s="29" t="b">
        <f t="shared" si="89"/>
        <v>1</v>
      </c>
      <c r="AR84" s="29">
        <f t="shared" si="90"/>
        <v>4</v>
      </c>
      <c r="AS84" s="29" t="b">
        <f t="shared" si="97"/>
        <v>1</v>
      </c>
      <c r="AT84" s="24"/>
      <c r="AU84" s="24" t="str">
        <f t="shared" si="91"/>
        <v/>
      </c>
      <c r="AV84" s="24" t="str">
        <f t="shared" si="92"/>
        <v/>
      </c>
      <c r="AW84" s="24" t="str">
        <f t="shared" si="98"/>
        <v/>
      </c>
      <c r="AX84" s="41"/>
      <c r="AY84" s="24"/>
      <c r="AZ84" s="15"/>
    </row>
    <row r="85" spans="1:52">
      <c r="AB85" s="14"/>
      <c r="AC85" s="66" t="s">
        <v>275</v>
      </c>
      <c r="AD85" s="29" t="b">
        <f t="shared" si="107"/>
        <v>1</v>
      </c>
      <c r="AE85" s="24">
        <f t="shared" si="108"/>
        <v>8</v>
      </c>
      <c r="AF85" s="24" t="str">
        <f t="shared" si="109"/>
        <v/>
      </c>
      <c r="AG85" s="24" t="b">
        <f t="shared" si="110"/>
        <v>1</v>
      </c>
      <c r="AH85" s="24"/>
      <c r="AI85" s="7" t="b">
        <f t="shared" si="111"/>
        <v>1</v>
      </c>
      <c r="AJ85" s="24">
        <f t="shared" si="112"/>
        <v>2</v>
      </c>
      <c r="AK85" s="24"/>
      <c r="AL85" s="24" t="str">
        <f t="shared" si="113"/>
        <v/>
      </c>
      <c r="AM85" s="24"/>
      <c r="AN85" s="24" t="str">
        <f t="shared" si="114"/>
        <v/>
      </c>
      <c r="AO85" s="29">
        <v>3</v>
      </c>
      <c r="AP85" s="29" t="s">
        <v>390</v>
      </c>
      <c r="AQ85" s="29" t="b">
        <f t="shared" si="89"/>
        <v>1</v>
      </c>
      <c r="AR85" s="29">
        <f t="shared" si="90"/>
        <v>4</v>
      </c>
      <c r="AS85" s="29" t="b">
        <f t="shared" si="97"/>
        <v>1</v>
      </c>
      <c r="AT85" s="24"/>
      <c r="AU85" s="24" t="str">
        <f t="shared" si="91"/>
        <v/>
      </c>
      <c r="AV85" s="24" t="str">
        <f t="shared" si="92"/>
        <v/>
      </c>
      <c r="AW85" s="24" t="str">
        <f t="shared" si="98"/>
        <v/>
      </c>
      <c r="AX85" s="41"/>
      <c r="AY85" s="24"/>
      <c r="AZ85" s="15"/>
    </row>
    <row r="86" spans="1:52">
      <c r="AB86" s="14"/>
      <c r="AC86" s="39" t="s">
        <v>328</v>
      </c>
      <c r="AD86" s="29" t="b">
        <f t="shared" si="107"/>
        <v>0</v>
      </c>
      <c r="AE86" s="24" t="str">
        <f t="shared" si="108"/>
        <v/>
      </c>
      <c r="AF86" s="24" t="str">
        <f t="shared" si="109"/>
        <v/>
      </c>
      <c r="AG86" s="24" t="str">
        <f t="shared" si="110"/>
        <v/>
      </c>
      <c r="AH86" s="24"/>
      <c r="AI86" s="7" t="str">
        <f t="shared" si="111"/>
        <v/>
      </c>
      <c r="AJ86" s="24" t="str">
        <f t="shared" si="112"/>
        <v/>
      </c>
      <c r="AK86" s="24"/>
      <c r="AL86" s="24" t="str">
        <f t="shared" si="113"/>
        <v/>
      </c>
      <c r="AM86" s="24"/>
      <c r="AN86" s="24" t="str">
        <f t="shared" si="114"/>
        <v/>
      </c>
      <c r="AO86" s="29">
        <v>3</v>
      </c>
      <c r="AP86" s="29" t="s">
        <v>119</v>
      </c>
      <c r="AQ86" s="29" t="b">
        <f t="shared" si="89"/>
        <v>1</v>
      </c>
      <c r="AR86" s="29">
        <f t="shared" si="90"/>
        <v>1</v>
      </c>
      <c r="AS86" s="29" t="b">
        <f t="shared" si="97"/>
        <v>1</v>
      </c>
      <c r="AT86" s="24"/>
      <c r="AU86" s="24" t="str">
        <f t="shared" si="91"/>
        <v/>
      </c>
      <c r="AV86" s="24" t="str">
        <f t="shared" si="92"/>
        <v/>
      </c>
      <c r="AW86" s="24" t="str">
        <f t="shared" si="98"/>
        <v/>
      </c>
      <c r="AX86" s="41"/>
      <c r="AY86" s="24"/>
      <c r="AZ86" s="15"/>
    </row>
    <row r="87" spans="1:52">
      <c r="AB87" s="14"/>
      <c r="AC87" s="39" t="s">
        <v>329</v>
      </c>
      <c r="AD87" s="29" t="b">
        <f t="shared" si="107"/>
        <v>0</v>
      </c>
      <c r="AE87" s="24" t="str">
        <f t="shared" si="108"/>
        <v/>
      </c>
      <c r="AF87" s="24" t="str">
        <f t="shared" si="109"/>
        <v/>
      </c>
      <c r="AG87" s="24" t="str">
        <f t="shared" si="110"/>
        <v/>
      </c>
      <c r="AH87" s="24"/>
      <c r="AI87" s="7" t="str">
        <f t="shared" si="111"/>
        <v/>
      </c>
      <c r="AJ87" s="24" t="str">
        <f t="shared" si="112"/>
        <v/>
      </c>
      <c r="AK87" s="24"/>
      <c r="AL87" s="24" t="str">
        <f t="shared" si="113"/>
        <v/>
      </c>
      <c r="AM87" s="24"/>
      <c r="AN87" s="24" t="str">
        <f t="shared" si="114"/>
        <v/>
      </c>
      <c r="AO87" s="29">
        <v>3</v>
      </c>
      <c r="AP87" s="29" t="s">
        <v>119</v>
      </c>
      <c r="AQ87" s="29" t="b">
        <f t="shared" ref="AQ87" si="115">IF(AP87=0,"",NOT(ISERROR(MATCH(AP87,schedule_courses,0))))</f>
        <v>1</v>
      </c>
      <c r="AR87" s="29">
        <f t="shared" ref="AR87" si="116">IF(IFERROR(INDEX(req_tr_AP_credit, MATCH(AP87, req_course,0)), FALSE),0,IFERROR(INDEX(schedule_semester,MATCH(AP87,schedule_courses,0)), ""))</f>
        <v>1</v>
      </c>
      <c r="AS87" s="29" t="b">
        <f t="shared" ref="AS87" si="117">IF(AR87&lt;&gt;"", AR87&lt;AE87, "")</f>
        <v>1</v>
      </c>
      <c r="AT87" s="24"/>
      <c r="AU87" s="24" t="str">
        <f t="shared" ref="AU87" si="118">IF(AT87=0,"",NOT(ISERROR(MATCH(AT87,schedule_courses,0))))</f>
        <v/>
      </c>
      <c r="AV87" s="24" t="str">
        <f t="shared" ref="AV87" si="119">IF(IFERROR(INDEX(req_tr_AP_credit, MATCH(AT87, req_course)), FALSE),0,IFERROR(INDEX(schedule_semester,MATCH(AT87,schedule_courses,0)), ""))</f>
        <v/>
      </c>
      <c r="AW87" s="24" t="str">
        <f t="shared" ref="AW87" si="120">IF(AV87&lt;&gt;"", AV87&lt;=AE87, "")</f>
        <v/>
      </c>
      <c r="AX87" s="41"/>
      <c r="AY87" s="24"/>
      <c r="AZ87" s="15"/>
    </row>
    <row r="88" spans="1:52">
      <c r="AB88" s="14"/>
      <c r="AC88" s="39" t="s">
        <v>235</v>
      </c>
      <c r="AD88" s="29" t="b">
        <f t="shared" si="107"/>
        <v>1</v>
      </c>
      <c r="AE88" s="24">
        <f t="shared" si="108"/>
        <v>3</v>
      </c>
      <c r="AF88" s="24" t="str">
        <f t="shared" si="109"/>
        <v/>
      </c>
      <c r="AG88" s="24" t="b">
        <f t="shared" si="110"/>
        <v>1</v>
      </c>
      <c r="AH88" s="24"/>
      <c r="AI88" s="7" t="b">
        <f t="shared" si="111"/>
        <v>1</v>
      </c>
      <c r="AJ88" s="24">
        <f t="shared" si="112"/>
        <v>1</v>
      </c>
      <c r="AK88" s="24"/>
      <c r="AL88" s="24" t="str">
        <f t="shared" si="113"/>
        <v/>
      </c>
      <c r="AM88" s="24"/>
      <c r="AN88" s="24" t="str">
        <f t="shared" si="114"/>
        <v/>
      </c>
      <c r="AO88" s="29">
        <v>3</v>
      </c>
      <c r="AP88" s="29" t="s">
        <v>119</v>
      </c>
      <c r="AQ88" s="29" t="b">
        <f t="shared" si="89"/>
        <v>1</v>
      </c>
      <c r="AR88" s="29">
        <f t="shared" si="90"/>
        <v>1</v>
      </c>
      <c r="AS88" s="29" t="b">
        <f t="shared" si="97"/>
        <v>1</v>
      </c>
      <c r="AT88" s="24"/>
      <c r="AU88" s="24" t="str">
        <f t="shared" si="91"/>
        <v/>
      </c>
      <c r="AV88" s="24" t="str">
        <f t="shared" si="92"/>
        <v/>
      </c>
      <c r="AW88" s="24" t="str">
        <f t="shared" si="98"/>
        <v/>
      </c>
      <c r="AX88" s="41"/>
      <c r="AY88" s="24"/>
      <c r="AZ88" s="15"/>
    </row>
    <row r="89" spans="1:52">
      <c r="AB89" s="14"/>
      <c r="AC89" s="39" t="s">
        <v>258</v>
      </c>
      <c r="AD89" s="29" t="b">
        <f t="shared" si="107"/>
        <v>1</v>
      </c>
      <c r="AE89" s="24">
        <f t="shared" si="108"/>
        <v>5</v>
      </c>
      <c r="AF89" s="24" t="str">
        <f t="shared" si="109"/>
        <v/>
      </c>
      <c r="AG89" s="24" t="b">
        <f t="shared" si="110"/>
        <v>1</v>
      </c>
      <c r="AH89" s="24"/>
      <c r="AI89" s="7" t="b">
        <f t="shared" si="111"/>
        <v>1</v>
      </c>
      <c r="AJ89" s="24">
        <f t="shared" si="112"/>
        <v>1</v>
      </c>
      <c r="AK89" s="24"/>
      <c r="AL89" s="24" t="str">
        <f t="shared" si="113"/>
        <v/>
      </c>
      <c r="AM89" s="24"/>
      <c r="AN89" s="24" t="str">
        <f t="shared" si="114"/>
        <v/>
      </c>
      <c r="AO89" s="29">
        <v>3</v>
      </c>
      <c r="AP89" s="29" t="s">
        <v>235</v>
      </c>
      <c r="AQ89" s="29" t="b">
        <f t="shared" si="89"/>
        <v>1</v>
      </c>
      <c r="AR89" s="29">
        <f t="shared" si="90"/>
        <v>3</v>
      </c>
      <c r="AS89" s="29" t="b">
        <f t="shared" si="97"/>
        <v>1</v>
      </c>
      <c r="AT89" s="24"/>
      <c r="AU89" s="24" t="str">
        <f t="shared" si="91"/>
        <v/>
      </c>
      <c r="AV89" s="24" t="str">
        <f t="shared" si="92"/>
        <v/>
      </c>
      <c r="AW89" s="24" t="str">
        <f t="shared" si="98"/>
        <v/>
      </c>
      <c r="AX89" s="41"/>
      <c r="AY89" s="24"/>
      <c r="AZ89" s="15"/>
    </row>
    <row r="90" spans="1:52">
      <c r="AB90" s="14"/>
      <c r="AC90" s="66" t="s">
        <v>258</v>
      </c>
      <c r="AD90" s="29" t="b">
        <f t="shared" si="107"/>
        <v>1</v>
      </c>
      <c r="AE90" s="24">
        <f t="shared" si="108"/>
        <v>5</v>
      </c>
      <c r="AF90" s="24" t="str">
        <f t="shared" si="109"/>
        <v/>
      </c>
      <c r="AG90" s="24" t="b">
        <f t="shared" si="110"/>
        <v>1</v>
      </c>
      <c r="AH90" s="24"/>
      <c r="AI90" s="7" t="b">
        <f t="shared" si="111"/>
        <v>1</v>
      </c>
      <c r="AJ90" s="24">
        <f t="shared" si="112"/>
        <v>1</v>
      </c>
      <c r="AK90" s="24"/>
      <c r="AL90" s="24" t="str">
        <f t="shared" si="113"/>
        <v/>
      </c>
      <c r="AM90" s="24"/>
      <c r="AN90" s="24" t="str">
        <f t="shared" si="114"/>
        <v/>
      </c>
      <c r="AO90" s="29">
        <v>3</v>
      </c>
      <c r="AP90" s="29" t="s">
        <v>383</v>
      </c>
      <c r="AQ90" s="29" t="b">
        <f t="shared" si="89"/>
        <v>1</v>
      </c>
      <c r="AR90" s="29">
        <f t="shared" si="90"/>
        <v>2</v>
      </c>
      <c r="AS90" s="29" t="b">
        <f t="shared" si="97"/>
        <v>1</v>
      </c>
      <c r="AT90" s="24"/>
      <c r="AU90" s="24" t="str">
        <f t="shared" si="91"/>
        <v/>
      </c>
      <c r="AV90" s="24" t="str">
        <f t="shared" si="92"/>
        <v/>
      </c>
      <c r="AW90" s="24" t="str">
        <f t="shared" si="98"/>
        <v/>
      </c>
      <c r="AX90" s="41"/>
      <c r="AY90" s="24"/>
      <c r="AZ90" s="15"/>
    </row>
    <row r="91" spans="1:52">
      <c r="AB91" s="14"/>
      <c r="AC91" s="39" t="s">
        <v>330</v>
      </c>
      <c r="AD91" s="29" t="b">
        <f t="shared" si="107"/>
        <v>0</v>
      </c>
      <c r="AE91" s="24" t="str">
        <f t="shared" si="108"/>
        <v/>
      </c>
      <c r="AF91" s="24" t="str">
        <f t="shared" si="109"/>
        <v/>
      </c>
      <c r="AG91" s="24" t="str">
        <f t="shared" si="110"/>
        <v/>
      </c>
      <c r="AH91" s="24"/>
      <c r="AI91" s="7" t="str">
        <f t="shared" si="111"/>
        <v/>
      </c>
      <c r="AJ91" s="24" t="str">
        <f t="shared" si="112"/>
        <v/>
      </c>
      <c r="AK91" s="24"/>
      <c r="AL91" s="24" t="str">
        <f t="shared" si="113"/>
        <v/>
      </c>
      <c r="AM91" s="24"/>
      <c r="AN91" s="24" t="str">
        <f t="shared" si="114"/>
        <v/>
      </c>
      <c r="AO91" s="29">
        <v>3</v>
      </c>
      <c r="AP91" s="29" t="s">
        <v>119</v>
      </c>
      <c r="AQ91" s="29" t="b">
        <f t="shared" si="89"/>
        <v>1</v>
      </c>
      <c r="AR91" s="29">
        <f t="shared" si="90"/>
        <v>1</v>
      </c>
      <c r="AS91" s="29" t="b">
        <f t="shared" si="97"/>
        <v>1</v>
      </c>
      <c r="AT91" s="24"/>
      <c r="AU91" s="24" t="str">
        <f t="shared" si="91"/>
        <v/>
      </c>
      <c r="AV91" s="24" t="str">
        <f t="shared" si="92"/>
        <v/>
      </c>
      <c r="AW91" s="24" t="str">
        <f t="shared" si="98"/>
        <v/>
      </c>
      <c r="AX91" s="41"/>
      <c r="AY91" s="24"/>
      <c r="AZ91" s="15"/>
    </row>
    <row r="92" spans="1:52">
      <c r="AB92" s="14"/>
      <c r="AC92" s="39" t="s">
        <v>331</v>
      </c>
      <c r="AD92" s="29" t="b">
        <f t="shared" si="107"/>
        <v>0</v>
      </c>
      <c r="AE92" s="24" t="str">
        <f t="shared" si="108"/>
        <v/>
      </c>
      <c r="AF92" s="24" t="str">
        <f t="shared" si="109"/>
        <v/>
      </c>
      <c r="AG92" s="24" t="str">
        <f t="shared" si="110"/>
        <v/>
      </c>
      <c r="AH92" s="24"/>
      <c r="AI92" s="7" t="str">
        <f t="shared" si="111"/>
        <v/>
      </c>
      <c r="AJ92" s="24" t="str">
        <f t="shared" si="112"/>
        <v/>
      </c>
      <c r="AK92" s="24"/>
      <c r="AL92" s="24" t="str">
        <f t="shared" si="113"/>
        <v/>
      </c>
      <c r="AM92" s="24"/>
      <c r="AN92" s="24" t="str">
        <f t="shared" si="114"/>
        <v/>
      </c>
      <c r="AO92" s="29">
        <v>3</v>
      </c>
      <c r="AP92" s="29" t="s">
        <v>119</v>
      </c>
      <c r="AQ92" s="29" t="b">
        <f t="shared" si="89"/>
        <v>1</v>
      </c>
      <c r="AR92" s="29">
        <f t="shared" si="90"/>
        <v>1</v>
      </c>
      <c r="AS92" s="29" t="b">
        <f t="shared" si="97"/>
        <v>1</v>
      </c>
      <c r="AT92" s="24"/>
      <c r="AU92" s="24" t="str">
        <f t="shared" si="91"/>
        <v/>
      </c>
      <c r="AV92" s="24" t="str">
        <f t="shared" si="92"/>
        <v/>
      </c>
      <c r="AW92" s="24" t="str">
        <f t="shared" si="98"/>
        <v/>
      </c>
      <c r="AX92" s="41"/>
      <c r="AY92" s="24"/>
      <c r="AZ92" s="15"/>
    </row>
    <row r="93" spans="1:52">
      <c r="AB93" s="14"/>
      <c r="AC93" s="39" t="s">
        <v>308</v>
      </c>
      <c r="AD93" s="29" t="b">
        <f t="shared" si="103"/>
        <v>0</v>
      </c>
      <c r="AE93" s="24" t="str">
        <f t="shared" si="104"/>
        <v/>
      </c>
      <c r="AF93" s="24" t="str">
        <f t="shared" si="105"/>
        <v/>
      </c>
      <c r="AG93" s="24" t="str">
        <f t="shared" si="93"/>
        <v/>
      </c>
      <c r="AH93" s="24"/>
      <c r="AI93" s="7" t="str">
        <f t="shared" si="94"/>
        <v/>
      </c>
      <c r="AJ93" s="24" t="str">
        <f t="shared" si="95"/>
        <v/>
      </c>
      <c r="AK93" s="24"/>
      <c r="AL93" s="24" t="str">
        <f t="shared" si="96"/>
        <v/>
      </c>
      <c r="AM93" s="24"/>
      <c r="AN93" s="24" t="str">
        <f t="shared" si="106"/>
        <v/>
      </c>
      <c r="AO93" s="29">
        <v>1</v>
      </c>
      <c r="AP93" s="24"/>
      <c r="AQ93" s="24" t="str">
        <f t="shared" si="89"/>
        <v/>
      </c>
      <c r="AR93" s="24" t="str">
        <f t="shared" si="90"/>
        <v/>
      </c>
      <c r="AS93" s="24" t="str">
        <f t="shared" si="97"/>
        <v/>
      </c>
      <c r="AT93" s="24"/>
      <c r="AU93" s="24" t="str">
        <f t="shared" si="91"/>
        <v/>
      </c>
      <c r="AV93" s="24" t="str">
        <f t="shared" si="92"/>
        <v/>
      </c>
      <c r="AW93" s="24" t="str">
        <f t="shared" si="98"/>
        <v/>
      </c>
      <c r="AX93" s="41"/>
      <c r="AY93" s="24"/>
      <c r="AZ93" s="15"/>
    </row>
    <row r="94" spans="1:52">
      <c r="AB94" s="14"/>
      <c r="AC94" s="39" t="s">
        <v>332</v>
      </c>
      <c r="AD94" s="29" t="b">
        <f t="shared" si="103"/>
        <v>0</v>
      </c>
      <c r="AE94" s="24" t="str">
        <f t="shared" si="104"/>
        <v/>
      </c>
      <c r="AF94" s="24" t="str">
        <f t="shared" si="105"/>
        <v/>
      </c>
      <c r="AG94" s="24" t="str">
        <f t="shared" si="93"/>
        <v/>
      </c>
      <c r="AH94" s="24"/>
      <c r="AI94" s="7" t="str">
        <f t="shared" si="94"/>
        <v/>
      </c>
      <c r="AJ94" s="24" t="str">
        <f t="shared" si="95"/>
        <v/>
      </c>
      <c r="AK94" s="24"/>
      <c r="AL94" s="24" t="str">
        <f t="shared" si="96"/>
        <v/>
      </c>
      <c r="AM94" s="24"/>
      <c r="AN94" s="24" t="str">
        <f t="shared" si="106"/>
        <v/>
      </c>
      <c r="AO94" s="29">
        <v>1</v>
      </c>
      <c r="AP94" s="29" t="s">
        <v>308</v>
      </c>
      <c r="AQ94" s="29" t="b">
        <f t="shared" si="89"/>
        <v>0</v>
      </c>
      <c r="AR94" s="29" t="str">
        <f t="shared" si="90"/>
        <v/>
      </c>
      <c r="AS94" s="29" t="str">
        <f t="shared" si="97"/>
        <v/>
      </c>
      <c r="AT94" s="24"/>
      <c r="AU94" s="24" t="str">
        <f t="shared" si="91"/>
        <v/>
      </c>
      <c r="AV94" s="24" t="str">
        <f t="shared" si="92"/>
        <v/>
      </c>
      <c r="AW94" s="24" t="str">
        <f t="shared" si="98"/>
        <v/>
      </c>
      <c r="AX94" s="41"/>
      <c r="AY94" s="24"/>
      <c r="AZ94" s="15"/>
    </row>
    <row r="95" spans="1:52">
      <c r="AB95" s="14"/>
      <c r="AC95" s="39" t="s">
        <v>333</v>
      </c>
      <c r="AD95" s="29" t="b">
        <f t="shared" si="103"/>
        <v>0</v>
      </c>
      <c r="AE95" s="24" t="str">
        <f t="shared" si="104"/>
        <v/>
      </c>
      <c r="AF95" s="24" t="str">
        <f t="shared" si="105"/>
        <v/>
      </c>
      <c r="AG95" s="24" t="str">
        <f t="shared" si="93"/>
        <v/>
      </c>
      <c r="AH95" s="24"/>
      <c r="AI95" s="7" t="str">
        <f t="shared" si="94"/>
        <v/>
      </c>
      <c r="AJ95" s="24" t="str">
        <f t="shared" si="95"/>
        <v/>
      </c>
      <c r="AK95" s="24"/>
      <c r="AL95" s="24" t="str">
        <f t="shared" si="96"/>
        <v/>
      </c>
      <c r="AM95" s="24"/>
      <c r="AN95" s="24" t="str">
        <f t="shared" si="106"/>
        <v/>
      </c>
      <c r="AO95" s="29">
        <v>1</v>
      </c>
      <c r="AP95" s="29" t="s">
        <v>308</v>
      </c>
      <c r="AQ95" s="29" t="b">
        <f t="shared" si="89"/>
        <v>0</v>
      </c>
      <c r="AR95" s="29" t="str">
        <f t="shared" si="90"/>
        <v/>
      </c>
      <c r="AS95" s="29" t="str">
        <f t="shared" si="97"/>
        <v/>
      </c>
      <c r="AT95" s="24"/>
      <c r="AU95" s="24" t="str">
        <f t="shared" si="91"/>
        <v/>
      </c>
      <c r="AV95" s="24" t="str">
        <f t="shared" si="92"/>
        <v/>
      </c>
      <c r="AW95" s="24" t="str">
        <f t="shared" si="98"/>
        <v/>
      </c>
      <c r="AX95" s="41"/>
      <c r="AY95" s="24"/>
      <c r="AZ95" s="15"/>
    </row>
    <row r="96" spans="1:52" ht="15.9" customHeight="1">
      <c r="AB96" s="14"/>
      <c r="AC96" s="66" t="s">
        <v>333</v>
      </c>
      <c r="AD96" s="29" t="b">
        <f t="shared" ref="AD96" si="121">NOT(ISERROR(MATCH(AC96,schedule_courses,0)))</f>
        <v>0</v>
      </c>
      <c r="AE96" s="24" t="str">
        <f t="shared" ref="AE96" si="122">IF(AX96,0,IFERROR(INDEX(schedule_semester,MATCH(AC96,schedule_courses,0)), ""))</f>
        <v/>
      </c>
      <c r="AF96" s="24" t="str">
        <f t="shared" ref="AF96" si="123">IF(ISNA(MATCH(AC96, $R$6:$R$7, 0)), "", $R$3)</f>
        <v/>
      </c>
      <c r="AG96" s="24" t="str">
        <f t="shared" ref="AG96" si="124">IF(AE96="", "", AE96&lt;AF96)</f>
        <v/>
      </c>
      <c r="AH96" s="24"/>
      <c r="AI96" s="7" t="str">
        <f t="shared" ref="AI96" si="125">IF(AE96="", "", AE96&gt;=AH96)</f>
        <v/>
      </c>
      <c r="AJ96" s="24" t="str">
        <f t="shared" ref="AJ96" si="126">IF(AE96="","",IF(MOD(AE96,2)=0,2,1))</f>
        <v/>
      </c>
      <c r="AK96" s="24"/>
      <c r="AL96" s="24" t="str">
        <f t="shared" ref="AL96" si="127">IF(AK96&lt;&gt;0, AK96&lt;&gt;AJ96, "")</f>
        <v/>
      </c>
      <c r="AM96" s="24"/>
      <c r="AN96" s="24" t="str">
        <f t="shared" ref="AN96" si="128">IFERROR(IF(AM96, INDEX(grade_number, MATCH(INDEX(schedule_grades, MATCH(AC96, schedule_courses, 0)), grade_letter, 0))&gt;=2, ""), "")</f>
        <v/>
      </c>
      <c r="AO96" s="29">
        <v>1</v>
      </c>
      <c r="AP96" s="29" t="s">
        <v>332</v>
      </c>
      <c r="AQ96" s="29" t="b">
        <f t="shared" si="89"/>
        <v>0</v>
      </c>
      <c r="AR96" s="29" t="str">
        <f t="shared" si="90"/>
        <v/>
      </c>
      <c r="AS96" s="29" t="str">
        <f t="shared" si="97"/>
        <v/>
      </c>
      <c r="AT96" s="24"/>
      <c r="AU96" s="24" t="str">
        <f t="shared" si="91"/>
        <v/>
      </c>
      <c r="AV96" s="24" t="str">
        <f t="shared" si="92"/>
        <v/>
      </c>
      <c r="AW96" s="24" t="str">
        <f t="shared" si="98"/>
        <v/>
      </c>
      <c r="AX96" s="41"/>
      <c r="AY96" s="24"/>
      <c r="AZ96" s="15"/>
    </row>
    <row r="97" spans="28:52">
      <c r="AB97" s="14"/>
      <c r="AC97" s="39" t="s">
        <v>208</v>
      </c>
      <c r="AD97" s="29" t="b">
        <f t="shared" si="103"/>
        <v>0</v>
      </c>
      <c r="AE97" s="24" t="str">
        <f t="shared" si="104"/>
        <v/>
      </c>
      <c r="AF97" s="24" t="str">
        <f t="shared" si="105"/>
        <v/>
      </c>
      <c r="AG97" s="24" t="str">
        <f t="shared" si="93"/>
        <v/>
      </c>
      <c r="AH97" s="24"/>
      <c r="AI97" s="7" t="str">
        <f t="shared" si="94"/>
        <v/>
      </c>
      <c r="AJ97" s="24" t="str">
        <f t="shared" si="95"/>
        <v/>
      </c>
      <c r="AK97" s="24"/>
      <c r="AL97" s="24" t="str">
        <f t="shared" si="96"/>
        <v/>
      </c>
      <c r="AM97" s="24"/>
      <c r="AN97" s="24" t="str">
        <f t="shared" si="106"/>
        <v/>
      </c>
      <c r="AO97" s="29">
        <v>3</v>
      </c>
      <c r="AP97" s="24"/>
      <c r="AQ97" s="24" t="str">
        <f t="shared" si="89"/>
        <v/>
      </c>
      <c r="AR97" s="24" t="str">
        <f t="shared" si="90"/>
        <v/>
      </c>
      <c r="AS97" s="24" t="str">
        <f t="shared" si="97"/>
        <v/>
      </c>
      <c r="AT97" s="24"/>
      <c r="AU97" s="24" t="str">
        <f t="shared" si="91"/>
        <v/>
      </c>
      <c r="AV97" s="24" t="str">
        <f t="shared" si="92"/>
        <v/>
      </c>
      <c r="AW97" s="24" t="str">
        <f t="shared" si="98"/>
        <v/>
      </c>
      <c r="AX97" s="41"/>
      <c r="AY97" s="24"/>
      <c r="AZ97" s="15"/>
    </row>
    <row r="98" spans="28:52">
      <c r="AB98" s="14"/>
      <c r="AC98" s="39" t="s">
        <v>334</v>
      </c>
      <c r="AD98" s="29" t="b">
        <f t="shared" si="103"/>
        <v>0</v>
      </c>
      <c r="AE98" s="24" t="str">
        <f t="shared" si="104"/>
        <v/>
      </c>
      <c r="AF98" s="24" t="str">
        <f t="shared" si="105"/>
        <v/>
      </c>
      <c r="AG98" s="24" t="str">
        <f t="shared" si="93"/>
        <v/>
      </c>
      <c r="AH98" s="24"/>
      <c r="AI98" s="7" t="str">
        <f t="shared" si="94"/>
        <v/>
      </c>
      <c r="AJ98" s="24" t="str">
        <f t="shared" si="95"/>
        <v/>
      </c>
      <c r="AK98" s="24"/>
      <c r="AL98" s="24" t="str">
        <f t="shared" si="96"/>
        <v/>
      </c>
      <c r="AM98" s="24"/>
      <c r="AN98" s="24" t="str">
        <f t="shared" si="106"/>
        <v/>
      </c>
      <c r="AO98" s="29">
        <v>1</v>
      </c>
      <c r="AP98" s="24"/>
      <c r="AQ98" s="24" t="str">
        <f t="shared" si="89"/>
        <v/>
      </c>
      <c r="AR98" s="24" t="str">
        <f t="shared" si="90"/>
        <v/>
      </c>
      <c r="AS98" s="24" t="str">
        <f t="shared" si="97"/>
        <v/>
      </c>
      <c r="AT98" s="24"/>
      <c r="AU98" s="24" t="str">
        <f t="shared" si="91"/>
        <v/>
      </c>
      <c r="AV98" s="24" t="str">
        <f t="shared" si="92"/>
        <v/>
      </c>
      <c r="AW98" s="24" t="str">
        <f t="shared" si="98"/>
        <v/>
      </c>
      <c r="AX98" s="41"/>
      <c r="AY98" s="24"/>
      <c r="AZ98" s="15"/>
    </row>
    <row r="99" spans="28:52">
      <c r="AB99" s="14"/>
      <c r="AC99" s="40" t="s">
        <v>335</v>
      </c>
      <c r="AD99" s="29" t="b">
        <f t="shared" si="103"/>
        <v>0</v>
      </c>
      <c r="AE99" s="24" t="str">
        <f t="shared" si="104"/>
        <v/>
      </c>
      <c r="AF99" s="24" t="str">
        <f t="shared" si="105"/>
        <v/>
      </c>
      <c r="AG99" s="24" t="str">
        <f t="shared" si="93"/>
        <v/>
      </c>
      <c r="AH99" s="24"/>
      <c r="AI99" s="7" t="str">
        <f t="shared" si="94"/>
        <v/>
      </c>
      <c r="AJ99" s="24" t="str">
        <f t="shared" si="95"/>
        <v/>
      </c>
      <c r="AK99" s="24"/>
      <c r="AL99" s="24" t="str">
        <f t="shared" si="96"/>
        <v/>
      </c>
      <c r="AM99" s="24"/>
      <c r="AN99" s="24" t="str">
        <f t="shared" si="106"/>
        <v/>
      </c>
      <c r="AO99" s="24">
        <v>1</v>
      </c>
      <c r="AP99" s="29" t="s">
        <v>334</v>
      </c>
      <c r="AQ99" s="29" t="b">
        <f t="shared" si="89"/>
        <v>0</v>
      </c>
      <c r="AR99" s="29" t="str">
        <f t="shared" si="90"/>
        <v/>
      </c>
      <c r="AS99" s="29" t="str">
        <f t="shared" si="97"/>
        <v/>
      </c>
      <c r="AT99" s="24"/>
      <c r="AU99" s="24" t="str">
        <f t="shared" si="91"/>
        <v/>
      </c>
      <c r="AV99" s="24" t="str">
        <f t="shared" si="92"/>
        <v/>
      </c>
      <c r="AW99" s="24" t="str">
        <f t="shared" si="98"/>
        <v/>
      </c>
      <c r="AX99" s="41"/>
      <c r="AY99" s="24"/>
      <c r="AZ99" s="15"/>
    </row>
    <row r="100" spans="28:52">
      <c r="AB100" s="16" t="s">
        <v>336</v>
      </c>
      <c r="AC100" s="24"/>
      <c r="AD100" s="24"/>
      <c r="AE100" s="24"/>
      <c r="AF100" s="24"/>
      <c r="AG100" s="24"/>
      <c r="AH100" s="24"/>
      <c r="AI100" s="7"/>
      <c r="AJ100" s="24"/>
      <c r="AK100" s="24"/>
      <c r="AL100" s="24"/>
      <c r="AM100" s="24"/>
      <c r="AN100" s="24"/>
      <c r="AO100" s="24"/>
      <c r="AP100" s="24"/>
      <c r="AQ100" s="24" t="str">
        <f t="shared" si="89"/>
        <v/>
      </c>
      <c r="AR100" s="24" t="str">
        <f t="shared" si="90"/>
        <v/>
      </c>
      <c r="AS100" s="24" t="str">
        <f t="shared" si="97"/>
        <v/>
      </c>
      <c r="AT100" s="24"/>
      <c r="AU100" s="24" t="str">
        <f t="shared" si="91"/>
        <v/>
      </c>
      <c r="AV100" s="24" t="str">
        <f t="shared" si="92"/>
        <v/>
      </c>
      <c r="AW100" s="24" t="str">
        <f t="shared" si="98"/>
        <v/>
      </c>
      <c r="AX100" s="41"/>
      <c r="AY100" s="24"/>
      <c r="AZ100" s="15"/>
    </row>
    <row r="101" spans="28:52">
      <c r="AB101" s="65" cm="1">
        <f t="array" ref="AB101">SUM(IF(ISNA(MATCH(_xlfn.UNIQUE(AC81:AC99),schedule_courses,0)),0,1)*(INDEX(AO81:AO99, MATCH(_xlfn.UNIQUE(AC81:AC99), AC81:AC99, 0))))</f>
        <v>12</v>
      </c>
      <c r="AC101" s="24"/>
      <c r="AD101" s="24"/>
      <c r="AE101" s="24"/>
      <c r="AF101" s="24"/>
      <c r="AG101" s="24"/>
      <c r="AH101" s="24"/>
      <c r="AI101" s="7"/>
      <c r="AJ101" s="24"/>
      <c r="AK101" s="24"/>
      <c r="AL101" s="24"/>
      <c r="AM101" s="24"/>
      <c r="AN101" s="24"/>
      <c r="AO101" s="24"/>
      <c r="AP101" s="24"/>
      <c r="AQ101" s="24" t="str">
        <f t="shared" si="89"/>
        <v/>
      </c>
      <c r="AR101" s="24" t="str">
        <f t="shared" si="90"/>
        <v/>
      </c>
      <c r="AS101" s="24" t="str">
        <f t="shared" si="97"/>
        <v/>
      </c>
      <c r="AT101" s="24"/>
      <c r="AU101" s="24" t="str">
        <f t="shared" si="91"/>
        <v/>
      </c>
      <c r="AV101" s="24" t="str">
        <f t="shared" si="92"/>
        <v/>
      </c>
      <c r="AW101" s="24" t="str">
        <f t="shared" si="98"/>
        <v/>
      </c>
      <c r="AX101" s="41"/>
      <c r="AY101" s="24"/>
      <c r="AZ101" s="15"/>
    </row>
    <row r="102" spans="28:52">
      <c r="AB102" s="64" t="str">
        <f>IF(AB101&gt;=AB82, "Satisfied", "Not Satisfied")</f>
        <v>Satisfied</v>
      </c>
      <c r="AC102" s="10"/>
      <c r="AD102" s="10"/>
      <c r="AE102" s="10"/>
      <c r="AF102" s="10"/>
      <c r="AG102" s="10"/>
      <c r="AH102" s="10"/>
      <c r="AI102" s="10"/>
      <c r="AJ102" s="10"/>
      <c r="AK102" s="10"/>
      <c r="AL102" s="10"/>
      <c r="AM102" s="10"/>
      <c r="AN102" s="10"/>
      <c r="AO102" s="10"/>
      <c r="AP102" s="10"/>
      <c r="AQ102" s="10" t="str">
        <f t="shared" si="89"/>
        <v/>
      </c>
      <c r="AR102" s="10" t="str">
        <f t="shared" si="90"/>
        <v/>
      </c>
      <c r="AS102" s="10" t="str">
        <f t="shared" si="97"/>
        <v/>
      </c>
      <c r="AT102" s="10"/>
      <c r="AU102" s="10" t="str">
        <f t="shared" si="91"/>
        <v/>
      </c>
      <c r="AV102" s="10" t="str">
        <f t="shared" si="92"/>
        <v/>
      </c>
      <c r="AW102" s="10" t="str">
        <f t="shared" si="98"/>
        <v/>
      </c>
      <c r="AX102" s="43"/>
      <c r="AY102" s="10"/>
      <c r="AZ102" s="26"/>
    </row>
    <row r="103" spans="28:52">
      <c r="AB103" s="68"/>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69"/>
      <c r="AY103" s="24"/>
      <c r="AZ103" s="24"/>
    </row>
    <row r="105" spans="28:52">
      <c r="AB105" s="93" t="s">
        <v>340</v>
      </c>
      <c r="AC105" s="92"/>
      <c r="AD105" s="92"/>
      <c r="AE105" s="92"/>
      <c r="AF105" s="92"/>
      <c r="AG105" s="92"/>
      <c r="AH105" s="92"/>
      <c r="AI105" s="92"/>
      <c r="AJ105" s="92"/>
      <c r="AK105" s="92"/>
      <c r="AL105" s="92"/>
      <c r="AM105" s="92"/>
      <c r="AN105" s="92"/>
      <c r="AO105" s="92"/>
      <c r="AP105" s="92"/>
      <c r="AQ105" s="92"/>
      <c r="AR105" s="92"/>
      <c r="AS105" s="92"/>
      <c r="AT105" s="92"/>
      <c r="AU105" s="92"/>
      <c r="AV105" s="92"/>
      <c r="AW105" s="92"/>
      <c r="AX105" s="92"/>
      <c r="AY105" s="92"/>
      <c r="AZ105" s="94"/>
    </row>
    <row r="106" spans="28:52">
      <c r="AB106" s="89" t="s">
        <v>73</v>
      </c>
      <c r="AC106" s="88" t="s">
        <v>33</v>
      </c>
      <c r="AD106" s="5" t="s">
        <v>104</v>
      </c>
      <c r="AE106" s="5" t="s">
        <v>105</v>
      </c>
      <c r="AF106" s="5" t="s">
        <v>106</v>
      </c>
      <c r="AG106" s="5" t="s">
        <v>107</v>
      </c>
      <c r="AH106" s="5" t="s">
        <v>108</v>
      </c>
      <c r="AI106" s="5" t="s">
        <v>109</v>
      </c>
      <c r="AJ106" s="5" t="s">
        <v>110</v>
      </c>
      <c r="AK106" s="5" t="s">
        <v>111</v>
      </c>
      <c r="AL106" s="5" t="s">
        <v>112</v>
      </c>
      <c r="AM106" s="5" t="s">
        <v>113</v>
      </c>
      <c r="AN106" s="5" t="s">
        <v>114</v>
      </c>
      <c r="AO106" s="88" t="s">
        <v>35</v>
      </c>
      <c r="AP106" s="88" t="s">
        <v>77</v>
      </c>
      <c r="AQ106" s="91" t="s">
        <v>104</v>
      </c>
      <c r="AR106" s="5" t="s">
        <v>105</v>
      </c>
      <c r="AS106" s="5" t="s">
        <v>115</v>
      </c>
      <c r="AT106" s="88" t="s">
        <v>79</v>
      </c>
      <c r="AU106" s="91" t="s">
        <v>104</v>
      </c>
      <c r="AV106" s="91" t="s">
        <v>105</v>
      </c>
      <c r="AW106" s="5" t="s">
        <v>116</v>
      </c>
      <c r="AX106" s="88" t="s">
        <v>80</v>
      </c>
      <c r="AY106" s="88" t="s">
        <v>37</v>
      </c>
      <c r="AZ106" s="90" t="s">
        <v>83</v>
      </c>
    </row>
    <row r="107" spans="28:52">
      <c r="AB107" s="14"/>
      <c r="AC107" s="24" t="s">
        <v>152</v>
      </c>
      <c r="AD107" s="7" t="b">
        <f t="shared" ref="AD107:AD110" si="129">NOT(ISERROR(MATCH(AC107,schedule_courses,0)))</f>
        <v>1</v>
      </c>
      <c r="AE107" s="7">
        <f t="shared" ref="AE107:AE112" si="130">IF(AX107,0,IFERROR(INDEX(schedule_semester,MATCH(AC107,schedule_courses,0)), ""))</f>
        <v>1</v>
      </c>
      <c r="AF107" s="7" t="str">
        <f t="shared" ref="AF107:AF112" si="131">IF(ISNA(MATCH(AC107, $R$6:$R$7, 0)), "", $R$3)</f>
        <v/>
      </c>
      <c r="AG107" s="7" t="b">
        <f>IF(AE107="", "", AE107&lt;AF107)</f>
        <v>1</v>
      </c>
      <c r="AH107" s="7"/>
      <c r="AI107" s="7" t="b">
        <f>IF(AE107="", "", AE107&gt;=AH107)</f>
        <v>1</v>
      </c>
      <c r="AJ107" s="7">
        <f>IF(AE107="","",IF(MOD(AE107,2)=0,2,1))</f>
        <v>1</v>
      </c>
      <c r="AK107" s="7"/>
      <c r="AL107" s="7" t="str">
        <f>IF(AK107&lt;&gt;0, AK107&lt;&gt;AJ107, "")</f>
        <v/>
      </c>
      <c r="AM107" s="7"/>
      <c r="AN107" s="7" t="str">
        <f t="shared" ref="AN107:AN112" si="132">IFERROR(IF(AM107, INDEX(grade_number, MATCH(INDEX(schedule_grades, MATCH(AC107, schedule_courses, 0)), grade_letter, 0))&gt;=2, ""), "")</f>
        <v/>
      </c>
      <c r="AO107" s="24">
        <v>3</v>
      </c>
      <c r="AP107" s="24"/>
      <c r="AQ107" s="7" t="str">
        <f t="shared" ref="AQ107:AQ112" si="133">IF(AP107=0,"",NOT(ISERROR(MATCH(AP107,schedule_courses,0))))</f>
        <v/>
      </c>
      <c r="AR107" s="7" t="str">
        <f t="shared" ref="AR107:AR112" si="134">IF(IFERROR(INDEX(req_tr_AP_credit, MATCH(AP107, req_course,0)), FALSE),0,IFERROR(INDEX(schedule_semester,MATCH(AP107,schedule_courses,0)), ""))</f>
        <v/>
      </c>
      <c r="AS107" s="7" t="str">
        <f>IF(AR107&lt;&gt;"", AR107&lt;AE107, "")</f>
        <v/>
      </c>
      <c r="AT107" s="24"/>
      <c r="AU107" s="7" t="str">
        <f t="shared" ref="AU107:AU112" si="135">IF(AT107=0,"",NOT(ISERROR(MATCH(AT107,schedule_courses,0))))</f>
        <v/>
      </c>
      <c r="AV107" s="7" t="str">
        <f t="shared" ref="AV107:AV112" si="136">IF(IFERROR(INDEX(req_tr_AP_credit, MATCH(AT107, req_course)), FALSE),0,IFERROR(INDEX(schedule_semester,MATCH(AT107,schedule_courses,0)), ""))</f>
        <v/>
      </c>
      <c r="AW107" s="7" t="str">
        <f>IF(AV107&lt;&gt;"", AV107&lt;=AE107, "")</f>
        <v/>
      </c>
      <c r="AX107" s="41"/>
      <c r="AY107" s="24" t="s">
        <v>213</v>
      </c>
      <c r="AZ107" s="15"/>
    </row>
    <row r="108" spans="28:52">
      <c r="AB108" s="14"/>
      <c r="AC108" s="24" t="s">
        <v>245</v>
      </c>
      <c r="AD108" s="7" t="b">
        <f t="shared" si="129"/>
        <v>1</v>
      </c>
      <c r="AE108" s="7">
        <f t="shared" si="130"/>
        <v>3</v>
      </c>
      <c r="AF108" s="7" t="str">
        <f t="shared" si="131"/>
        <v/>
      </c>
      <c r="AG108" s="7" t="b">
        <f t="shared" ref="AG108:AG112" si="137">IF(AE108="", "", AE108&lt;AF108)</f>
        <v>1</v>
      </c>
      <c r="AH108" s="7"/>
      <c r="AI108" s="7" t="b">
        <f t="shared" ref="AI108:AI112" si="138">IF(AE108="", "", AE108&gt;=AH108)</f>
        <v>1</v>
      </c>
      <c r="AJ108" s="7">
        <f t="shared" ref="AJ108:AJ112" si="139">IF(AE108="","",IF(MOD(AE108,2)=0,2,1))</f>
        <v>1</v>
      </c>
      <c r="AK108" s="7"/>
      <c r="AL108" s="7" t="str">
        <f t="shared" ref="AL108:AL112" si="140">IF(AK108&lt;&gt;0, AK108&lt;&gt;AJ108, "")</f>
        <v/>
      </c>
      <c r="AM108" s="7"/>
      <c r="AN108" s="7" t="str">
        <f t="shared" si="132"/>
        <v/>
      </c>
      <c r="AO108" s="24">
        <v>3</v>
      </c>
      <c r="AP108" s="24"/>
      <c r="AQ108" s="7" t="str">
        <f t="shared" si="133"/>
        <v/>
      </c>
      <c r="AR108" s="7" t="str">
        <f t="shared" si="134"/>
        <v/>
      </c>
      <c r="AS108" s="7" t="str">
        <f t="shared" ref="AS108:AS112" si="141">IF(AR108&lt;&gt;"", AR108&lt;AE108, "")</f>
        <v/>
      </c>
      <c r="AT108" s="24"/>
      <c r="AU108" s="7" t="str">
        <f t="shared" si="135"/>
        <v/>
      </c>
      <c r="AV108" s="7" t="str">
        <f t="shared" si="136"/>
        <v/>
      </c>
      <c r="AW108" s="7" t="str">
        <f t="shared" ref="AW108:AW112" si="142">IF(AV108&lt;&gt;"", AV108&lt;=AE108, "")</f>
        <v/>
      </c>
      <c r="AX108" s="41"/>
      <c r="AY108" s="24" t="s">
        <v>213</v>
      </c>
      <c r="AZ108" s="15"/>
    </row>
    <row r="109" spans="28:52">
      <c r="AB109" s="14"/>
      <c r="AC109" s="24" t="s">
        <v>341</v>
      </c>
      <c r="AD109" s="7" t="b">
        <f t="shared" si="129"/>
        <v>0</v>
      </c>
      <c r="AE109" s="7" t="str">
        <f t="shared" si="130"/>
        <v/>
      </c>
      <c r="AF109" s="7" t="str">
        <f t="shared" si="131"/>
        <v/>
      </c>
      <c r="AG109" s="7" t="str">
        <f t="shared" si="137"/>
        <v/>
      </c>
      <c r="AH109" s="7"/>
      <c r="AI109" s="7" t="str">
        <f t="shared" si="138"/>
        <v/>
      </c>
      <c r="AJ109" s="7" t="str">
        <f t="shared" si="139"/>
        <v/>
      </c>
      <c r="AK109" s="7"/>
      <c r="AL109" s="7" t="str">
        <f t="shared" si="140"/>
        <v/>
      </c>
      <c r="AM109" s="7"/>
      <c r="AN109" s="7" t="str">
        <f t="shared" si="132"/>
        <v/>
      </c>
      <c r="AO109" s="24">
        <v>3</v>
      </c>
      <c r="AP109" s="24" t="s">
        <v>152</v>
      </c>
      <c r="AQ109" s="7" t="b">
        <f t="shared" si="133"/>
        <v>1</v>
      </c>
      <c r="AR109" s="7">
        <f t="shared" si="134"/>
        <v>1</v>
      </c>
      <c r="AS109" s="7" t="b">
        <f t="shared" si="141"/>
        <v>1</v>
      </c>
      <c r="AT109" s="24"/>
      <c r="AU109" s="7" t="str">
        <f t="shared" si="135"/>
        <v/>
      </c>
      <c r="AV109" s="7" t="str">
        <f t="shared" si="136"/>
        <v/>
      </c>
      <c r="AW109" s="7" t="str">
        <f t="shared" si="142"/>
        <v/>
      </c>
      <c r="AX109" s="41"/>
      <c r="AY109" s="24" t="s">
        <v>213</v>
      </c>
      <c r="AZ109" s="15"/>
    </row>
    <row r="110" spans="28:52">
      <c r="AB110" s="14"/>
      <c r="AC110" s="24" t="s">
        <v>342</v>
      </c>
      <c r="AD110" s="7" t="b">
        <f t="shared" si="129"/>
        <v>0</v>
      </c>
      <c r="AE110" s="7" t="str">
        <f t="shared" si="130"/>
        <v/>
      </c>
      <c r="AF110" s="7" t="str">
        <f t="shared" si="131"/>
        <v/>
      </c>
      <c r="AG110" s="7" t="str">
        <f t="shared" si="137"/>
        <v/>
      </c>
      <c r="AH110" s="7"/>
      <c r="AI110" s="7" t="str">
        <f t="shared" si="138"/>
        <v/>
      </c>
      <c r="AJ110" s="7" t="str">
        <f t="shared" si="139"/>
        <v/>
      </c>
      <c r="AK110" s="7"/>
      <c r="AL110" s="7" t="str">
        <f t="shared" si="140"/>
        <v/>
      </c>
      <c r="AM110" s="7"/>
      <c r="AN110" s="7" t="str">
        <f t="shared" si="132"/>
        <v/>
      </c>
      <c r="AO110" s="24">
        <v>3</v>
      </c>
      <c r="AP110" s="24" t="s">
        <v>245</v>
      </c>
      <c r="AQ110" s="7" t="b">
        <f t="shared" si="133"/>
        <v>1</v>
      </c>
      <c r="AR110" s="7">
        <f t="shared" si="134"/>
        <v>3</v>
      </c>
      <c r="AS110" s="7" t="b">
        <f t="shared" si="141"/>
        <v>1</v>
      </c>
      <c r="AT110" s="24"/>
      <c r="AU110" s="7" t="str">
        <f t="shared" si="135"/>
        <v/>
      </c>
      <c r="AV110" s="7" t="str">
        <f t="shared" si="136"/>
        <v/>
      </c>
      <c r="AW110" s="7" t="str">
        <f t="shared" si="142"/>
        <v/>
      </c>
      <c r="AX110" s="41"/>
      <c r="AY110" s="24" t="s">
        <v>213</v>
      </c>
      <c r="AZ110" s="15"/>
    </row>
    <row r="111" spans="28:52">
      <c r="AB111" s="14"/>
      <c r="AC111" s="24"/>
      <c r="AD111" s="7"/>
      <c r="AE111" s="7" t="str">
        <f t="shared" si="130"/>
        <v/>
      </c>
      <c r="AF111" s="7" t="str">
        <f t="shared" si="131"/>
        <v/>
      </c>
      <c r="AG111" s="7" t="str">
        <f t="shared" si="137"/>
        <v/>
      </c>
      <c r="AH111" s="7"/>
      <c r="AI111" s="7" t="str">
        <f t="shared" si="138"/>
        <v/>
      </c>
      <c r="AJ111" s="7" t="str">
        <f t="shared" si="139"/>
        <v/>
      </c>
      <c r="AK111" s="7"/>
      <c r="AL111" s="7" t="str">
        <f t="shared" si="140"/>
        <v/>
      </c>
      <c r="AM111" s="7"/>
      <c r="AN111" s="7" t="str">
        <f t="shared" si="132"/>
        <v/>
      </c>
      <c r="AO111" s="24"/>
      <c r="AP111" s="24"/>
      <c r="AQ111" s="7" t="str">
        <f t="shared" si="133"/>
        <v/>
      </c>
      <c r="AR111" s="7" t="str">
        <f t="shared" si="134"/>
        <v/>
      </c>
      <c r="AS111" s="7" t="str">
        <f t="shared" si="141"/>
        <v/>
      </c>
      <c r="AT111" s="24"/>
      <c r="AU111" s="7" t="str">
        <f t="shared" si="135"/>
        <v/>
      </c>
      <c r="AV111" s="7" t="str">
        <f t="shared" si="136"/>
        <v/>
      </c>
      <c r="AW111" s="7" t="str">
        <f t="shared" si="142"/>
        <v/>
      </c>
      <c r="AX111" s="41"/>
      <c r="AY111" s="24"/>
      <c r="AZ111" s="15"/>
    </row>
    <row r="112" spans="28:52">
      <c r="AB112" s="308" t="s">
        <v>379</v>
      </c>
      <c r="AC112" s="24"/>
      <c r="AD112" s="7"/>
      <c r="AE112" s="7" t="str">
        <f t="shared" si="130"/>
        <v/>
      </c>
      <c r="AF112" s="7" t="str">
        <f t="shared" si="131"/>
        <v/>
      </c>
      <c r="AG112" s="7" t="str">
        <f t="shared" si="137"/>
        <v/>
      </c>
      <c r="AH112" s="7"/>
      <c r="AI112" s="7" t="str">
        <f t="shared" si="138"/>
        <v/>
      </c>
      <c r="AJ112" s="7" t="str">
        <f t="shared" si="139"/>
        <v/>
      </c>
      <c r="AK112" s="7"/>
      <c r="AL112" s="7" t="str">
        <f t="shared" si="140"/>
        <v/>
      </c>
      <c r="AM112" s="7"/>
      <c r="AN112" s="7" t="str">
        <f t="shared" si="132"/>
        <v/>
      </c>
      <c r="AO112" s="24"/>
      <c r="AP112" s="24"/>
      <c r="AQ112" s="7" t="str">
        <f t="shared" si="133"/>
        <v/>
      </c>
      <c r="AR112" s="7" t="str">
        <f t="shared" si="134"/>
        <v/>
      </c>
      <c r="AS112" s="7" t="str">
        <f t="shared" si="141"/>
        <v/>
      </c>
      <c r="AT112" s="24"/>
      <c r="AU112" s="7" t="str">
        <f t="shared" si="135"/>
        <v/>
      </c>
      <c r="AV112" s="7" t="str">
        <f t="shared" si="136"/>
        <v/>
      </c>
      <c r="AW112" s="7" t="str">
        <f t="shared" si="142"/>
        <v/>
      </c>
      <c r="AX112" s="41"/>
      <c r="AY112" s="24"/>
      <c r="AZ112" s="15"/>
    </row>
    <row r="113" spans="28:52">
      <c r="AB113" s="308"/>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15"/>
    </row>
    <row r="114" spans="28:52">
      <c r="AB114" s="308"/>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15"/>
    </row>
    <row r="115" spans="28:52">
      <c r="AB115" s="308"/>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15"/>
    </row>
    <row r="116" spans="28:52">
      <c r="AB116" s="308"/>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15"/>
    </row>
    <row r="117" spans="28:52">
      <c r="AB117" s="308"/>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15"/>
    </row>
    <row r="118" spans="28:52">
      <c r="AB118" s="308"/>
      <c r="AC118" s="24"/>
      <c r="AD118" s="24"/>
      <c r="AE118" s="24"/>
      <c r="AF118" s="24"/>
      <c r="AG118" s="24"/>
      <c r="AH118" s="24"/>
      <c r="AI118" s="24"/>
      <c r="AJ118" s="24"/>
      <c r="AK118" s="24"/>
      <c r="AL118" s="24"/>
      <c r="AM118" s="24"/>
      <c r="AN118" s="24"/>
      <c r="AO118" s="24"/>
      <c r="AP118" s="24"/>
      <c r="AQ118" s="24"/>
      <c r="AR118" s="24"/>
      <c r="AS118" s="24"/>
      <c r="AT118" s="24"/>
      <c r="AU118" s="24"/>
      <c r="AV118" s="24"/>
      <c r="AW118" s="24"/>
      <c r="AX118" s="24"/>
      <c r="AY118" s="24"/>
      <c r="AZ118" s="15"/>
    </row>
    <row r="119" spans="28:52">
      <c r="AB119" s="308"/>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15"/>
    </row>
    <row r="120" spans="28:52">
      <c r="AB120" s="70">
        <v>6</v>
      </c>
      <c r="AC120" s="110" t="s">
        <v>344</v>
      </c>
      <c r="AD120" s="7" t="b">
        <f t="shared" ref="AD120" si="143">NOT(ISERROR(MATCH(AC120,schedule_courses,0)))</f>
        <v>0</v>
      </c>
      <c r="AE120" s="7" t="str">
        <f>IF(AX120,0,IFERROR(INDEX(schedule_semester,MATCH(AC120,schedule_courses,0)), ""))</f>
        <v/>
      </c>
      <c r="AF120" s="7" t="str">
        <f>IF(ISNA(MATCH(AC120, $R$6:$R$7, 0)), "", $R$3)</f>
        <v/>
      </c>
      <c r="AG120" s="7" t="str">
        <f>IF(AE120="", "", AE120&lt;AF120)</f>
        <v/>
      </c>
      <c r="AH120" s="7"/>
      <c r="AI120" s="7" t="str">
        <f>IF(AE120="", "", AE120&gt;=AH120)</f>
        <v/>
      </c>
      <c r="AJ120" s="7" t="str">
        <f>IF(AE120="","",IF(MOD(AE120,2)=0,2,1))</f>
        <v/>
      </c>
      <c r="AK120" s="7"/>
      <c r="AL120" s="7" t="str">
        <f>IF(AK120&lt;&gt;0, AK120&lt;&gt;AJ120, "")</f>
        <v/>
      </c>
      <c r="AM120" s="7"/>
      <c r="AN120" s="7" t="str">
        <f>IFERROR(IF(AM120, INDEX(grade_number, MATCH(INDEX(schedule_grades, MATCH(AC120, schedule_courses, 0)), grade_letter, 0))&gt;=2, ""), "")</f>
        <v/>
      </c>
      <c r="AO120" s="41"/>
      <c r="AP120" s="24"/>
      <c r="AQ120" s="7" t="str">
        <f t="shared" ref="AQ120" si="144">IF(AP120=0,"",NOT(ISERROR(MATCH(AP120,schedule_courses,0))))</f>
        <v/>
      </c>
      <c r="AR120" s="7" t="str">
        <f t="shared" ref="AR120" si="145">IF(IFERROR(INDEX(req_tr_AP_credit, MATCH(AP120, req_course,0)), FALSE),0,IFERROR(INDEX(schedule_semester,MATCH(AP120,schedule_courses,0)), ""))</f>
        <v/>
      </c>
      <c r="AS120" s="7" t="str">
        <f>IF(AR120&lt;&gt;"", AR120&lt;AE120, "")</f>
        <v/>
      </c>
      <c r="AT120" s="24"/>
      <c r="AU120" s="7" t="str">
        <f t="shared" ref="AU120" si="146">IF(AT120=0,"",NOT(ISERROR(MATCH(AT120,schedule_courses,0))))</f>
        <v/>
      </c>
      <c r="AV120" s="7" t="str">
        <f t="shared" ref="AV120" si="147">IF(IFERROR(INDEX(req_tr_AP_credit, MATCH(AT120, req_course)), FALSE),0,IFERROR(INDEX(schedule_semester,MATCH(AT120,schedule_courses,0)), ""))</f>
        <v/>
      </c>
      <c r="AW120" s="7" t="str">
        <f>IF(AV120&lt;&gt;"", AV120&lt;=AE120, "")</f>
        <v/>
      </c>
      <c r="AX120" s="41"/>
      <c r="AY120" s="24" t="s">
        <v>213</v>
      </c>
      <c r="AZ120" s="15"/>
    </row>
    <row r="121" spans="28:52">
      <c r="AB121" s="14"/>
      <c r="AC121" s="111" t="s">
        <v>345</v>
      </c>
      <c r="AD121" s="7" t="b">
        <f t="shared" ref="AD121:AD123" si="148">NOT(ISERROR(MATCH(AC121,schedule_courses,0)))</f>
        <v>0</v>
      </c>
      <c r="AE121" s="7" t="str">
        <f>IF(AX121,0,IFERROR(INDEX(schedule_semester,MATCH(AC121,schedule_courses,0)), ""))</f>
        <v/>
      </c>
      <c r="AF121" s="7" t="str">
        <f>IF(ISNA(MATCH(AC121, $R$6:$R$7, 0)), "", $R$3)</f>
        <v/>
      </c>
      <c r="AG121" s="7" t="str">
        <f t="shared" ref="AG121:AG123" si="149">IF(AE121="", "", AE121&lt;AF121)</f>
        <v/>
      </c>
      <c r="AH121" s="7"/>
      <c r="AI121" s="7" t="str">
        <f t="shared" ref="AI121:AI123" si="150">IF(AE121="", "", AE121&gt;=AH121)</f>
        <v/>
      </c>
      <c r="AJ121" s="7" t="str">
        <f t="shared" ref="AJ121:AJ123" si="151">IF(AE121="","",IF(MOD(AE121,2)=0,2,1))</f>
        <v/>
      </c>
      <c r="AK121" s="7"/>
      <c r="AL121" s="7" t="str">
        <f t="shared" ref="AL121:AL123" si="152">IF(AK121&lt;&gt;0, AK121&lt;&gt;AJ121, "")</f>
        <v/>
      </c>
      <c r="AM121" s="7"/>
      <c r="AN121" s="7" t="str">
        <f>IFERROR(IF(AM121, INDEX(grade_number, MATCH(INDEX(schedule_grades, MATCH(AC121, schedule_courses, 0)), grade_letter, 0))&gt;=2, ""), "")</f>
        <v/>
      </c>
      <c r="AO121" s="41"/>
      <c r="AP121" s="24"/>
      <c r="AQ121" s="7" t="str">
        <f t="shared" ref="AQ121:AQ123" si="153">IF(AP121=0,"",NOT(ISERROR(MATCH(AP121,schedule_courses,0))))</f>
        <v/>
      </c>
      <c r="AR121" s="7" t="str">
        <f t="shared" ref="AR121:AR123" si="154">IF(IFERROR(INDEX(req_tr_AP_credit, MATCH(AP121, req_course,0)), FALSE),0,IFERROR(INDEX(schedule_semester,MATCH(AP121,schedule_courses,0)), ""))</f>
        <v/>
      </c>
      <c r="AS121" s="7" t="str">
        <f t="shared" ref="AS121:AS123" si="155">IF(AR121&lt;&gt;"", AR121&lt;AE121, "")</f>
        <v/>
      </c>
      <c r="AT121" s="24"/>
      <c r="AU121" s="7" t="str">
        <f t="shared" ref="AU121:AU123" si="156">IF(AT121=0,"",NOT(ISERROR(MATCH(AT121,schedule_courses,0))))</f>
        <v/>
      </c>
      <c r="AV121" s="7" t="str">
        <f t="shared" ref="AV121:AV123" si="157">IF(IFERROR(INDEX(req_tr_AP_credit, MATCH(AT121, req_course)), FALSE),0,IFERROR(INDEX(schedule_semester,MATCH(AT121,schedule_courses,0)), ""))</f>
        <v/>
      </c>
      <c r="AW121" s="7" t="str">
        <f t="shared" ref="AW121:AW123" si="158">IF(AV121&lt;&gt;"", AV121&lt;=AE121, "")</f>
        <v/>
      </c>
      <c r="AX121" s="41"/>
      <c r="AY121" s="24" t="s">
        <v>213</v>
      </c>
      <c r="AZ121" s="15"/>
    </row>
    <row r="122" spans="28:52">
      <c r="AB122" s="14"/>
      <c r="AC122" s="111"/>
      <c r="AD122" s="7" t="b">
        <f t="shared" si="148"/>
        <v>0</v>
      </c>
      <c r="AE122" s="7" t="str">
        <f>IF(AX122,0,IFERROR(INDEX(schedule_semester,MATCH(AC122,schedule_courses,0)), ""))</f>
        <v/>
      </c>
      <c r="AF122" s="7" t="str">
        <f>IF(ISNA(MATCH(AC122, $R$6:$R$7, 0)), "", $R$3)</f>
        <v/>
      </c>
      <c r="AG122" s="7" t="str">
        <f t="shared" si="149"/>
        <v/>
      </c>
      <c r="AH122" s="7"/>
      <c r="AI122" s="7" t="str">
        <f t="shared" si="150"/>
        <v/>
      </c>
      <c r="AJ122" s="7" t="str">
        <f t="shared" si="151"/>
        <v/>
      </c>
      <c r="AK122" s="7"/>
      <c r="AL122" s="7" t="str">
        <f t="shared" si="152"/>
        <v/>
      </c>
      <c r="AM122" s="7"/>
      <c r="AN122" s="7" t="str">
        <f>IFERROR(IF(AM122, INDEX(grade_number, MATCH(INDEX(schedule_grades, MATCH(AC122, schedule_courses, 0)), grade_letter, 0))&gt;=2, ""), "")</f>
        <v/>
      </c>
      <c r="AO122" s="41"/>
      <c r="AP122" s="24"/>
      <c r="AQ122" s="7" t="str">
        <f t="shared" si="153"/>
        <v/>
      </c>
      <c r="AR122" s="7" t="str">
        <f t="shared" si="154"/>
        <v/>
      </c>
      <c r="AS122" s="7" t="str">
        <f t="shared" si="155"/>
        <v/>
      </c>
      <c r="AT122" s="24"/>
      <c r="AU122" s="7" t="str">
        <f t="shared" si="156"/>
        <v/>
      </c>
      <c r="AV122" s="7" t="str">
        <f t="shared" si="157"/>
        <v/>
      </c>
      <c r="AW122" s="7" t="str">
        <f t="shared" si="158"/>
        <v/>
      </c>
      <c r="AX122" s="41"/>
      <c r="AY122" s="24" t="s">
        <v>213</v>
      </c>
      <c r="AZ122" s="15"/>
    </row>
    <row r="123" spans="28:52">
      <c r="AB123" s="14"/>
      <c r="AC123" s="112"/>
      <c r="AD123" s="7" t="b">
        <f t="shared" si="148"/>
        <v>0</v>
      </c>
      <c r="AE123" s="7" t="str">
        <f>IF(AX123,0,IFERROR(INDEX(schedule_semester,MATCH(AC123,schedule_courses,0)), ""))</f>
        <v/>
      </c>
      <c r="AF123" s="7" t="str">
        <f>IF(ISNA(MATCH(AC123, $R$6:$R$7, 0)), "", $R$3)</f>
        <v/>
      </c>
      <c r="AG123" s="7" t="str">
        <f t="shared" si="149"/>
        <v/>
      </c>
      <c r="AH123" s="7"/>
      <c r="AI123" s="7" t="str">
        <f t="shared" si="150"/>
        <v/>
      </c>
      <c r="AJ123" s="7" t="str">
        <f t="shared" si="151"/>
        <v/>
      </c>
      <c r="AK123" s="7"/>
      <c r="AL123" s="7" t="str">
        <f t="shared" si="152"/>
        <v/>
      </c>
      <c r="AM123" s="7"/>
      <c r="AN123" s="7" t="str">
        <f>IFERROR(IF(AM123, INDEX(grade_number, MATCH(INDEX(schedule_grades, MATCH(AC123, schedule_courses, 0)), grade_letter, 0))&gt;=2, ""), "")</f>
        <v/>
      </c>
      <c r="AO123" s="41"/>
      <c r="AP123" s="24"/>
      <c r="AQ123" s="7" t="str">
        <f t="shared" si="153"/>
        <v/>
      </c>
      <c r="AR123" s="7" t="str">
        <f t="shared" si="154"/>
        <v/>
      </c>
      <c r="AS123" s="7" t="str">
        <f t="shared" si="155"/>
        <v/>
      </c>
      <c r="AT123" s="24"/>
      <c r="AU123" s="7" t="str">
        <f t="shared" si="156"/>
        <v/>
      </c>
      <c r="AV123" s="7" t="str">
        <f t="shared" si="157"/>
        <v/>
      </c>
      <c r="AW123" s="7" t="str">
        <f t="shared" si="158"/>
        <v/>
      </c>
      <c r="AX123" s="41"/>
      <c r="AY123" s="24" t="s">
        <v>213</v>
      </c>
      <c r="AZ123" s="15"/>
    </row>
    <row r="124" spans="28:52">
      <c r="AB124" s="16" t="s">
        <v>47</v>
      </c>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15"/>
    </row>
    <row r="125" spans="28:52">
      <c r="AB125" s="65" cm="1">
        <f t="array" ref="AB125">SUM(IF(ISNA(MATCH(AC120:AC123,schedule_courses,0)),0,1)*(AO120:AO123))</f>
        <v>0</v>
      </c>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
      <c r="AZ125" s="15"/>
    </row>
    <row r="126" spans="28:52">
      <c r="AB126" s="113" t="str">
        <f>IF(AB125&gt;=AB120, "Satisfied", "Not Satisfied")</f>
        <v>Not Satisfied</v>
      </c>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26"/>
    </row>
  </sheetData>
  <sheetProtection sheet="1" selectLockedCells="1"/>
  <sortState xmlns:xlrd2="http://schemas.microsoft.com/office/spreadsheetml/2017/richdata2" ref="AB4:AZ115">
    <sortCondition ref="AZ4:AZ115" customList="R,VEE,S"/>
  </sortState>
  <mergeCells count="10">
    <mergeCell ref="R2:V2"/>
    <mergeCell ref="R3:V3"/>
    <mergeCell ref="R5:V5"/>
    <mergeCell ref="AB112:AB119"/>
    <mergeCell ref="R38:S38"/>
    <mergeCell ref="R6:V6"/>
    <mergeCell ref="R7:V7"/>
    <mergeCell ref="R8:V8"/>
    <mergeCell ref="T27:V27"/>
    <mergeCell ref="R11:V11"/>
  </mergeCells>
  <conditionalFormatting sqref="R13:R24">
    <cfRule type="expression" dxfId="25" priority="45">
      <formula>NOT(V13)</formula>
    </cfRule>
    <cfRule type="expression" dxfId="24" priority="46">
      <formula>V13</formula>
    </cfRule>
  </conditionalFormatting>
  <conditionalFormatting sqref="R3:V3">
    <cfRule type="expression" dxfId="23" priority="47">
      <formula>NOT(etm_full_satisfied)</formula>
    </cfRule>
    <cfRule type="expression" dxfId="22" priority="48">
      <formula>etm_fully_satisfied</formula>
    </cfRule>
  </conditionalFormatting>
  <conditionalFormatting sqref="R6:R8">
    <cfRule type="expression" dxfId="21" priority="51">
      <formula>NOT(Z6)</formula>
    </cfRule>
    <cfRule type="expression" dxfId="20" priority="52">
      <formula>Z6</formula>
    </cfRule>
  </conditionalFormatting>
  <conditionalFormatting sqref="AB78:AB79">
    <cfRule type="expression" dxfId="19" priority="53">
      <formula>$AB$78&lt;$AB$72</formula>
    </cfRule>
    <cfRule type="expression" dxfId="18" priority="54">
      <formula>$AB$78&gt;=$AB$72</formula>
    </cfRule>
  </conditionalFormatting>
  <conditionalFormatting sqref="AC4:AC126">
    <cfRule type="expression" dxfId="17" priority="29" stopIfTrue="1">
      <formula>AX4</formula>
    </cfRule>
    <cfRule type="expression" dxfId="16" priority="30">
      <formula>NOT(AD4)</formula>
    </cfRule>
    <cfRule type="expression" dxfId="15" priority="31">
      <formula>AL4</formula>
    </cfRule>
    <cfRule type="expression" dxfId="14" priority="32">
      <formula>NOT(AI4)</formula>
    </cfRule>
    <cfRule type="expression" dxfId="13" priority="39">
      <formula>IFERROR(NOT(AN4), FALSE)</formula>
    </cfRule>
    <cfRule type="expression" dxfId="12" priority="40">
      <formula>AD4</formula>
    </cfRule>
  </conditionalFormatting>
  <conditionalFormatting sqref="AP4:AP126 AT4:AT126">
    <cfRule type="expression" dxfId="11" priority="41" stopIfTrue="1">
      <formula>IFERROR(INDEX(req_tr_AP_credit, MATCH(AP4, req_course, 0)), FALSE)</formula>
    </cfRule>
    <cfRule type="expression" dxfId="10" priority="42">
      <formula>IFERROR(NOT(AQ4), FALSE)</formula>
    </cfRule>
    <cfRule type="expression" dxfId="9" priority="43">
      <formula>IFERROR(NOT(AS4), FALSE)</formula>
    </cfRule>
    <cfRule type="expression" dxfId="8" priority="44">
      <formula>IFERROR(AQ4, FALSE)</formula>
    </cfRule>
  </conditionalFormatting>
  <conditionalFormatting sqref="AB101:AB102">
    <cfRule type="expression" dxfId="7" priority="55">
      <formula>$AB$101&lt;$AB$82</formula>
    </cfRule>
    <cfRule type="expression" dxfId="6" priority="56">
      <formula>$AB$101&gt;=$AB$82</formula>
    </cfRule>
  </conditionalFormatting>
  <conditionalFormatting sqref="AB125:AB126">
    <cfRule type="expression" dxfId="5" priority="57">
      <formula>$AB$125&lt;$AB$120</formula>
    </cfRule>
    <cfRule type="expression" dxfId="4" priority="58">
      <formula>$AB$125&gt;=$AB$120</formula>
    </cfRule>
  </conditionalFormatting>
  <conditionalFormatting sqref="A1:XFD1048576">
    <cfRule type="expression" dxfId="3" priority="7">
      <formula>CELL("protect", A1)=1</formula>
    </cfRule>
    <cfRule type="expression" priority="8" stopIfTrue="1">
      <formula>OR(A1="Course", A1="Prequisites", A1="Corequisites", ISBLANK(A1))</formula>
    </cfRule>
  </conditionalFormatting>
  <conditionalFormatting sqref="BD37:BF49">
    <cfRule type="expression" dxfId="2" priority="5">
      <formula>CELL("protect", BD37)=1</formula>
    </cfRule>
    <cfRule type="expression" priority="6" stopIfTrue="1">
      <formula>OR(BD37="Course", BD37="Prequisites", BD37="Corequisites", ISBLANK(BD37))</formula>
    </cfRule>
  </conditionalFormatting>
  <conditionalFormatting sqref="BD62:BD68">
    <cfRule type="expression" dxfId="1" priority="3">
      <formula>CELL("protect", BD62)=1</formula>
    </cfRule>
    <cfRule type="expression" priority="4" stopIfTrue="1">
      <formula>OR(BD62="Course", BD62="Prequisites", BD62="Corequisites", ISBLANK(BD62))</formula>
    </cfRule>
  </conditionalFormatting>
  <conditionalFormatting sqref="R28:R35">
    <cfRule type="expression" dxfId="0" priority="1">
      <formula>CELL("protect", R28)=1</formula>
    </cfRule>
    <cfRule type="expression" priority="2" stopIfTrue="1">
      <formula>OR(R28="Course", R28="Prequisites", R28="Corequisites", ISBLANK(R28))</formula>
    </cfRule>
  </conditionalFormatting>
  <dataValidations count="13">
    <dataValidation type="custom" showInputMessage="1" showErrorMessage="1" errorTitle="Course Entry Error" error="Make sure the course name is entered correctly. If you are entering a gen-ed, make sure you used the correct format (see instructions FAQ). If you are entering a non-required course, make sure you add it in the additional courses section." sqref="L2:L82" xr:uid="{BFF0C5CC-602C-1E4B-9D73-BF1DCBA03E51}">
      <formula1>OR(NOT(ISNA(MATCH(L2,req_course, 0))),LEFT(L2, 2)="GQ", LEFT(L2, 3)="GWS", LEFT(L2, 2)="GA", LEFT(L2, 3)="GHW", LEFT(L2, 2)="GH", LEFT(L2, 3)="GWS", LEFT(L2, 2)="GS", LEFT(L2, 2)="GN")</formula1>
    </dataValidation>
    <dataValidation type="list" allowBlank="1" showInputMessage="1" showErrorMessage="1" sqref="K2:K82" xr:uid="{C844B055-18EA-9E43-8471-BBA8E2D17A5E}">
      <formula1>grade_letter</formula1>
    </dataValidation>
    <dataValidation type="list" allowBlank="1" showInputMessage="1" showErrorMessage="1" sqref="O2:O82 S40 AX4:AX126" xr:uid="{25B28FAD-E4DB-C545-B394-C1FEF8533FFF}">
      <formula1>tf</formula1>
    </dataValidation>
    <dataValidation type="list" allowBlank="1" showInputMessage="1" showErrorMessage="1" sqref="P2:P82" xr:uid="{3091A603-0600-5947-81E3-F7373A0E2CDC}">
      <formula1>usil</formula1>
    </dataValidation>
    <dataValidation type="whole" allowBlank="1" showInputMessage="1" showErrorMessage="1" errorTitle="Semester Entry Error" error="Make sure you have entered the semester number correctly." sqref="R3:V3" xr:uid="{890D58DB-9173-3243-9464-1B2A858E19BA}">
      <formula1>0</formula1>
      <formula2>6</formula2>
    </dataValidation>
    <dataValidation type="decimal" operator="greaterThanOrEqual" allowBlank="1" showInputMessage="1" showErrorMessage="1" errorTitle="Credit Entry Error" error="Make sure you have entered the credits number correctly." sqref="U13:U24" xr:uid="{1D9AA9A4-B7EC-C245-95AA-73847C6A18CD}">
      <formula1>0</formula1>
    </dataValidation>
    <dataValidation type="decimal" allowBlank="1" showInputMessage="1" showErrorMessage="1" errorTitle="Semester Entry Error" error="Make sure you have correctly entered the semester number. " sqref="S39" xr:uid="{59FFECC4-E378-9349-A510-763BA55145E8}">
      <formula1>0</formula1>
      <formula2>10</formula2>
    </dataValidation>
    <dataValidation type="list" allowBlank="1" showInputMessage="1" showErrorMessage="1" sqref="AC5" xr:uid="{B72986B6-37F8-C94D-BE95-DEA800F0FE8D}">
      <formula1>$AA$4:$AA$6</formula1>
    </dataValidation>
    <dataValidation type="list" allowBlank="1" showInputMessage="1" showErrorMessage="1" sqref="AC6" xr:uid="{D9665A14-5883-814A-B9F7-9452055FCF83}">
      <formula1>$AA$7:$AA$8</formula1>
    </dataValidation>
    <dataValidation type="list" allowBlank="1" showInputMessage="1" showErrorMessage="1" sqref="AC13" xr:uid="{1185E748-FC34-9E49-BEB5-48E693F5A941}">
      <formula1>$AA$13:$AA$14</formula1>
    </dataValidation>
    <dataValidation type="list" allowBlank="1" showInputMessage="1" showErrorMessage="1" sqref="AC20" xr:uid="{EB0D0030-BA1B-0241-B8DC-3E663956A1A1}">
      <formula1>$AA$20:$AA$21</formula1>
    </dataValidation>
    <dataValidation allowBlank="1" showInputMessage="1" showErrorMessage="1" prompt="Enter credit amounts in cell to right_x000a_" sqref="AC48:AC61 AC120:AC123" xr:uid="{AA71B1E8-0419-7C44-89D3-26D32A65A2CB}"/>
    <dataValidation type="list" allowBlank="1" showInputMessage="1" showErrorMessage="1" sqref="AY4:AY126" xr:uid="{560DADD3-EA02-FB4B-8C6F-389A84774E2F}">
      <formula1>$R$13:$R$20</formula1>
    </dataValidation>
  </dataValidations>
  <pageMargins left="0.7" right="0.7" top="0.75" bottom="0.75" header="0.3" footer="0.3"/>
  <ignoredErrors>
    <ignoredError sqref="S33" formula="1"/>
  </ignoredErrors>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EB4D1-58EE-4C48-825C-AFAAFA944F51}">
  <sheetPr>
    <tabColor theme="5" tint="0.79998168889431442"/>
  </sheetPr>
  <dimension ref="A1:P3"/>
  <sheetViews>
    <sheetView workbookViewId="0">
      <selection activeCell="G33" sqref="G33"/>
    </sheetView>
  </sheetViews>
  <sheetFormatPr defaultColWidth="11" defaultRowHeight="15.6"/>
  <cols>
    <col min="3" max="3" width="14.09765625" customWidth="1"/>
    <col min="5" max="5" width="12.3984375" customWidth="1"/>
  </cols>
  <sheetData>
    <row r="1" spans="1:16" ht="25.8">
      <c r="A1" s="163" t="s">
        <v>403</v>
      </c>
      <c r="B1" s="162"/>
      <c r="C1" s="162"/>
      <c r="D1" s="162"/>
      <c r="E1" s="162"/>
      <c r="F1" s="162"/>
      <c r="G1" s="162"/>
      <c r="H1" s="162"/>
      <c r="I1" s="162"/>
      <c r="J1" s="162"/>
      <c r="K1" s="162"/>
      <c r="L1" s="162"/>
      <c r="M1" s="162"/>
      <c r="N1" s="162"/>
      <c r="O1" s="162"/>
      <c r="P1" s="162"/>
    </row>
    <row r="3" spans="1:16">
      <c r="A3" t="s">
        <v>404</v>
      </c>
      <c r="B3" t="s">
        <v>405</v>
      </c>
      <c r="C3" t="s">
        <v>406</v>
      </c>
      <c r="D3" t="s">
        <v>407</v>
      </c>
      <c r="E3" t="s">
        <v>408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872F103989A8B429F0DE50D98D64FEE" ma:contentTypeVersion="11" ma:contentTypeDescription="Create a new document." ma:contentTypeScope="" ma:versionID="033d783a6ed4dd5ecd0b99c76cbe6c39">
  <xsd:schema xmlns:xsd="http://www.w3.org/2001/XMLSchema" xmlns:xs="http://www.w3.org/2001/XMLSchema" xmlns:p="http://schemas.microsoft.com/office/2006/metadata/properties" xmlns:ns2="ec43c952-dda6-402b-85e9-87b94597dbb3" xmlns:ns3="1a2edd46-85ab-49ea-886e-6d89001fdf49" targetNamespace="http://schemas.microsoft.com/office/2006/metadata/properties" ma:root="true" ma:fieldsID="0c99d05a8bd79f5868d76d0c7f20559f" ns2:_="" ns3:_="">
    <xsd:import namespace="ec43c952-dda6-402b-85e9-87b94597dbb3"/>
    <xsd:import namespace="1a2edd46-85ab-49ea-886e-6d89001fdf4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43c952-dda6-402b-85e9-87b94597dbb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2edd46-85ab-49ea-886e-6d89001fdf4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14FC2AE-0B9C-4693-A33B-D75A74DEB12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43c952-dda6-402b-85e9-87b94597dbb3"/>
    <ds:schemaRef ds:uri="1a2edd46-85ab-49ea-886e-6d89001fdf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C94EA08-C47B-4FEA-9181-D2D3EB210562}">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796C54D-33C6-4C86-95E7-164377B76FE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134</vt:i4>
      </vt:variant>
    </vt:vector>
  </HeadingPairs>
  <TitlesOfParts>
    <vt:vector size="139" baseType="lpstr">
      <vt:lpstr>Instructions</vt:lpstr>
      <vt:lpstr>Actuarial Science</vt:lpstr>
      <vt:lpstr>Statistics</vt:lpstr>
      <vt:lpstr>Mathematics</vt:lpstr>
      <vt:lpstr>Revision Log</vt:lpstr>
      <vt:lpstr>'Actuarial Science'!calculator_semester</vt:lpstr>
      <vt:lpstr>Statistics!calculator_semester</vt:lpstr>
      <vt:lpstr>calculator_semester</vt:lpstr>
      <vt:lpstr>'Actuarial Science'!engl</vt:lpstr>
      <vt:lpstr>engl</vt:lpstr>
      <vt:lpstr>'Actuarial Science'!etm_courses</vt:lpstr>
      <vt:lpstr>Statistics!etm_courses</vt:lpstr>
      <vt:lpstr>etm_courses</vt:lpstr>
      <vt:lpstr>'Actuarial Science'!etm_courses_index</vt:lpstr>
      <vt:lpstr>Statistics!etm_courses_index</vt:lpstr>
      <vt:lpstr>etm_courses_index</vt:lpstr>
      <vt:lpstr>'Actuarial Science'!etm_fully_satisfied</vt:lpstr>
      <vt:lpstr>Statistics!etm_fully_satisfied</vt:lpstr>
      <vt:lpstr>etm_fully_satisfied</vt:lpstr>
      <vt:lpstr>'Actuarial Science'!etm_gpa</vt:lpstr>
      <vt:lpstr>Statistics!etm_gpa</vt:lpstr>
      <vt:lpstr>etm_gpa</vt:lpstr>
      <vt:lpstr>'Actuarial Science'!etm_items</vt:lpstr>
      <vt:lpstr>Statistics!etm_items</vt:lpstr>
      <vt:lpstr>etm_items</vt:lpstr>
      <vt:lpstr>'Actuarial Science'!etm_items_satisfied</vt:lpstr>
      <vt:lpstr>Statistics!etm_items_satisfied</vt:lpstr>
      <vt:lpstr>etm_items_satisfied</vt:lpstr>
      <vt:lpstr>'Actuarial Science'!etm_semester</vt:lpstr>
      <vt:lpstr>Statistics!etm_semester</vt:lpstr>
      <vt:lpstr>etm_semester</vt:lpstr>
      <vt:lpstr>'Actuarial Science'!ge_course</vt:lpstr>
      <vt:lpstr>Statistics!ge_course</vt:lpstr>
      <vt:lpstr>ge_course</vt:lpstr>
      <vt:lpstr>'Actuarial Science'!ge_credits_required</vt:lpstr>
      <vt:lpstr>Statistics!ge_credits_required</vt:lpstr>
      <vt:lpstr>ge_credits_required</vt:lpstr>
      <vt:lpstr>'Actuarial Science'!ge_credits_taken</vt:lpstr>
      <vt:lpstr>Statistics!ge_credits_taken</vt:lpstr>
      <vt:lpstr>ge_credits_taken</vt:lpstr>
      <vt:lpstr>'Actuarial Science'!ge_satisfied</vt:lpstr>
      <vt:lpstr>Statistics!ge_satisfied</vt:lpstr>
      <vt:lpstr>ge_satisfied</vt:lpstr>
      <vt:lpstr>'Actuarial Science'!ge_tr_AP_credits</vt:lpstr>
      <vt:lpstr>Statistics!ge_tr_AP_credits</vt:lpstr>
      <vt:lpstr>ge_tr_AP_credits</vt:lpstr>
      <vt:lpstr>'Actuarial Science'!gpa</vt:lpstr>
      <vt:lpstr>Statistics!gpa</vt:lpstr>
      <vt:lpstr>gpa</vt:lpstr>
      <vt:lpstr>'Actuarial Science'!gpa_tf</vt:lpstr>
      <vt:lpstr>Statistics!gpa_tf</vt:lpstr>
      <vt:lpstr>gpa_tf</vt:lpstr>
      <vt:lpstr>'Actuarial Science'!grade_letter</vt:lpstr>
      <vt:lpstr>Statistics!grade_letter</vt:lpstr>
      <vt:lpstr>grade_letter</vt:lpstr>
      <vt:lpstr>'Actuarial Science'!grade_number</vt:lpstr>
      <vt:lpstr>Statistics!grade_number</vt:lpstr>
      <vt:lpstr>grade_number</vt:lpstr>
      <vt:lpstr>'Actuarial Science'!req_at_after_semester</vt:lpstr>
      <vt:lpstr>Statistics!req_at_after_semester</vt:lpstr>
      <vt:lpstr>req_at_after_semester</vt:lpstr>
      <vt:lpstr>'Actuarial Science'!req_before_semester</vt:lpstr>
      <vt:lpstr>Statistics!req_before_semester</vt:lpstr>
      <vt:lpstr>req_before_semester</vt:lpstr>
      <vt:lpstr>'Actuarial Science'!req_before_semester_satisfied</vt:lpstr>
      <vt:lpstr>Statistics!req_before_semester_satisfied</vt:lpstr>
      <vt:lpstr>req_before_semester_satisfied</vt:lpstr>
      <vt:lpstr>'Actuarial Science'!req_cb_satisfied</vt:lpstr>
      <vt:lpstr>Statistics!req_cb_satisfied</vt:lpstr>
      <vt:lpstr>req_cb_satisfied</vt:lpstr>
      <vt:lpstr>'Actuarial Science'!req_corequisites</vt:lpstr>
      <vt:lpstr>Statistics!req_corequisites</vt:lpstr>
      <vt:lpstr>req_corequisites</vt:lpstr>
      <vt:lpstr>'Actuarial Science'!req_course</vt:lpstr>
      <vt:lpstr>Statistics!req_course</vt:lpstr>
      <vt:lpstr>req_course</vt:lpstr>
      <vt:lpstr>'Actuarial Science'!req_credits</vt:lpstr>
      <vt:lpstr>Statistics!req_credits</vt:lpstr>
      <vt:lpstr>req_credits</vt:lpstr>
      <vt:lpstr>'Actuarial Science'!req_enteredmajor_cc_satisfied</vt:lpstr>
      <vt:lpstr>Statistics!req_enteredmajor_cc_satisfied</vt:lpstr>
      <vt:lpstr>req_enteredmajor_cc_satisfied</vt:lpstr>
      <vt:lpstr>'Actuarial Science'!req_fallonly_springonly</vt:lpstr>
      <vt:lpstr>Statistics!req_fallonly_springonly</vt:lpstr>
      <vt:lpstr>req_fallonly_springonly</vt:lpstr>
      <vt:lpstr>'Actuarial Science'!req_gecode</vt:lpstr>
      <vt:lpstr>Statistics!req_gecode</vt:lpstr>
      <vt:lpstr>req_gecode</vt:lpstr>
      <vt:lpstr>'Actuarial Science'!req_odd_even</vt:lpstr>
      <vt:lpstr>Statistics!req_odd_even</vt:lpstr>
      <vt:lpstr>req_odd_even</vt:lpstr>
      <vt:lpstr>'Actuarial Science'!req_prerequisites</vt:lpstr>
      <vt:lpstr>Statistics!req_prerequisites</vt:lpstr>
      <vt:lpstr>req_prerequisites</vt:lpstr>
      <vt:lpstr>'Actuarial Science'!req_semester_taken</vt:lpstr>
      <vt:lpstr>Statistics!req_semester_taken</vt:lpstr>
      <vt:lpstr>req_semester_taken</vt:lpstr>
      <vt:lpstr>'Actuarial Science'!req_tr_AP_credit</vt:lpstr>
      <vt:lpstr>Statistics!req_tr_AP_credit</vt:lpstr>
      <vt:lpstr>req_tr_AP_credit</vt:lpstr>
      <vt:lpstr>'Actuarial Science'!schedule_count_cumulative_calculator</vt:lpstr>
      <vt:lpstr>Statistics!schedule_count_cumulative_calculator</vt:lpstr>
      <vt:lpstr>schedule_count_cumulative_calculator</vt:lpstr>
      <vt:lpstr>'Actuarial Science'!schedule_count_cumulative_etm</vt:lpstr>
      <vt:lpstr>Statistics!schedule_count_cumulative_etm</vt:lpstr>
      <vt:lpstr>schedule_count_cumulative_etm</vt:lpstr>
      <vt:lpstr>'Actuarial Science'!schedule_count_semester_calculator</vt:lpstr>
      <vt:lpstr>Statistics!schedule_count_semester_calculator</vt:lpstr>
      <vt:lpstr>schedule_count_semester_calculator</vt:lpstr>
      <vt:lpstr>'Actuarial Science'!schedule_courses</vt:lpstr>
      <vt:lpstr>Statistics!schedule_courses</vt:lpstr>
      <vt:lpstr>schedule_courses</vt:lpstr>
      <vt:lpstr>'Actuarial Science'!schedule_credits</vt:lpstr>
      <vt:lpstr>Statistics!schedule_credits</vt:lpstr>
      <vt:lpstr>schedule_credits</vt:lpstr>
      <vt:lpstr>'Actuarial Science'!schedule_gecode</vt:lpstr>
      <vt:lpstr>Statistics!schedule_gecode</vt:lpstr>
      <vt:lpstr>schedule_gecode</vt:lpstr>
      <vt:lpstr>'Actuarial Science'!schedule_grades</vt:lpstr>
      <vt:lpstr>Statistics!schedule_grades</vt:lpstr>
      <vt:lpstr>schedule_grades</vt:lpstr>
      <vt:lpstr>'Actuarial Science'!schedule_n</vt:lpstr>
      <vt:lpstr>Statistics!schedule_n</vt:lpstr>
      <vt:lpstr>schedule_n</vt:lpstr>
      <vt:lpstr>'Actuarial Science'!schedule_semester</vt:lpstr>
      <vt:lpstr>Statistics!schedule_semester</vt:lpstr>
      <vt:lpstr>schedule_semester</vt:lpstr>
      <vt:lpstr>'Actuarial Science'!schedule_usil</vt:lpstr>
      <vt:lpstr>Statistics!schedule_usil</vt:lpstr>
      <vt:lpstr>schedule_usil</vt:lpstr>
      <vt:lpstr>'Actuarial Science'!tf</vt:lpstr>
      <vt:lpstr>Mathematics!tf</vt:lpstr>
      <vt:lpstr>Statistics!tf</vt:lpstr>
      <vt:lpstr>'Actuarial Science'!usil</vt:lpstr>
      <vt:lpstr>Mathematics!usil</vt:lpstr>
      <vt:lpstr>Statistics!usil</vt:lpstr>
      <vt:lpstr>'Actuarial Science'!ws</vt:lpstr>
      <vt:lpstr>Statistics!ws</vt:lpstr>
      <vt:lpstr>ws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Shravani Samala</cp:lastModifiedBy>
  <cp:revision/>
  <dcterms:created xsi:type="dcterms:W3CDTF">2020-05-15T20:55:59Z</dcterms:created>
  <dcterms:modified xsi:type="dcterms:W3CDTF">2020-09-04T14:57:13Z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0x0101007872F103989A8B429F0DE50D98D64FEE</vt:lpwstr>
  </property>
</Properties>
</file>