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<sst xmlns="http://schemas.openxmlformats.org/spreadsheetml/2006/main" count="1920" uniqueCount="1900">
  <si>
    <t>title</t>
  </si>
  <si>
    <t>question</t>
  </si>
  <si>
    <t>long_answer</t>
  </si>
  <si>
    <t>short_answer</t>
  </si>
  <si>
    <t>t</t>
  </si>
  <si>
    <t>q</t>
  </si>
  <si>
    <t>l</t>
  </si>
  <si>
    <t>s</t>
  </si>
  <si>
    <t xml:space="preserve"> Email marketing </t>
  </si>
  <si>
    <t>which is the most common use of opt-in e-mail marketing</t>
  </si>
  <si>
    <t xml:space="preserve"> A common example of permission marketing is a newsletter sent to an advertising firm 's customers . Such newsletters inform customers of upcoming events or promotions , or new products . In this type of advertising , a company that wants to send a newsletter to their customers may ask them at the point of purchase if they would like to receive the newsletter . </t>
  </si>
  <si>
    <t>a newsletter sent to an advertising firm 's customers</t>
  </si>
  <si>
    <t xml:space="preserve"> The Mother ( How I Met Your Mother ) </t>
  </si>
  <si>
    <t>how i.met your mother who is the mother</t>
  </si>
  <si>
    <t xml:space="preserve"> Tracy McConnell , better known as `` The Mother '' , is the title character from the CBS television sitcom How I Met Your Mother . The show , narrated by Future Ted , tells the story of how Ted Mosby met The Mother . Tracy McConnell appears in 8 episodes from `` Lucky Penny '' to `` The Time Travelers '' as an unseen character ; she was first seen fully in `` Something New '' and was promoted to a main character in season 9 . The Mother is played by Cristin Milioti . </t>
  </si>
  <si>
    <t>Tracy McConnell</t>
  </si>
  <si>
    <t xml:space="preserve"> Human fertilization </t>
  </si>
  <si>
    <t>what type of fertilisation takes place in humans</t>
  </si>
  <si>
    <t xml:space="preserve"> The process of fertilization involves a sperm fusing with an ovum . The most common sequence begins with ejaculation during copulation , follows with ovulation , and finishes with fertilization . Various exceptions to this sequence are possible , including artificial insemination , in vitro fertilization , external ejaculation without copulation , or copulation shortly after ovulation . Upon encountering the secondary oocyte , the acrosome of the sperm produces enzymes which allow it to burrow through the outer jelly coat of the egg . The sperm plasma then fuses with the egg 's plasma membrane , the sperm head disconnects from its flagellum and the egg travels down the Fallopian tube to reach the uterus . </t>
  </si>
  <si>
    <t xml:space="preserve"> List of National Football League career quarterback wins leaders </t>
  </si>
  <si>
    <t>who had the most wins in the nfl</t>
  </si>
  <si>
    <t xml:space="preserve"> Active quarterback Tom Brady holds the records for most wins with 220 , most regular season wins with 195 , and most postseason wins with 25 , as of Week 16 of the 2017 NFL season . Having played the entirety of his career with the New England Patriots , each of Brady 's win records also apply to wins with a single team . </t>
  </si>
  <si>
    <t xml:space="preserve"> Pom Klementieff </t>
  </si>
  <si>
    <t>who played mantis guardians of the galaxy 2</t>
  </si>
  <si>
    <t xml:space="preserve"> Pom Klementieff ( born 3 May 1986 ) is a French actress . She was trained at the Cours Florent drama school in Paris and has appeared in such films as Loup ( 2009 ) , Sleepless Night ( 2011 ) and Hacker 's Game ( 2015 ) . She plays the role of Mantis in the film Guardians of the Galaxy Vol. 2 ( 2017 ) and will appear in the same role in the film Avengers : Infinity War ( 2018 ) . </t>
  </si>
  <si>
    <t>Pom Klementieff</t>
  </si>
  <si>
    <t xml:space="preserve"> History of the Acadians </t>
  </si>
  <si>
    <t>what indian tribe did the acadians form friendships and alliances with</t>
  </si>
  <si>
    <t xml:space="preserve"> The survival of the Acadian settlements was based on successful cooperation with the Indigenous peoples of the region . In the early years of Acadian settlement , this included a small number of recorded marriages between Acadian settlers and Indigenous women . Some records have survived showing marriages between Acadian settlers and Indigenous women in formal Roman Catholic rites , for example , the marriage of Charles La Tour to a Mi'kmaw woman in 1626 . There were also reported instances of Acadian settlers marrying Indigenous spouses according to Mi'kmaq rites , and subsequently living in Mi'kmaq communities . Many settlers also brought French wives with them to Acadia , such as La Tour 's second wife , Françoise - Marie Jacquelin , who joined him in Acadia in 1640 . </t>
  </si>
  <si>
    <t xml:space="preserve"> Deputy chief Minister of Jammu and Kashmir </t>
  </si>
  <si>
    <t>who is deputy cm of j and k</t>
  </si>
  <si>
    <t xml:space="preserve">   Deputy Chief Minister of Jammu and Kashmir     Incumbent Vacant since 20 June 2018     Appointer   Governor of Jammu and Kashmir     Inaugural holder   Bakshi Ghulam Mohammad ( as Deputy Prime Minister )     Formation   5 March 1948   </t>
  </si>
  <si>
    <t xml:space="preserve"> Nashville sound </t>
  </si>
  <si>
    <t>the nashville sound brought a polished and cosmopolitan sound to country music by</t>
  </si>
  <si>
    <t xml:space="preserve"> In the early 1960s , the Nashville sound began to be challenged by the rival Bakersfield sound on the country side and by the British Invasion on the pop side ; compounding these problems were the sudden deaths , in separate airplane crashes , of Patsy Cline and Jim Reeves , two of the Nashville Sound 's biggest stars . Nashville 's pop song structure became more pronounced and it morphed into what was called Countrypolitan - a smoother sound typified through the use of lush string arrangements with a real orchestra and often , background vocals provided by a choir . Countrypolitan was aimed straight at mainstream markets and it sold well throughout the later 1960s into the early 1970s . Among the architects of this sound were producers Billy Sherrill ( who was instrumental in shaping Tammy Wynette 's early career ) and Glenn Sutton . Artists who typified the countrypolitan sound initially included Wynette , Glen Campbell ( who recorded in Hollywood and not Nashville ) , Lynn Anderson , Charlie Rich , and Charley Pride , the latter being a rare example of a top - selling African - American country performer . </t>
  </si>
  <si>
    <t>the use of lush string arrangements with a real orchestra and often , background vocals provided by a choir</t>
  </si>
  <si>
    <t xml:space="preserve"> List of Premier League broadcasters </t>
  </si>
  <si>
    <t>what channel is the premier league on in france</t>
  </si>
  <si>
    <t xml:space="preserve">   Country   Language   Broadcasters     Albania   Albanian   SuperSport     Kosovo     Serbia   Serbian Croatian Macedonian Slovenian   Sport Klub     Croatia     Bosnia and Herzegovina     Montenegro     Macedonia     Slovenia     Andorra   Spanish   Movistar+     Armenia   Armenian   Armenia 2     Austria   German   DAZN     Azerbaijan   Azerbaijani   AzTV     Belarus   Belarusian   Beltelradio     Belgium   Dutch French   Play Sports VOO Sport     Bulgaria   Bulgarian   Diema Sport     Cyprus   Greek   CytaVision     Czech Republic   Czech   Digi Sport     Denmark   Danish   TV3 Sport 6'eren     Estonia   Estonian   Viasat Sport Baltic     Finland   Finnish   Viasat Sport     France   French   SFR Sport     Georgia   Georgian   Silknet     Germany   German   DAZN     Greece   Greek   Cosmote Sport     Hungary   Hungarian   Spíler TV     Iceland   Icelandic   Stöð 2 Sport     Ireland   English   Sky Sports BT Sport     Italy   Italian   SKY Sport     Latvia   Latvian   Viasat Sport Baltic     Liechtenstein   German   DAZN     Lithuania   Lithuanian   Viasat Sport Baltic     Luxembourg   French   VOO Sport     Malta   English   GO Sports     Netherlands   Dutch   Ziggo Sport Totaal     Norway   English / Norwegian   TV2     Poland   Polish   NC+     Portugal   Portuguese   Sport TV     Romania   Romanian   Eurosport 1 Telekom Sport     Russia   Russian   Match TV     San Marino   Italian   SKY Sport     Slovakia   Czech   Digi Sport     Spain   Spanish   Movistar+     Sweden   Swedish   Viasat Sport     Switzerland   German French   DAZN SFR Sport     Turkey   Turkish   S Sport     Ukraine   Ukrainian   Football TV Сhannel     United Kingdom   English   Sky Sports BT Sport BBC Sport ( Highlights only )   </t>
  </si>
  <si>
    <t>SFR Sport</t>
  </si>
  <si>
    <t xml:space="preserve"> Java development Kit </t>
  </si>
  <si>
    <t>what is the use of jdk in java</t>
  </si>
  <si>
    <t xml:space="preserve"> The Java Development Kit ( JDK ) is an implementation of either one of the Java Platform , Standard Edition , Java Platform , Enterprise Edition , or Java Platform , Micro Edition platforms released by Oracle Corporation in the form of a binary product aimed at Java developers on Solaris , Linux , macOS or Windows . The JDK includes a private JVM and a few other resources to finish the development of a Java Application . Since the introduction of the Java platform , it has been by far the most widely used Software Development Kit ( SDK ) . On 17 November 2006 , Sun announced that they would release it under the GNU General Public License ( GPL ) , thus making it free software . This happened in large part on 8 May 2007 , when Sun contributed the source code to the OpenJDK . </t>
  </si>
  <si>
    <t xml:space="preserve"> Learner 's permit </t>
  </si>
  <si>
    <t>who needs to be in the car with a permit driver</t>
  </si>
  <si>
    <t xml:space="preserve"> Typically , a driver operating with a learner 's permit must be accompanied by an adult licensed driver who is at least 21 years of age or older and in the passenger seat of the vehicle at all times . </t>
  </si>
  <si>
    <t>an adult licensed driver who is at least 21 years of age or older and in the passenger seat of the vehicle at all times</t>
  </si>
  <si>
    <t xml:space="preserve"> God 's Not Dead : a Light in Darkness </t>
  </si>
  <si>
    <t>god's not dead a light in the darkness release date</t>
  </si>
  <si>
    <t xml:space="preserve"> Principal photography was completed in Little Rock , Arkansas in December 2017 . It was released in the United States on March 30 , 2018 . Unlike the first two films , A Light in Darkness was a box office bomb , making less in its entire theatrical run ( $5.7 million ) than the others grossed in their respective opening weekends ( $9.7 million and $7.6 million ) . </t>
  </si>
  <si>
    <t>March 30 , 2018</t>
  </si>
  <si>
    <t xml:space="preserve"> President of the United Nations General Assembly </t>
  </si>
  <si>
    <t>who is the current president of un general assembly</t>
  </si>
  <si>
    <t xml:space="preserve"> Miroslav Lajčák of Slovakia has been elected as the United Nations General Assembly President of its 72nd session beginning in September 2017 . </t>
  </si>
  <si>
    <t>Miroslav Lajčák of Slovakia</t>
  </si>
  <si>
    <t xml:space="preserve"> Powerball </t>
  </si>
  <si>
    <t>when do they pull the powerball numbers 2016</t>
  </si>
  <si>
    <t xml:space="preserve"> Drawings for Powerball are held every Wednesday and Saturday evening at 10 : 59 p.m. Eastern Time . Since October 7 , 2015 , the game has used a 5 / 69 ( white balls ) + 1 / 26 ( Powerballs ) matrix from which winning numbers are chosen , resulting in odds of 1 in 292,201,338 of winning a jackpot per play . Each play costs $2 , or $3 with the Power Play option . ( Originally , Powerball plays cost $1 ; when PowerPlay began , such games were $2 . ) The official cutoff for ticket sales is 10 : 00 p.m. Eastern Time ; some lotteries cut off sales earlier . The drawings are usually held at the Florida Lottery 's studio in Tallahassee . </t>
  </si>
  <si>
    <t>every Wednesday and Saturday evening at 10 : 59 p.m. Eastern Time</t>
  </si>
  <si>
    <t xml:space="preserve"> Solar eclipse of August 21 , 2017 </t>
  </si>
  <si>
    <t>when do the eclipse supposed to take place</t>
  </si>
  <si>
    <t xml:space="preserve">   Solar eclipse of August 21 , 2017     Totality as seen from Simpsonville , South Carolina     Map     Type of eclipse     Nature   Total     Gamma   0.4367     Magnitude   1.0306     Maximum eclipse     Duration   160 sec ( 2 m 40 s )       37 ° 00 ′ N 87 ° 42 ′ W ﻿ / ﻿ 37 ° N 87.7 ° W ﻿ / 37 ; - 87.7     Max . width of band   115 km ( 71 mi )     Times ( UTC )     ( P1 ) Partial begin   15 : 46 : 48     ( U1 ) Total begin   16 : 48 : 32     Greatest eclipse   18 : 26 : 40     ( U4 ) Total end   20 : 01 : 35     ( P4 ) Partial end   21 : 04 : 19     References     Saros   145 ( 22 of 77 )     Catalog # ( SE5000 )   9546   </t>
  </si>
  <si>
    <t>August 21 , 2017</t>
  </si>
  <si>
    <t xml:space="preserve"> Dubai </t>
  </si>
  <si>
    <t>what is the name of the sea surrounding dubai</t>
  </si>
  <si>
    <t xml:space="preserve"> Dubai ( / duːˈbaɪ / doo - BY ; Arabic : دبي ‎ Dubay , Gulf pronunciation : ( dʊˈbɑj ) ) is the largest and most populous city in the United Arab Emirates ( UAE ) . It is located on the southeast coast of the Persian Gulf and is the capital of the Emirate of Dubai , one of the seven emirates that make up the country . Abu Dhabi and Dubai are the only two emirates to have veto power over critical matters of national importance in the country 's Federal Supreme Council . The city of Dubai is located on the emirate 's northern coastline and heads the Dubai - Sharjah - Ajman metropolitan area . Dubai will host World Expo 2020 . </t>
  </si>
  <si>
    <t>Persian Gulf</t>
  </si>
  <si>
    <t xml:space="preserve"> List of National Basketball Association career scoring leaders </t>
  </si>
  <si>
    <t>who holds the nba record for most points in a career</t>
  </si>
  <si>
    <t xml:space="preserve">   Rank   Player   Position ( s )   Team ( s ) played for ( years )   Total points   Games played   Points per game average   Field goals made   Three - point field goals made   Free throws made       Abdul - Jabbar , Kareem Kareem Abdul - Jabbar *     Milwaukee Bucks ( 1969 -- 1975 ) Los Angeles Lakers ( 1975 -- 1989 )   38,387   1,560   24.6   15,837     6,712       Malone , Karl Karl Malone *   PF   Utah Jazz ( 1985 -- 2003 ) Los Angeles Lakers ( 2003 -- 2004 )   36,928   1,476   25.0   13,528   85   9,787       Bryant , Kobe Kobe Bryant   SG   Los Angeles Lakers ( 1996 -- 2016 )   33,643   1,346   25.0   11,719   1,827   8,378       Jordan , Michael Michael Jordan *   SG   Chicago Bulls ( 1984 -- 1993 , 1995 -- 1998 ) Washington Wizards ( 2001 -- 2003 )   32,292   1,072   30.1   12,192   581   7,327     5   Chamberlain , Wilt Wilt Chamberlain *     Philadelphia / San Francisco Warriors ( 1959 -- 1965 ) Philadelphia 76ers ( 1965 -- 1968 ) Los Angeles Lakers ( 1968 -- 1973 )   31,419   1,045   30.1   12,681   0   6,057     6   Nowitzki , Dirk Dirk Nowitzki ^   PF / C   Dallas Mavericks ( 1999 -- present )   31,187   1,471   21.2   11,034   1,918   7,201     7   James , LeBron LeBron James ^   SF / PF   Cleveland Cavaliers ( 2003 -- 2010 , 2014 -- present ) Miami Heat ( 2010 -- 2014 )   30,925   1,139   27.2   11,240   1,607   6,838     8   O'Neal , Shaquille Shaquille O'Neal *     Orlando Magic ( 1992 -- 1996 ) Los Angeles Lakers ( 1996 -- 2004 ) Miami Heat ( 2004 -- 2008 ) Phoenix Suns ( 2008 -- 2009 ) Cleveland Cavaliers ( 2009 -- 2010 ) Boston Celtics ( 2010 -- 2011 )   28,596   1,207   23.7   11,330     5,935     9   Malone , Moses Moses Malone *     Buffalo Braves ( 1976 ) Houston Rockets ( 1976 -- 1982 ) Philadelphia 76ers ( 1982 -- 1986 , 1993 -- 1994 ) Washington Bullets ( 1986 -- 1988 ) Atlanta Hawks ( 1988 -- 1991 ) Milwaukee Bucks ( 1991 -- 1993 ) San Antonio Spurs ( 1994 -- 1995 )   27,409   1,329   20.6   9,435   8   8,531     10   Hayes , Elvin Elvin Hayes *   PF / C   San Diego / Houston Rockets ( 1968 -- 1972 , 1981 -- 1984 ) Baltimore / Capital / Washington Bullets ( 1972 -- 1981 )   27,313   1,303   21.0   10,976   5   5,356     11   Olajuwon , Hakeem Hakeem Olajuwon *     Houston Rockets ( 1984 -- 2001 ) Toronto Raptors ( 2001 -- 2002 )   26,946   1,238   21.8   10,749   25   5,423     12   Robertson , Oscar Oscar Robertson *   PG   Cincinnati Royals ( 1960 -- 1970 ) Milwaukee Bucks ( 1970 -- 1974 )   26,710   1,040   25.7   9,508   0   7,694     13   Wilkins , Dominique Dominique Wilkins *   SF   Atlanta Hawks ( 1982 -- 1994 ) Los Angeles Clippers ( 1994 ) Boston Celtics ( 1994 -- 1995 ) San Antonio Spurs ( 1996 -- 1997 ) Orlando Magic ( 1999 )   26,668   1,074   24.8   9,963   711   6,031     14   Duncan , Tim Tim Duncan   PF / C   San Antonio Spurs ( 1997 -- 2016 )   26,496   1,392   19.0   10,285   30   5,896     15   Pierce , Paul Paul Pierce   SF / SG   Boston Celtics ( 1999 -- 2013 ) Brooklyn Nets ( 2013 -- 2014 ) Washington Wizards ( 2014 -- 2015 ) Los Angeles Clippers ( 2015 -- 2017 )   26,397   1,343   19.7   8,668   2,143   6,918     16   Havlicek , John John Havlicek *   SF / SG   Boston Celtics ( 1962 -- 1978 )   26,395   1,270   20.8   10,513   0   5,369     17   Garnett , Kevin Kevin Garnett   PF / C   Minnesota Timberwolves ( 1995 -- 2007 , 2015 -- 2016 ) Boston Celtics ( 2007 -- 2013 ) Brooklyn Nets ( 2013 -- 2015 )   26,071   1,462   17.8   10,505   174   4,887     18   English , Alex Alex English *   SF   Milwaukee Bucks ( 1976 -- 1978 ) Indiana Pacers ( 1978 -- 1980 ) Denver Nuggets ( 1980 -- 1990 ) Dallas Mavericks ( 1990 -- 1991 )   25,613   1,193   21.5   10,659   18   4,277     19   Anthony , Carmelo Carmelo Anthony ^   SF   Denver Nuggets ( 2003 -- 2011 ) New York Knicks ( 2011 -- 2017 ) Oklahoma City Thunder ( 2017 -- present )   25,374   1,051   24.1   9,073   1,336   5,892     20   Miller , Reggie Reggie Miller *   SG   Indiana Pacers ( 1987 -- 2005 )   25,279   1,389   18.2   8,241   2,560   6,237     21   West , Jerry Jerry West *   PG / SG   Los Angeles Lakers ( 1960 -- 1974 )   25,192   932   27.0   9,016   0   7,160     22   Carter , Vince Vince Carter ^   SG / SF   Toronto Raptors ( 1999 -- 2004 ) New Jersey Nets ( 2004 -- 2009 ) Orlando Magic ( 2009 -- 2010 ) Phoenix Suns ( 2010 -- 2011 ) Dallas Mavericks ( 2011 -- 2014 ) Memphis Grizzlies ( 2014 -- 2017 ) Sacramento Kings ( 2017 -- present )   24,850   1,402   17.7   8,984   2,103   4,779     23   Ewing , Patrick Patrick Ewing *     New York Knicks ( 1985 -- 2000 ) Seattle SuperSonics ( 2000 -- 2001 ) Orlando Magic ( 2001 -- 2002 )   24,815   1,183   21.0   9,702   19   5,392     24   Allen , Ray Ray Allen *   SG   Milwaukee Bucks ( 1996 -- 2003 ) Seattle SuperSonics ( 2003 -- 2007 ) Boston Celtics ( 2007 -- 2012 ) Miami Heat ( 2012 -- 2014 )   24,505   1,300   18.9   8,567   2,973   4,398     25   Iverson , Allen Allen Iverson *   SG / PG   Philadelphia 76ers ( 1996 -- 2006 , 2009 -- 2010 ) Denver Nuggets ( 2006 -- 2008 ) Detroit Pistons ( 2008 -- 2009 ) Memphis Grizzlies ( 2009 )   24,368   914   26.7   8,467   1,059   6,375     26   Barkley , Charles Charles Barkley *   PF   Philadelphia 76ers ( 1984 -- 1992 ) Phoenix Suns ( 1992 -- 1996 ) Houston Rockets ( 1996 -- 2000 )   23,757   1,073   22.1   8,435   538   6,349     27   Parish , Robert Robert Parish *     Golden State Warriors ( 1976 -- 1980 ) Boston Celtics ( 1980 -- 1994 ) Charlotte Hornets ( 1994 -- 1996 ) Chicago Bulls ( 1996 -- 1997 )   23,334   1,611   14.5   9,614   0   4,106     28   Dantley , Adrian Adrian Dantley *   SF   Buffalo Braves ( 1976 -- 1977 ) Indiana Pacers ( 1977 ) Los Angeles Lakers ( 1977 -- 1979 ) Utah Jazz ( 1979 -- 1986 ) Detroit Pistons ( 1986 -- 1989 ) Dallas Mavericks ( 1989 -- 1990 ) Milwaukee Bucks ( 1991 )   23,177   955   24.3   8,169   7   6,832     29   Baylor , Elgin Elgin Baylor *   SF   Minneapolis / Los Angeles Lakers ( 1958 -- 1971 )   23,149   846   27.4   8,693   0   5,763     30   Drexler , Clyde Clyde Drexler *   SG   Portland Trail Blazers ( 1983 -- 1995 ) Houston Rockets ( 1995 -- 1998 )   22,195   1,086   20.4   8,335   827   4,698     31   Wade , Dwyane Dwyane Wade ^   SG   Miami Heat ( 2003 -- 2016 , 2018 -- present ) Chicago Bulls ( 2016 -- 2017 ) Cleveland Cavaliers ( 2017 -- 2018 )   22,058   979   22.5   8,028   462   5,540     32   Payton , Gary Gary Payton *   PG   Seattle SuperSonics ( 1990 -- 2003 ) Milwaukee Bucks ( 2003 ) Los Angeles Lakers ( 2003 -- 2004 ) Boston Celtics ( 2004 -- 2005 ) Miami Heat ( 2005 -- 2007 )   21,813   1,335   16.3   8,708   1,132   3,265     33   Bird , Larry Larry Bird *   SF / PF   Boston Celtics ( 1979 -- 1992 )   21,791   897   24.3   8,591   649   3,960     34   Greer , Hal Hal Greer *   SG / PG   Syracuse Nationals / Philadelphia 76ers ( 1958 -- 1973 )   21,586   1,122   19.2   8,504   0   4,578     35   Bellamy , Walt Walt Bellamy *     Chicago Packers / Zephyrs / Baltimore Bullets ( 1961 -- 1965 ) New York Knicks ( 1965 -- 1968 ) Detroit Pistons ( 1968 -- 1970 ) Atlanta Hawks ( 1970 -- 1974 ) New Orleans Jazz ( 1974 )   20,941   1,043   20.1   7,914   0   5,113     36   Pettit , Bob Bob Pettit *   PF / C   Milwaukee / St. Louis Hawks ( 1954 -- 1965 )   20,880   792   26.4   7,349   0   6,182     37   Durant , Kevin Kevin Durant ^   SF / SG   Seattle SuperSonics / Oklahoma City Thunder ( 2007 -- 2016 ) Golden State Warriors ( 2016 -- present )   20,815   767   27.1   7,058   1,425   5,274     38   Robinson , David David Robinson *     San Antonio Spurs ( 1989 -- 2003 )   20,790   987   21.1   7,365   25   6,035     39   Gasol , Pau Pau Gasol ^   C / PF   Memphis Grizzlies ( 2001 -- 2008 ) Los Angeles Lakers ( 2008 -- 2014 ) Chicago Bulls ( 2014 -- 2016 ) San Antonio Spurs ( 2016 -- present )   20,759   1,193   17.4   7,932   172   4,723     40   Gervin , George George Gervin *   SG / SF   San Antonio Spurs ( 1976 -- 1985 ) Chicago Bulls ( 1985 -- 1986 )   20,708   791   26.2   8,045   77   4,541     41   Richmond , Mitch Mitch Richmond *   SG   Golden State Warriors ( 1988 -- 1991 ) Sacramento Kings ( 1991 -- 1998 ) Washington Wizards ( 1999 -- 2001 ) Los Angeles Lakers ( 2001 -- 2002 )   20,497   976   21.0   7,305   1,326   4,561     42   Johnson , Joe Joe Johnson ^   SG / SF   Boston Celtics ( 2001 -- 2002 ) Phoenix Suns ( 2002 -- 2005 ) Atlanta Hawks ( 2005 -- 2012 ) Brooklyn Nets ( 2012 -- 2016 ) Miami Heat ( 2016 ) Utah Jazz ( 2016 -- 2018 ) Houston Rockets ( 2018 -- present )   20,386   1,272   16.0   7,815   1,976   2,780     43   Chambers , Tom Tom Chambers   PF   San Diego Clippers ( 1981 -- 1983 ) Seattle SuperSonics ( 1983 -- 1988 ) Phoenix Suns ( 1988 -- 1993 ) Utah Jazz ( 1993 -- 1995 ) Charlotte Hornets ( 1997 ) Philadelphia 76ers ( 1997 )   20,049   1,107   18.1   7,378   227   5,066     44   Jamison , Antawn Antawn Jamison   PF / SF   Golden State Warriors ( 1999 -- 2003 ) Dallas Mavericks ( 2003 -- 2004 ) Washington Wizards ( 2004 -- 2010 ) Cleveland Cavaliers ( 2010 -- 2012 ) Los Angeles Lakers ( 2012 -- 2013 ) Los Angeles Clippers ( 2013 -- 2014 )   20,042   1,083   18.5   7,679   1,163   3,521     45   Stockton , John John Stockton *   PG   Utah Jazz ( 1984 -- 2003 )   19,711   1,504   13.1   7,039   845   4,788     46   King , Bernard Bernard King *   SF   New Jersey Nets ( 1977 -- 1979 , 1993 ) Utah Jazz ( 1979 ) Golden State Warriors ( 1980 -- 1982 ) New York Knicks ( 1982 -- 1985 , 1987 ) Washington Bullets ( 1987 -- 1991 )   19,655   874   22.5   7,830   23   3,972     47   Robinson , Clifford Clifford Robinson   PF / SF   Portland Trail Blazers ( 1989 -- 1997 ) Phoenix Suns ( 1997 -- 2001 ) Detroit Pistons ( 2001 -- 2003 ) Golden State Warriors ( 2003 -- 2005 ) New Jersey Nets ( 2005 -- 2007 )   19,591   1,380   14.2   7,389   1,253   3,560     48   Davis , Walter Walter Davis   SG / SF   Phoenix Suns ( 1977 -- 1988 ) Denver Nuggets ( 1988 -- 1991 , 1991 -- 1992 ) Portland Trail Blazers ( 1991 )   19,521   1,033   18.9   8,118   157   3,128     49   Cummings , Terry Terry Cummings   PF   San Diego Clippers ( 1982 -- 1984 ) Milwaukee Bucks ( 1984 -- 1989 , 1995 -- 1996 ) San Antonio Spurs ( 1989 -- 1995 ) Seattle SuperSonics ( 1996 -- 1997 ) Philadelphia 76ers ( 1997 -- 1998 ) New York Knicks ( 1998 ) Golden State Warriors ( 1999 -- 2000 )   19,460   1,183   16.4   8,045   44   3,326     50   Lanier , Bob Bob Lanier *     Detroit Pistons ( 1970 -- 1980 ) Milwaukee Bucks ( 1980 -- 1984 )   19,248   959   20.1   7,761     3,724   </t>
  </si>
  <si>
    <t>Kareem Abdul - Jabbar</t>
  </si>
  <si>
    <t xml:space="preserve"> Once Upon a Time ( season 6 ) </t>
  </si>
  <si>
    <t>once upon a time season 6 episode list</t>
  </si>
  <si>
    <t xml:space="preserve">   No . overall   No. in season   Title   Directed by   Written by   Original air date   US viewers ( millions )     112     `` The Savior ''   Eagle Egilsson   Edward Kitsis &amp; Adam Horowitz   September 25 , 2016 ( 2016 - 09 - 25 )   3.99     In the past , Aladdin , a `` Savior '' , is taunted by Jafar over the inevitable downfall of all Saviors . In Storybrooke , refugees arrive from the Land of Untold Stories . Emma experiences tremors and visions ; an arrested Hyde helps her receive an oracle 's vision of a hooded figure killing her . Guided by Morpheus , Gold enters Belle 's dreams to lift the sleeping curse ; he tries to renew their love , but she rejects him . `` Morpheus '' reveals he is really their unborn son , and desired this outcome . Belle wakes and leaves Gold . Henry convinces Regina that Hades may have lied about Robin Hood 's soul having been destroyed . Zelena moves in with Regina but , after learning her sister blames her for Robin Hood 's death , moves out and is approached by the Evil Queen .     113     `` A Bitter Draught ''   Ron Underwood   Andrew Chambliss &amp; Dana Horgan   October 2 , 2016 ( 2016 - 10 - 02 )   3.72     In the past in the Enchanted Forest , the Evil Queen offers to aid the revenge plot of Edmond Dantes , The Count of Monte Cristo , if he kills Snow and David . When he falls in love with Snow 's handmaiden , he reneges and flees with her to the Land of Untold Stories to save her from poison . In Storybrooke , the Evil Queen recruits Zelena and uses Edmond 's heart to set him against Snow and David ; Regina kills Edmond to save the others , and realizes she retains the capacity for darkness . The Evil Queen declares that the undesirable `` untold stories '' will be played out . She gives David evidence that his father 's death was not accidental . Belle lives on Hook 's ship ; in a deal with Gold , the Evil Queen will not harm her or the baby . Emma tells Archie about her visions and notes that Regina is n't present in them and could be the hooded figure .     114     `` The Other Shoe ''   Steve Pearlman   Jane Espenson &amp; Jerome Schwartz   October 9 , 2016 ( 2016 - 10 - 09 )   4.11     In the past in the Enchanted Forest , Cinderella meets Prince Thomas at the ball , but flees when she believes he loves her stepsister Clorinda ; Clorinda actually plans to elope with Thomas ' footman , Jacob , but her mother , Lady Tremaine , abducts her to the Land of Untold Stories after forcing Cinderella to betray Clorinda 's location . In Storybrooke , Ashley hopes to reconcile with Clorinda . Aided by the Evil Queen , Tremaine lures Ashley into a trap for her and Jacob . Ashley protects Jacob ; Clorinda reunites with him and forgives Cinderella , while Tremaine is arrested . Emma struggles to control her magic . Whale helps Jekyll recreate his serum , while the Evil Queen and Hyde form an alliance and she releases him . Snow White wants normality , but David secretly investigates his father 's death ; Gold provides information in exchange for David delivering a message to Belle .     115     `` Strange Case ''   Alrick Riley   David H. Goodman &amp; Nelson Soler   October 16 , 2016 ( 2016 - 10 - 16 )   3.53     In the past in Victorian England , Jekyll petitions the Academy of Science for membership but Dr. Lydgate rejects him . Rumplestiltskin arrives and magically perfects Jekyll 's serum ; Jekyll transforms into Hyde , who blackmails Lydgate for Jekyll 's membership . Mary is Lydgate 's daughter and Jekyll 's unrequited love ; she and Hyde fall in love . Jekyll accidentally fatally defenestrates Mary ; he frames Hyde . In Storybrooke , Gold imprisons Belle on the ship to protect her from Hyde ; but it is Jekyll who tries to kill Belle in revenge for Rumplestiltskin 's role in Mary 's death . Hook saves Belle by killing Jekyll , and Hyde dies of identical wounds ; Regina asks Emma to kill her if necessary to stop the Evil Queen . Gold warns Belle that their child will need his protection . Mary Margaret resumes teaching , and her assistant Shirin inspires her to draw on her life as Snow . Shirin is secretly Princess Jasmine , working with the Oracle to search for Aladdin .     116   5   `` Street Rats ''   Norman Buckley   Edward Kitsis &amp; Adam Horowitz   October 23 , 2016 ( 2016 - 10 - 23 )   3.40     In the past in Agrabah , Aladdin seeks a magical weapon for Jasmine , to save the kingdom from Jafar ; he is the weapon and a Savior . Jafar tempts Aladdin with magical shears that can sever him from his fate as the Savior and from his resulting death . Aladdin rejects Jafar and saves Jasmine . In Storybrooke , the Oracle is murdered . Emma helps Jasmine , hoping Aladdin 's survival ensures her own . Having faked his death , Aladdin reveals himself to Emma and confesses that he doomed Agrabah by using the shears , which he gives to her ; she asks Hook to dispose of them , but he secretly keeps them . The Evil Queen impersonates Archie to learn of Emma 's visions , and convinces Zelena to turn Archie back into a cricket .     117   6   `` Dark Waters ''   Robert Duncan   Andrew Chambliss &amp; Brigitte Hales   October 30 , 2016 ( 2016 - 10 - 30 )   3.06     During the Dark Curse , Captain Nemo abducts Hook and invites him to join the crew `` family '' of his submarine , Nautilus , in their quest for the `` Mysterious Island '' , which is the Land of Untold Stories . Hook discovers the first mate is his half - brother , Liam , and decides to leave to avoid confrontation ; but Liam attacks him , instead mortally wounding Nemo , who steps in . In the present , Archie is freed . Henry confronts Hook over lying about the shears , and Liam imprisons them on Nautilus . Hook opens up and Henry accepts him as family ; they save each other and dispose of the shears . Modern medicine saves Nemo ; he , Liam , and Hook make amends . Emma and Aladdin discuss being a Savior . Jasmine reveals that Agrabah vanished . Snow supports Belle at her ultrasound . The Evil Queen seduces Gold and offers the retrieved shears in exchange for help taking Snow 's heart .     118   7   `` Heartless ''   Ralph Hemecker   Jane Espenson   November 6 , 2016 ( 2016 - 11 - 06 )   3.56     In the past , fugitive Snow and shepherd David separately travel to Longbourn ; she to flee the kingdom and he to sell his struggling farm . Without ever seeing each other 's faces , David saves Snow from a bounty hunter and she repays him with money to save the farm , deciding not to flee . Their hands touch and a magical sapling is created . In the present , the Evil Queen threatens to destroy Storybrooke with River of Lost Souls water unless Mary Margaret and David hand over their hearts . They learn the sapling could stop the Queen , who destroys it just after they find it . But it has shown them their previous meeting , and they conclude that their love can endure anything ; they surrender themselves . The Queen casts a sleeping curse on their hearts ; because they share Snow 's heart , the curse affects them both ; each can wake the other but immediately succumbs to the curse , so they can never be awake together . Regina uses Gold 's relationship with the Queen to separate the latter from Zelena , who earns Gold 's enmity by exposing his schemes to Belle .     119   8   `` I 'll Be Your Mirror ''   Jennifer Lynch   Jerome Schwartz &amp; Leah Fong   November 13 , 2016 ( 2016 - 11 - 13 )   3.40     Regina and Emma try to magically trap the Evil Queen in the World Behind the Mirror , but she traps them there , where the Dragon is already imprisoned . Henry prepares for a date with Violet ; the Queen impersonates Regina and tries to manipulate him but he recognizes her . Emma and Regina discover Sidney was building a mirror portal out of the world and try and finish it , but the Evil Queen forces the Dragon to attack Emma and Regina , using his heart , and tries to make Henry kill the Dragon with the Hammer of Hephaestus ; he instead uses it to free his mothers . Mary Margaret and David adjust to living in shifts . Belle asks Zelena to help her escape Storybrooke via magical portal , and they form an alliance with Aladdin and Jasmine . Aladdin steals the Genie 's lamp and the Sorcerer 's wand from Gold 's shop , but Gold takes the wand back from Zelena and puts a magical tracking device on Belle . He asks the Queen to kill Zelena , as the connection between his and Zelena 's hearts protects her from him .     120   9   `` Changelings ''   Mairzee Almas   David H. Goodman &amp; Brian Ridings   November 27 , 2016 ( 2016 - 11 - 27 )   3.28     In the Enchanted Forest , while served by Belle , Rumplestiltskin abducts a baby to use as bait for the Black Fairy , the mother who abandoned him ; she escapes without answering his questions . In the present , Belle receives advice from her unborn child while Gold becomes increasingly unhinged . Resenting Gold 's order to attack Zelena , the Evil Queen accelerates Belle 's pregnancy ; Mother Superior delivers Belle 's son , Gideon , and sends him into hiding ; Gold vows to find him . As the Genie has been freed , Aladdin takes his place . Zelena and Regina continue to feud . Emma obtains the sword from her vision .     121   10   `` Wish You Were Here ''   Ron Underwood   Edward Kitsis &amp; Adam Horowitz   December 4 , 2016 ( 2016 - 12 - 04 )   3.27     The Black Fairy abducts Gideon . Emma discovers the sword can kill the Evil Queen without hurting Regina . The Queen steals the lamp and wishes Emma to an alternate reality where she was never the Savior ; Regina follows her . David and his allies take the lamp from the Queen , who is turned into a serpent by the hooded figure , revealed to be the adult Gideon . Jasmine wishes herself and Aladdin to Agrabah . In the `` wish realm '' , Emma lives as a princess until Regina traumatically restores her memory . Regina frees Rumplestiltskin in exchange for a magic bean , but the portal to Storybrooke closes while Regina is distracted by the appearance of Robin Hood .     122   11   `` Tougher Than the Rest ''   Billy Gierhart   Edward Kitsis &amp; Adam Horowitz   March 5 , 2017 ( 2017 - 03 - 05 )   3.03     In 1990 Minnesota , a young Emma is told by a teenager that she has the power to change her fate . In present day , after they miss their way out of the Wish realm , Emma and Regina find another option for escape when they come across August , who agrees to help create a new portal . Regina goes to find Robin Hood to see if he would 've been better off without her . After Regina finds Robin , they 're caught by the Sheriff of Nottingham and later by the Wish realm Rumple . Robin believes Regina when she tells him about their being in an alternate reality . Emma discovers that August was the teenager she met back in Minnesota and inspires him to complete the portal . Emma , Regina , and Robin return to Storybrooke , where Gideon explains to Gold and Belle his intention to kill Emma so that he can acquire her savior powers and kill the Black Fairy , a move that has David furious and Belle concerned . Emma and Gideon finally meet for the battle , but Emma survives , choosing her own fate . Gideon retreats , proclaiming this far from over . Gold and Belle decide to work together for the good of their son .     123   12   `` Murder Most Foul ''   Morgan Beggs   Jerome Schwartz &amp; Jane Espenson   March 12 , 2017 ( 2017 - 03 - 12 )   3.06     The events of how Robert , the father of David and James , was murdered are detailed in a flashback , in which Robert learns what happened to James after he ran away from King George . With help from Rumple , he tracks him to Pleasure Island , but their reunion is cut short by King George , who orders Robert 's execution . His death affects David in the present day after he sees visions of Robert and asks Hook to help him , despite his being reformed . When Hook becomes concerned that David is taking this investigation too far by going after Albert , he intervenes and brings David back to sanity . Hook is also worried about whether David will give him his blessing to marry Emma , but David does . Meanwhile , Regina tries to get the Wish Realm Robin assimilated into Storybrooke , but soon questions why he agreed to follow her , as it turns out that he had something else planned after he steals a chest from the vault . The truth as to who really murdered Robert is revealed when August gives Hook missing pages he took from Henry 's book . When Hook sees an illustration of David 's dad , he recognizes him and recalls murdering him during a robbery in the Enchanted Forest so that there was no witness to his crime .     124   13   `` Ill - Boding Patterns ''   Ron Underwood   Andrew Chambliss &amp; Dana Horgan   March 19 , 2017 ( 2017 - 03 - 19 )   2.71     During the First Ogres War , Beowulf leads a fearsome charge on the battlefield in the Enchanted Forest of old . After every last soldier had been slain , Beowulf surrenders to death just as Rumplestiltskin intervenes , killing all the ogres . Hailed as a hero in the village , Beowulf is irked by Rumple 's new title . He creates a ruse to lead Rumple to his demise . Fearing he would not be able to follow through on protecting the villagers without Dark Magic , Rumple bestows his dagger upon Baelfire as an insurance policy . Following a turbulent exchange and threat to frame Rumplestiltskin as a murderer , Beowulf retreats . Feeling the pressure of his threat , Bae commands his father to kill him . Rumple later doses Bae with a memory potion to erase the ordeal from his mind and restore his innocence . In Storybrooke , Rumple recognizes a familiar pattern in Gideon , who makes strides in his quest to kill Emma Swan at the cost of The Blue Fairy 's vitality . Hook worries about the repercussions of telling Emma his newly unveiled secret . Meanwhile , Emma unknowingly forces a proposal after happening upon Hook 's engagement ring . Robin of Locksley attempts to flee the town , but to no avail . The Evil Queen escapes her reptilian confinement and indoctrinates Robin .     125   14   `` Page 23 ''   Kate Woods   David H. Goodman &amp; Brigitte Hales   March 26 , 2017 ( 2017 - 03 - 26 )   2.85     In the Enchanted Forest , The Evil Queen is in search of a spell that will help her end Snow White for good , but her father has love in mind for his daughter and leads her on a quest to Cupid 's Arrow . However , The Evil Queen rebrands the arrow to follow hatred and discovers that the person she despises the most is herself . In Storybrooke , The Evil Queen and Regina face off in a final confrontation . Just when Regina wins the upper hand , she remembers the Evil Queen 's self - loating and evenly splits the light and the darkness in their hearts , to share their love and hate and allow the Evil Queen to reform . After Emma calls off the engagement , Hook decides to board the Nautilus with Captain Nemo . Hook later changes his mind following a conversation with Snow but , before he can return , Gideon hijacks the vessel and sends it out of Storybrooke .     126   15   `` A Wondrous Place ''   Steve Pearlman   Jane Espenson &amp; Jerome Schwartz   April 2 , 2017 ( 2017 - 04 - 02 )   2.80     At a loss for hope , Regina suggests a `` girls ' night out '' for Emma with her and Snow . While at the bar , she confides in the mixologist and sheds a tear . Meanwhile , the Nautilus is transported to the Enchanted Forest , where Aladdin and Jasmine board . They have yet to locate Agrabah and are growing weary . After Hook and Jasmine confide in one another , the vessel is irrevocably damaged and Jasmine uses a genie wish to relocate the group to the island where Jafar is located . They discover a cabana belonging to Ariel and Prince Eric . Ariel has collected a genie lamp that houses Jafar . Jasmine is able to sway him into divulging the location of the hidden Agrabah before defeating him with magic dust . Through true love 's kiss , Aladdin and Jasmine , along with Hook and Ariel , are transported to the restored city and Aladdin 's genie curse is broken . Ariel supplies Hook with a means to reach Emma . Emma receives the message and Gideon , no longer masquerading as the mixologist , threatens that he will use her tears to keep Hook from returning to Storybrooke unless she helps him kill the Black Fairy . Flashbacks to Ariel and Jasmine 's first meeting show the princess falter under Jafar 's trickery .     127   16   `` Mother 's Little Helper ''   Billy Gierhart   Story by : Edward Kitsis &amp; Adam Horowitz Teleplay by : Paul Karp   April 9 , 2017 ( 2017 - 04 - 09 )   2.60     In Storybrooke , Gold reveals to Emma and Snow that the Black Fairy is his mother and that the Dark Curse Regina cast was created by the Black Fairy . Emma agrees to help Gideon kill the Black Fairy , but is double - crossed by Gideon and left to die at the hands of a giant spider . Gideon opens a portal with the sword , allowing the Black Fairy to slip through into Storybrooke . Meanwhile in the Enchanted Forest , Hook wagers the Jolly Roger for a magic bean in a game of cards with Blackbeard . As Blackbeard and Hook go through the portal , it malfunctions thanks to Gideon and the duo ends up in Neverland , on the run from the remnants of Peter Pan 's Lost Boys . Back in Storybrooke , Henry experiences a disorienting shift in his Author powers , so he and Regina seek help from the only person who can aid them : the previous Author , Isaac . Isaac reveals to Regina and Henry that they are nearing the end of the story in which the savior must fight the Final Battle . Flashbacks reveal the abuses the Black Fairy inflicted on Gideon and that the Black Fairy ripped out Gideon 's heart and is controlling him to kill Emma .     128   17   `` Awake ''   Sharat Raju   Andrew Chambliss &amp; Leah Fong   April 16 , 2017 ( 2017 - 04 - 16 )   2.51     Regina works feverishly to wake Snow and Charming from the Sleeping Curse . Gold comes face to face with the Black Fairy , the powerful enemy Emma must fight in the Final Battle . Hook , still in Neverland , meets up with Tiger Lily , who gives him a piece of an ancient fairy wand to aid Emma in defeating the Black Fairy . Gold confronts the Black Fairy over her manipulating Gideon with his heart and she maintains that Storybrooke would be destroyed if the two of them fought . A pixie flower allows Emma to open a doorway to Neverland and rescue Hook , who then re-proposes properly . The townsfolk gather around Emma 's sleeping parents and each take small amounts of the Sleeping Curse unto themselves , diluting it and allowing Snow and David to finally reunite . In 1993 , a pixie flower awakens Snow and Charming from their cursed selves , but an awakened Rumplestiltskin tells them they must make a difficult decision to ensure that Emma fulfills her destiny as the Savior .     129   18   `` Where Bluebirds Fly ''   Michael Schultz   David H. Goodman &amp; Brigitte Hales   April 23 , 2017 ( 2017 - 04 - 23 )   2.69     In Zelena 's past , her childhood friend Stanum asks for her help in finding the Crimson Heart , a magical artifact that would be able to restore his human form after having been cursed by the Wicked Witch of the North to slowly turn into tin . Zelena 's refusal to give up her magic leads to her betraying Stanum , as she keeps the Heart and leaves him to become the Tin Man . In the Present , The Black Fairy tempts Zelena with an offer to join her , only to have Zelena oppose her instead . Regina is brought into the chaos by trying to stop her sister and they find the Black Fairy and Gideon in the crystal mines , with the Black Fairy tricking Zelena into utilizing her unstable Dark Magic to strengthen her for the Final Battle . Realizing that there is nothing left for her back in Oz , Zelena decides to help the residents fight back against the Black Fairy by using the Crimson Heart to give up her magic , thereby undoing the mess she made in the mines . Emma then uses her magic and one of the crystals to bring Mother Superior out of her coma with some help from Regina and Zelena .     130   19   `` The Black Fairy ''   Alrick Riley   Jerome Schwartz &amp; Dana Horgan   April 30 , 2017 ( 2017 - 04 - 30 )   3.05     The origin of Rumplestiltskin 's true destiny is revealed , as his mother Fiona learns from the Blue Fairy and Tiger Lily that he was destined to become The Savior . When Fiona fears for her son and chooses power over protecting Rumple , it results in her becoming the Black Fairy , and the Blue Fairy banishing her to the Dark Realm . In the Present , as everyone looks for the missing wand , Gold brings Gideon and Emma into the Dream World to search for Gideon 's heart , where the events of the flashbacks unfold . Gold then confronts Fiona , but she reveals the real reason behind why he was abandoned . Gold later retrieves Gideon 's heart and tells everyone that the Black Fairy is dead , paving the way for Emma and Hook 's wedding . However , Gold and Fiona make a deal that will see the Final Battle go forward , with Emma being the Savior that will fight in it . Meanwhile , Regina helps Zelena adjust to life without her powers .     131   20   `` The Song in Your Heart ''   Ron Underwood   David H. Goodman &amp; Andrew Chambliss   May 7 , 2017 ( 2017 - 05 - 07 )   2.87     In the past , Snow makes a wish that grants the entire Enchanted Forest the ability to use the gift of song as a strength , which also spreads to Oz as well . When Regina becomes affected by the wish , she finds a way to end it before the first curse takes place , but the Blue Fairy , who granted Snow the wish , tells Snow and David that the wish will be part of Emma 's destiny . In Emma 's past , her chance to make use of her talent is held back by being told she 'll be alone . This would come back to taunt Emma in the present day , as Fiona returns to use that weakness to take Emma 's heart before unleashing a new curse on her wedding day , with help from Gold by freezing her family . When Henry discovers the page in the book that reveals the song in Emma 's heart will make her stronger , not only does it embolden Emma , it stops Fiona from crushing her heart , but Fiona still tells Emma that the battle will continue . On their wedding day , Emma and Hook finally marry , just in time for the dark clouds of the Black Fairy 's curse to erupt from the clock tower and engulf them at 6 : 00 PM , setting up the final battle .     132 133   21 22   `` The Final Battle ''   Steve Pearlman Ralph Hemecker   Edward Kitsis &amp; Adam Horowitz   May 14 , 2017 ( 2017 - 05 - 14 )   2.95     Fiona 's curse alters Storybrooke , institutionalizing Emma and leaving only Henry and Gold `` awake , '' while sending Emma 's other allies to their home realms . The Final Battle begins over Emma 's belief ; if she stops believing in the realms of story , they will be consumed by the Darkness and cease to exist . If all the realms are destroyed , Fiona would gain unchecked powers and be able to break the Laws of Magic at will . In the Enchanted Forest , the banished characters gather at Regina 's castle ; David and Hook obtain a magic bean and the Evil Queen sacrifices herself , holding off the Darkness to delay the group 's destruction . Fiona convinces Emma to destroy the book , but Henry hand - draws one that restores her belief in time to save everyone in the castle . Gold kills Fiona , who had hidden Belle and turned her into a coward ; this breaks the Curse , which restores everyone 's memories and reunites them in Storybrooke . However , Gideon is still under orders to kill Emma . Gold attempts to free Gideon 's heart ; however , a spell cast by the Black Fairy prevents him from doing so . Emma lays down her sword , allowing Gideon to impale her ; this releases Emma 's light magic and ends the battle . With both Gold and Emma having chosen good , Gideon is returned to infancy and the realms are restored , and those who died in the crisis are revived . The characters embark on their `` happy beginnings . '' Many years later in the New Enchanted Forest , an adult Henry vanishes while defending his daughter Lucy from an unidentified entity . Guided by Tiger Lily , Lucy travels to Seattle , where Henry no longer remembers her .   </t>
  </si>
  <si>
    <t xml:space="preserve"> Gun laws in Georgia </t>
  </si>
  <si>
    <t>where is a georgia concealed carry permit valid</t>
  </si>
  <si>
    <t xml:space="preserve"> Georgia reciprocates in recognizing firearms licenses with the following states : Alabama , Alaska , Arizona , Arkansas , Colorado , Florida , Idaho , Indiana , Iowa , Kansas , Kentucky , Louisiana , Maine , Michigan , Mississippi , Missouri , Montana , New Hampshire , North Carolina , North Dakota , Ohio , Oklahoma , Pennsylvania , South Carolina , South Dakota , Tennessee , Texas , Utah , Virginia , West Virginia , Wisconsin , and Wyoming . </t>
  </si>
  <si>
    <t xml:space="preserve"> Maze Runner : the Death Cure </t>
  </si>
  <si>
    <t>when did the new maze runner movie come out</t>
  </si>
  <si>
    <t xml:space="preserve"> Maze Runner : The Death Cure was originally set to be released on February 17 , 2017 , in the United States by 20th Century Fox , but the studio rescheduled the film 's release for January 26 , 2018 in theatres and IMAX , allowing time for O'Brien to recover from injuries he sustained during filming . The film received mixed reviews from critics and has grossed over $272 million worldwide . </t>
  </si>
  <si>
    <t>January 26 , 2018</t>
  </si>
  <si>
    <t xml:space="preserve"> Box lacrosse </t>
  </si>
  <si>
    <t>how many players on a box lacrosse team</t>
  </si>
  <si>
    <t xml:space="preserve"> During play , a team consists of six players : a goaltender and five `` runners '' . A runner is any non-goalkeeper position player , including forwards , transition players , and defenders . Runners usually specialize in one of these roles and substitute off the field when the ball moves from one end to the other . When the sport originated teams played with six runners . However , in 1953 the sixth runner , a position called rover , was eliminated . The goalkeeper can be replaced by another runner , often when a delayed penalty has been called on the other team or at the end of games by teams that are behind to help score goals . </t>
  </si>
  <si>
    <t>six</t>
  </si>
  <si>
    <t xml:space="preserve"> List of Olympic Games host cities </t>
  </si>
  <si>
    <t>where are the upcoming olympics to be held</t>
  </si>
  <si>
    <t xml:space="preserve"> This is a list of host cities of the Olympic Games , both summer and winter , since the modern Olympics began in 1896 . Since then , summer games have usually -- but not always -- celebrated a four - year period known as an Olympiad . There have been 28 Summer Olympic Games held in 24 cities , and 23 Winter Olympic Games held in 20 cities . In addition , three summer and two winter editions of the Games were scheduled to take place but later cancelled due to war : Berlin ( summer ) in 1916 ; Tokyo / Helsinki ( summer ) and Sapporo / Garmisch - Partenkirchen ( winter ) in 1940 ; and London ( summer ) and Cortina d'Ampezzo , Italy ( winter ) in 1944 . The 1906 Summer Olympics were officially sanctioned and held in Athens . However , in 1949 , the International Olympic Committee ( IOC ) , decided to unrecognize the 1906 Games . Four cities have been chosen by the IOC to host upcoming Olympic Games : Tokyo for the 2020 Summer Olympics , Beijing for the 2022 Winter Olympics , Paris for the 2024 Summer Olympics , and Los Angeles for the 2028 Summer Olympics . </t>
  </si>
  <si>
    <t>Tokyo for the 2020 Summer Olympics</t>
  </si>
  <si>
    <t xml:space="preserve"> Three seconds rule </t>
  </si>
  <si>
    <t>when did the nba 3 second rule start</t>
  </si>
  <si>
    <t xml:space="preserve"> The three - second rule was introduced in 1936 and was expressed as such : no offensive player with the ball could remain in the Key with or without the ball , for more than three seconds . </t>
  </si>
  <si>
    <t>1936</t>
  </si>
  <si>
    <t xml:space="preserve"> Plus and minus signs </t>
  </si>
  <si>
    <t>when were the plus and minus signs first recorded</t>
  </si>
  <si>
    <t xml:space="preserve"> In Europe in the early 15th century the letters `` P '' and `` M '' were generally used . The symbols ( P with line p̄ for più , i.e. , plus , and M with line m̄ for meno , i.e. , minus ) appeared for the first time in Luca Pacioli 's mathematics compendium , Summa de arithmetica , geometria , proportioni et proportionalità , first printed and published in Venice in 1494 . The + is a simplification of the Latin `` et '' ( comparable to the ampersand &amp; ) . The − may be derived from a tilde written over m when used to indicate subtraction ; or it may come from a shorthand version of the letter m itself . In his 1489 treatise Johannes Widmann referred to the symbols − and + as minus and mer ( Modern German mehr ; `` more '' ) : `` was − ist , das ist minus , und das + ist das mer '' . They were n't used for addition and subtraction here , but to indicate surplus and deficit ; their first use in their modern sense appears in a book by Henricus Grammateus in 1518 . </t>
  </si>
  <si>
    <t xml:space="preserve"> Bob 's your uncle </t>
  </si>
  <si>
    <t>where does the phrase bob's your uncle come from</t>
  </si>
  <si>
    <t xml:space="preserve"> ... And Bob 's your uncle is an expression of unknown origin , that means `` and there it is '' or `` and there you have it . '' It is commonly used in Great Britain and Commonwealth countries . Typically , someone says it to conclude a set of simple instructions or when a result is reached . The meaning is similar to that of the French expression `` et voilà ! '' </t>
  </si>
  <si>
    <t xml:space="preserve"> The one with the proposal </t>
  </si>
  <si>
    <t>the one where chandler and monica get engaged</t>
  </si>
  <si>
    <t xml:space="preserve"> After searching all day , Chandler hurries back to his apartment and when he gets there , Joey meets him in the hall , claiming Monica has left him because of his commitment issues . When Chandler enters their apartment , afraid of Monica actually leaving , he discovers that it 's far from being abandoned , there are candles lit all over and Monica is kneeling to propose . In the midst of proposing to Chandler , she cries from sheer emotion , saying , `` There 's a reason why girls do n't do this ! '' Instead , Chandler gets on his knees and proposes to her and Monica says yes . They then open the door to Joey , Rachel , and Phoebe , who have been waiting to celebrate . At first , they hesitate , feeling Ross should be there to share the moment , then decide that after three marriages , Ross can afford to miss one engagement celebration . End credits play while Monica and Chandler dance to Eric Clapton 's `` Wonderful Tonight . '' </t>
  </si>
  <si>
    <t xml:space="preserve"> So You Think You Can dance : the next Generation ( US tv series ) </t>
  </si>
  <si>
    <t>who won so you think you can dance 2016</t>
  </si>
  <si>
    <t xml:space="preserve">   So You Think You Can Dance : The Next Generation     Season 13     Broadcast from   May 30 -- September 12 , 2016     Judges   Nigel Lythgoe Paula Abdul Jason Derulo Maddie Ziegler     Host ( s )   Cat Deeley     Broadcaster   Fox     Winner     Leon `` Kida '' Burns     Genre ( s )   Hip - Hop         Runner - up     J.T. Church     Chronology       ◀   2016   ▶     </t>
  </si>
  <si>
    <t>Leon `` Kida '' Burns</t>
  </si>
  <si>
    <t xml:space="preserve"> Bates Motel ( TV series ) </t>
  </si>
  <si>
    <t>who plays norman bates in the tv show</t>
  </si>
  <si>
    <t xml:space="preserve"> Freddie Highmore as Norman Bates </t>
  </si>
  <si>
    <t>Freddie Highmore</t>
  </si>
  <si>
    <t xml:space="preserve"> Left - and right - hand traffic </t>
  </si>
  <si>
    <t>when did usa start driving on the right</t>
  </si>
  <si>
    <t xml:space="preserve"> In the late 1700s , traffic in the United States was RHT based on teamsters ' use of large freight wagons pulled by several pairs of horses . The wagons had no driver 's seat , so the ( typically right - handed ) postilion held his whip in his right hand and thus sat on the left rear horse . Seated on the left , the driver preferred that other wagons pass him on the left so that he could be sure to keep clear of the wheels of oncoming wagons . </t>
  </si>
  <si>
    <t>late 1700s</t>
  </si>
  <si>
    <t xml:space="preserve"> Central nervous system </t>
  </si>
  <si>
    <t>name some components of the central nervous system (cns)</t>
  </si>
  <si>
    <t xml:space="preserve"> The central nervous system ( CNS ) is the part of the nervous system consisting of the brain and spinal cord . The central nervous system is so named because it integrates information it receives from , and coordinates and influences the activity of , all parts of the bodies of bilaterally symmetric animals -- that is , all multicellular animals except sponges and radially symmetric animals such as jellyfish -- and it contains the majority of the nervous system . Many consider the retina and the optic nerve ( cranial nerve II ) , as well as the olfactory nerves ( cranial nerve I ) and olfactory epithelium as parts of the CNS , synapsing directly on brain tissue without intermediate ganglia . As such , the olfactory epithelium is the only central nervous tissue in direct contact with the environment , which opens up for therapeutic treatments . The CNS is contained within the dorsal body cavity , with the brain housed in the cranial cavity and the spinal cord in the spinal canal . In vertebrates , the brain is protected by the skull , while the spinal cord is protected by the vertebrae . The brain and spinal cord are both enclosed in the meninges . In central nervous systems , the interneuronal space is filled with a large amount of supporting non-nervous cells called neuroglial cells . </t>
  </si>
  <si>
    <t>brain</t>
  </si>
  <si>
    <t xml:space="preserve"> The Price Is Right ( U.S. game show ) </t>
  </si>
  <si>
    <t>who's the director of the price is right</t>
  </si>
  <si>
    <t xml:space="preserve"> The game show production team of Mark Goodson and Bill Todman was responsible for producing the original as well as the revival versions of the game show . Goodson - Todman staffer Bob Stewart is credited with creating the original version of The Price Is Right . Roger Dobkowitz was the producer from 1984 to 2008 , having worked with the program as a production staffer since the show 's debut after graduating from San Francisco State University . Occasionally , Dobkowitz appeared on - camera when answering a question posed by the host , usually relating to the show 's history or records . When he left the show at the end of season 36 , Variety reported that it was unclear whether he was retiring or was fired , although Carey indicated in a later interview with Esquire that Dobkowitz was fired . As of 2011 , the show uses multiple producers , all long - time staffers . Adam Sandler ( not to be confused with the actor ) is the producer of the show . Stan Blits , who joined the show in 1980 and Sue MacIntyre are the co-producers . Kathy Greco joined the show in 1975 and became producer in 2008 ; she announced her retirement October 8 , 2010 on the show 's website , effective at the end of the December 2010 tapings . Her last episode as producer , which aired January 27 , 2011 , featured a theme in tribute to her . The show 's official website featured a series of videos including an interview with Greco as a tribute to her 35 years in the days leading up to her final episode . Frank Wayne , a Goodson - Todman staffer since the 1950s , was the original executive producer of the CBS version of the show . Barker assumed that role after Wayne 's death in March 1988 , as previously stated . Previous producers have included Jay Wolpert , Barbara Hunter and Phil Wayne Rossi ( Wayne 's son ) . Michael Dimich assumed the director 's chair in June 2011 . Marc Breslow , Paul Alter , Bart Eskander and Rich DiPirro each served long stints previously as director . Former associate directors Andrew Felsher and Fred Witten , as well as technical director Glenn Koch , have directed episodes strictly on a fill - in basis . Sandler began directing episodes in 2012 , and became the official director in 2013 . Aside from Barker , the show 's production staff remained intact after Carey became host . FremantleMedia executive Syd Vinnedge was named the program 's new executive producer , with Richards becoming co-executive producer after Dobkowitz 's departure . Richards was a candidate to replace Barker as host in 2007 , before Carey was ultimately chosen . Richards succeeded Vinnedge as executive producer when the 2009 -- 10 season started , with Tracy Verna Soiseth joining Richards as co-executive producer in 2010 . Vinnedge remains credited as an executive consultant to the show . </t>
  </si>
  <si>
    <t>Adam Sandler</t>
  </si>
  <si>
    <t xml:space="preserve"> The bridge on the River Kwai </t>
  </si>
  <si>
    <t>bridge on the river kwai fact or fiction</t>
  </si>
  <si>
    <t xml:space="preserve"> The Bridge on the River Kwai is a 1957 British - American epic war film directed by David Lean and starring William Holden , Jack Hawkins , and Alec Guinness , and featuring Sessue Hayakawa . Based on the novel Le Pont de la Rivière Kwai ( 1952 ) by Pierre Boulle , the film is a work of fiction , but borrows the construction of the Burma Railway in 1942 -- 1943 for its historical setting . The movie was filmed in Ceylon ( now Sri Lanka ) . The bridge in the film was near Kitulgala . </t>
  </si>
  <si>
    <t>fiction</t>
  </si>
  <si>
    <t xml:space="preserve"> Commonwealth of Nations </t>
  </si>
  <si>
    <t>is hong kong a part of the commonwealth</t>
  </si>
  <si>
    <t xml:space="preserve"> The transfer of sovereignty over Hong Kong in 1997 ended the colony 's ties to the Commonwealth through the United Kingdom . The government of Hong Kong , as a special administrative region of China , did not pursue membership . Hong Kong has nevertheless continued to participate in some of the organisations of the Commonwealth family , such as the Commonwealth Lawyers Association ( hosted the Commonwealth Lawyers Conference in 1983 and 2009 ) , the Commonwealth Parliamentary Association ( and the Westminster Seminar on Parliamentary Practice and Procedures ) , the Association of Commonwealth Universities and the Commonwealth Association of Legislative Counsel . </t>
  </si>
  <si>
    <t xml:space="preserve"> Pulse </t>
  </si>
  <si>
    <t>where can pulse be felt in the body</t>
  </si>
  <si>
    <t xml:space="preserve"> In medicine , a pulse represents the tactile arterial palpation of the heartbeat by trained fingertips . The pulse may be palpated in any place that allows an artery to be compressed near the surface of the body , such as at the neck ( carotid artery ) , wrist ( radial artery ) , at the groin ( femoral artery ) , behind the knee ( popliteal artery ) , near the ankle joint ( posterior tibial artery ) , and on foot ( dorsalis pedis artery ) . Pulse ( or the count of arterial pulse per minute ) is equivalent to measuring the heart rate . The heart rate can also be measured by listening to the heart beat by auscultation , traditionally using a stethoscope and counting it for a minute . The radial pulse is commonly measured using three fingers . This has a reason : the finger closest to the heart is used to occlude the pulse pressure , the middle finger is used get a crude estimate of the blood pressure , and the finger most distal to the heart ( usually the ring finger ) is used to nullify the effect of the ulnar pulse as the two arteries are connected via the palmar arches ( superficial and deep ) . The study of the pulse is known as sphygmology . </t>
  </si>
  <si>
    <t xml:space="preserve"> Falklands War </t>
  </si>
  <si>
    <t>why did argentina attack the falklands/malvinas islands</t>
  </si>
  <si>
    <t xml:space="preserve"> The Falklands War ( Spanish : Guerra de las Malvinas ) , also known as the Falklands Conflict , Falklands Crisis , Malvinas War , South Atlantic Conflict , and the Guerra del Atlántico Sur ( Spanish for `` South Atlantic War '' ) , was a ten - week war between Argentina and the United Kingdom over two British dependent territories in the South Atlantic : the Falkland Islands , and its territorial dependency , the South Georgia and the South Sandwich Islands . It began on Friday , 2 April 1982 , when Argentina invaded and occupied the Falkland Islands ( and , the following day , South Georgia and the South Sandwich Islands ) in an attempt to establish the sovereignty it had claimed over them . On 5 April , the British government dispatched a naval task force to engage the Argentine Navy and Air Force before making an amphibious assault on the islands . The conflict lasted 74 days and ended with the Argentine surrender on 14 June 1982 , returning the islands to British control . In total , 649 Argentine military personnel , 255 British military personnel , and three Falkland Islanders died during the hostilities . </t>
  </si>
  <si>
    <t>an attempt to establish the sovereignty it had claimed over them</t>
  </si>
  <si>
    <t xml:space="preserve"> Orbit of the Moon </t>
  </si>
  <si>
    <t>how long does it take for the moon to go around earth</t>
  </si>
  <si>
    <t xml:space="preserve"> Orbit of the Moon       Diagram of the Moon 's orbit with respect to the Earth        Property   Value     Semi-major axis   384,748 km ( 239,071 mi )     Mean distance   385,000 km ( 239,000 mi )     Inverse sine parallax   384,400 km ( 238,900 mi )     Perigee ( i.e. min . distance from Earth )   362,600 km ( 225,300 mi ) ( avg . ) ( 356 400 -- 370 400 km )     Apogee ( i.e. max . distance from Earth )   405,400 km ( 251,900 mi ) ( avg . ) ( 404 000 -- 406 700 km )     Mean eccentricity   6998549006000000000 ♠ 0.054 9006 ( 0.026 -- 0.077 )     Mean obliquity   6.687 °     Mean inclination       of orbit to ecliptic   5.15 ° ( 4.99 -- 5.30 )     of lunar equator to ecliptic   1.543 °     Period of       orbit around Earth ( sidereal )   27.322 days     orbit around Earth ( synodic )   29.530 days     precession of nodes   18.5996 years     precession of line of apsides   8.8504 years      </t>
  </si>
  <si>
    <t xml:space="preserve"> Prime Minister of Mauritius </t>
  </si>
  <si>
    <t>who is the prime minister of republic of mauritius</t>
  </si>
  <si>
    <t xml:space="preserve">   Prime Minister of Mauritius     Coat of arms of Mauritius     Flag of Mauritius     Incumbent Pravind Jugnauth since 23 January 2017     Style   The Honourable     Residence   Clarisse House ( Official )     Nominator   The President who must appoint the MP supporting a clear majority in the National Assembly     Appointer   Ameenah Gurib     Term length   At The President 's Pleasure serving as long as the office holder has a majority in the National Assembly     Inaugural holder   Sir Seewoosagur Ramgoolam     Formation   12 March 1968 ; 50 years ago ( 1968 - 03 - 12 )     Salary   Rs 3.66 Million     Website   Prime Minister Office   </t>
  </si>
  <si>
    <t>Pravind Jugnauth</t>
  </si>
  <si>
    <t xml:space="preserve"> 2018 FA Cup final </t>
  </si>
  <si>
    <t>what teams are in the fa cup final</t>
  </si>
  <si>
    <t xml:space="preserve"> The 2018 FA Cup Final was the final match of the 2017 -- 18 FA Cup and the 137th final of the FA Cup , the world 's oldest football cup competition . It was played at Wembley Stadium in London , England on 19 May 2018 between Manchester United and Chelsea . It was the second successive final for Chelsea following their defeat by Arsenal the previous year . </t>
  </si>
  <si>
    <t>Manchester United</t>
  </si>
  <si>
    <t xml:space="preserve"> A Midsummer Night 's Dream </t>
  </si>
  <si>
    <t>where is a midsummer night's dream set</t>
  </si>
  <si>
    <t xml:space="preserve"> The play consists of four interconnecting plots , connected by a celebration of the wedding of Duke Theseus of Athens and the Amazon queen , Hippolyta , which is set simultaneously in the woodland and in the realm of Fairyland , under the light of the moon . </t>
  </si>
  <si>
    <t>in the woodland and in the realm of Fairyland</t>
  </si>
  <si>
    <t xml:space="preserve"> List of Black Sails episodes </t>
  </si>
  <si>
    <t>when does the new series of black sails start</t>
  </si>
  <si>
    <t xml:space="preserve"> Black Sails is an American television drama series created by Jon Steinberg and Robert Levine for Starz that debuted on January 25 , 2014 . It is produced by Film Afrika Worldwide and Platinum Dunes . It is written as a prequel to Robert Louis Stevenson 's novel Treasure Island . The series was renewed for a fourth season on July 31 , 2015 , before the third season had premiered . On July 20 , 2016 , Starz announced that the series ' fourth season would be its last ; the season premiered on January 29 , 2017 and concluded on April 2 , 2017 . During the course of the series , 38 episodes of Black Sails aired over four seasons . </t>
  </si>
  <si>
    <t xml:space="preserve"> Neil Armstrong </t>
  </si>
  <si>
    <t>who is the first person who went to moon</t>
  </si>
  <si>
    <t xml:space="preserve"> Neil Alden Armstrong ( August 5 , 1930 -- August 25 , 2012 ) was an American astronaut and aeronautical engineer who was the first person to walk on the Moon . He was also a naval aviator , test pilot , and university professor . </t>
  </si>
  <si>
    <t>Neil Alden Armstrong</t>
  </si>
  <si>
    <t xml:space="preserve"> List of Lego films and TV series </t>
  </si>
  <si>
    <t>when did the first lego movie come out</t>
  </si>
  <si>
    <t xml:space="preserve">   Year   Title   Production studio ( s )   Notes     2014   The Lego Movie   Warner Animation Group   Released     2017   The Lego Batman Movie   Released     The Lego Ninjago Movie   Released     2019   The Lego Movie Sequel   In development     The Billion Brick Race   </t>
  </si>
  <si>
    <t>The Lego Movie</t>
  </si>
  <si>
    <t xml:space="preserve"> Metal </t>
  </si>
  <si>
    <t>are pure metals made of atoms or ions</t>
  </si>
  <si>
    <t xml:space="preserve"> The atoms of metallic substances are typically arranged in one of three common crystal structures , namely body - centered cubic ( bcc ) , face - centered cubic ( fcc ) , and hexagonal close - packed ( hcp ) . In bcc , each atom is positioned at the center of a cube of eight others . In fcc and hcp , each atom is surrounded by twelve others , but the stacking of the layers differs . Some metals adopt different structures depending on the temperature . </t>
  </si>
  <si>
    <t>atoms</t>
  </si>
  <si>
    <t xml:space="preserve"> List of songs in Victorious </t>
  </si>
  <si>
    <t>what episode in victorious is give it up</t>
  </si>
  <si>
    <t xml:space="preserve">   Episode   Title   Performed by   Single   Season   Soundtrack     `` Pilot ''   `` Make It Shine ''   Tori Vega   Yes     Victorious     `` The Birthweek Song ''   `` You 're the Reason ''   Tori Vega   Yes     Victorious     `` Jade Dumps Beck ''   `` Chicago ''   Trina Vega   No     N / A     `` Tori the Zombie ''   `` Finally Falling ''   Tori Vega and Beck Oliver   Yes     Victorious     `` Survival of the Hottest ''   `` Make It Shine ''   `` Victorious '' Cast   No     N / A     `` Wi - Fi in the Sky ''   `` You 're the Reason ''   Trina Vega   No     N / A     `` The Great Ping Pong Scam ''   `` Tell Me That You Love Me ''   Tori Vega and Andre Harris   Yes     Victorious     `` Freak the Freak Out ''   `` Forever Baby ''   Robbie Shapiro and Rex Powers   No     N / A     `` Number One '' ( A.K.A. `` My World '' )   Hayley , Tara in a duet Sikowitz in a solo   No     N / A     `` Give It Up ''   Cat Valentine and Jade West   Yes     Victorious     `` Hate Me , Love Me ''   Hayley and Tara   No     N / A     `` Freak the Freak Out ''   Tori Vega   Yes     Victorious     `` Rex Dies ''   `` Forever Baby ''   Tori Vega , Robbie Shapiro and Rex Powers   No     N / A     `` The Diddly - Bops ''   `` Broken Glass ''   Robbie Shapiro   Yes     Victorious ( bonus track )     `` Favorite Food ''   `` Victorious '' Cast   No     Victorious     `` Nose Song ''   Andre Harris   No     N / A     `` You 're the Reason ''   Trina Vega   No     N / A     `` Song2You ''   Tori Vega and Andre Harris   Yes     Victorious     `` Wok Star ''   `` Fly Out of the Well ''   Daisy Lee   No     N / A     `` The Wood ''   `` Forever Baby ''   Tori Vega and Jade West   No     N / A     `` Beggin ' on Your Knees ''   `` Beggin ' on Your Knees ''   Tori Vega   Yes     Victorious     `` Ice Cream for Ke $ ha ''   `` Blow ''   Ke $ ha   Yes     Cannibal     `` Tori Gets Stuck ''   `` The Captain Is She ''   Tori Vega and Sikowitz   No     N / A     `` Prom Wrecker ''   `` Best Friend 's Brother ''   Tori Vega , Cat Valentine and Andre Harris   Yes     Victorious     `` Locked Up ! ''   `` All I Want Is Everything ''   Tori Vega , Cat Valentine , Jade West and Trina Vega   Yes     Victorious     `` I Want You Back ''   `` Victorious '' Cast   Yes     Victorious     `` Helen Back Again ''   `` ( You Have n't Seen the ) Best of Me ''   Trina Vega   No     N / A     `` Cat 's Broadway Song ''   Cat Valentine   No     N / A     `` Make It Shine ( Remix ) ''   Tori Vega and Andre Harris   No     N / A     `` Jade Gets Crushed ''   `` 365 Days ''   Tori Vega and Andre Harris   Yes     Victorious 3.0 ( bonus track )     `` Okay ''   Jade West   No     N / A     `` Terror on Cupcake Street ''   `` The Wheels on the Cupcake ''   `` Victorious '' Cast   No     N / A     `` A Christmas Tori ''   `` It 's Not Christmas Without You ''   Tori Vega , Cat Valentine and Jade West   Yes     Merry Nickmas !     `` The Breakfast Bunch ''   `` Run , Run , Run Away ''   Unknown Artist   No     N / A     `` In This Together ''   Nikki Watkins   No     N / A     `` Do n't You ( Forget About Me ) ''   Tori Vega   Yes     Victorious 2.0     `` The Gorilla Club ''   `` I 'm on Fire ''   Robbie Shapiro and Andre Harris   No     N / A     `` Andre 's Horrible Girl ''   `` Countdown ''   Tori Vega and Andre Harris   Yes     Victorious 2.0     `` Tori &amp; Jade 's Playdate ''   `` Take a Hint ''   Tori Vega and Jade West   Yes     Victorious 2.0     `` April Fools Blank ''   `` Shut Up n ' Dance ''   `` Victorious '' Cast   Yes     Victorious 2.0     `` Driving Tori Crazy ''   `` 5 Fingaz to the Face ''   `` Victorious '' Cast   Yes     Victorious 2.0     `` How Trina Got In ''   `` The Joke is on You ''   Trina Vega   No     N / A     `` Tori Goes Platinum ''   `` Make It in America ''   Tori Vega   Yes     Victorious 2.0     `` Cheer Me Up ( Only One 's Dancing ) ''   Tori Vega   Yes     Victorious 3.0 ( bonus track )     `` The Blonde Squad ''   `` I Think You ' re Swell ''   Robbie Shapiro   Yes     Victorious 2.0 ( bonus track )     `` Three Girls and a Moose ''   `` L.A. Boyz ''   Tori Vega and Cat Valentine   Yes     Victorious 3.0     `` Tori Fixes Beck and Jade ''   `` You Do n't Know Me ''   Jade West   Yes     Victorious 3.0     `` One Thousand Berry Balls ''   `` Here 's 2 Us ''   Tori Vega and Andre Harris   Yes     Victorious 3.0     `` The Bad Roommate ''   `` Faster Than Boyz ''   Tori Vega and Andre Harris   Yes     Victorious 3.0     `` Star - Spangled Tori ''   `` Star - Spangled Banner ''   Tori Vega   No     N / A     `` Bad Boys ''   Tori Vega   Yes     Victorious 3.0   </t>
  </si>
  <si>
    <t>Freak the Freak Out</t>
  </si>
  <si>
    <t xml:space="preserve"> Active transport </t>
  </si>
  <si>
    <t>movement of molecules across a membrane powered by atp</t>
  </si>
  <si>
    <t xml:space="preserve"> Active transport is the movement of molecules across a membrane from a region of their lower concentration to a region of their higher concentration -- in the direction against the concentration gradient . Active transport requires cellular energy to achieve this movement . There are two types of active transport -- primary active transport that uses ATP , and secondary active transport that uses an electrochemical gradient . An example of active transport in human physiology is the uptake of glucose in the intestines . </t>
  </si>
  <si>
    <t>primary active transport</t>
  </si>
  <si>
    <t xml:space="preserve"> Peter Minuit </t>
  </si>
  <si>
    <t>who sold manhattan to the dutch in 1626</t>
  </si>
  <si>
    <t xml:space="preserve"> Minuit is credited with purchasing the island of Manhattan from the Native Americans in exchange for traded goods valued at 60 guilders . According to the writer Nathaniel Benchley , Minuit conducted the transaction with Seyseys , chief of the Canarsees , who were only too happy to accept valuable merchandise in exchange for an island that was mostly controlled by the Weckquaesgeeks . </t>
  </si>
  <si>
    <t>Seyseys , chief of the Canarsees</t>
  </si>
  <si>
    <t xml:space="preserve"> City of Stars </t>
  </si>
  <si>
    <t>city of stars are you shining just for me meaning</t>
  </si>
  <si>
    <t xml:space="preserve">  ``   ( The song ) started at the piano with me just working on demos for Damien , sending him ideas until something really sparked . It 's so funny that that and `` Audition '' are the two songs that people seem to be responding to the most , at least so far , because they had similar processes in the sense that they had probably the least amount of fussing at the piano demo stage . ( ... ) I was just composing it from an emotional place and thinking about the tone . I would say the tone is hopeful , but melancholy at the same time . And it kind of goes back - and - forth between cadencing in major and cadencing in minor , because I think that 's kind of what the song is about . You have these great moments and then you have these less great moments in life and in Los Angeles and we see it happen in the story . I was thinking about that idea a little bit and just trying to compose a melody that I thought was shapely and beautiful . I guess it has some jazz inflections , because it 's something Sebastian plays on the piano .   ''  </t>
  </si>
  <si>
    <t xml:space="preserve"> Ink Master </t>
  </si>
  <si>
    <t>who have been the winners of ink master</t>
  </si>
  <si>
    <t xml:space="preserve">   Season   Contestants   Winner   Runner Up   Third Place   Prizes   First Aired   Last Aired   Judges ( chair order )               10   Shane O'Neill   Tommy Helm   James Vaughn     Title of Ink Master   $100,000   Feature in Inked magazine     January 17 , 2012   March 6 , 2012   Oliver Peck   Dave Navarro   Chris Nuñez       16   Steve Tefft   Sarah Miller   Sebastian Murphy   October 9 , 2012   December 18 , 2012       16   Joey Hamilton   Jime Litwalk   Katherine `` Tatu Baby '' Flores   July 16 , 2013   October 8 , 2013       17   Scott Marshall   Walter `` Sausage '' Frank   Matti Hixson   February 25 , 2014   May 20 , 2014     5   16   Jason Clay Dunn   Cleen Rock One   Erik Siuda   September 2 , 2014   December 16 , 2014     6   18   Dave Kruseman   Chris Blinston   Matt O'Baugh     Title of Ink Master   $100,000   Feature in Inked magazine   2015 Dodge Challenger     June 23 , 2015   October 13 , 2015     7   16   Anthony Michaels   Cleen Rock One   Christian Buckingham     Title of Ink Master   $100,000   Feature in Inked magazine     March 1 , 2016   May 24 , 2016     8   18   Ryan Ashley Malarkey   Gian Karle Cruz   Kelly Doty     Title of Ink Master   $100,000   Feature in Inked magazine   Dodge Charger   A guest artist spot in either Nunez 's or Peck 's tattoo shop .     August 23 , 2016   December 6 , 2016     9   36   Old Town Ink ( Bubba Irwin &amp; DJ Tambe )   Black Cobra Tattoos ( Matt O'Baugh &amp; Katie McGowan )   Basilica Tattoo ( Christian Buckingham &amp; Noelin Wheeler )     Title of Ink Master   $200,000   Feature in Inked magazine   Title of `` Master Shop ''     June 6 , 2017   September 26 , 2017   </t>
  </si>
  <si>
    <t xml:space="preserve"> Deuces ( film ) </t>
  </si>
  <si>
    <t>what year did the movie deuces come out</t>
  </si>
  <si>
    <t xml:space="preserve"> Deuces is an American crime drama written and directed by Jamal Hill . The film stars Larenz Tate , Meagan Good , Lance Gross and Siya . The film is executive produced by Queen Latifah for her production company Flavor Unit Entertainment . Deuces premiered on Netflix on April 1 , 2017 . </t>
  </si>
  <si>
    <t>2017</t>
  </si>
  <si>
    <t xml:space="preserve"> Ministry of Youth Affairs and Sports </t>
  </si>
  <si>
    <t>who is the present sport minister of india</t>
  </si>
  <si>
    <t xml:space="preserve"> The Ministry of Youth Affairs and Sports , a branch of the Government of India , which administers Department of youth affairs and Department of Sports in India . The ministry also overlooks the organisation of Commonwealth 2010 games . As of July 2016 , Minister of Youth Affairs and Sports is the Minister of State ( Independent Charge ) Rajyavardhan Singh Rathore </t>
  </si>
  <si>
    <t>Rajyavardhan Singh Rathore</t>
  </si>
  <si>
    <t xml:space="preserve"> List of most - followed Instagram accounts </t>
  </si>
  <si>
    <t>who has the most followers on instagram in the world</t>
  </si>
  <si>
    <t xml:space="preserve">   Rank   Chg   Account name   Owner   Followers ( millions )   Profession   Country     1 .     @ instagram   Instagram   235   Social media platform   USA     2 .     @ selenagomez   Selena Gomez   137   Musician and actress   USA     3 .     @ cristiano   Cristiano Ronaldo   126   Footballer   POR     4 .     @ arianagrande   Ariana Grande   119   Musician and actress   USA     5 .     @ beyonce   Beyoncé   115   Musician and actress   USA     6 .     @ kimkardashian   Kim Kardashian   111   Reality TV personality   USA     7 .     @ kyliejenner   Kylie Jenner   109   Reality TV personality   USA     8 .     @ taylorswift   Taylor Swift   108   Musician and actress   USA     9 .     @ therock   Dwayne Johnson   107   Actor and professional wrestler   USA     10 .     @ justinbieber   Justin Bieber   100   Musician   CAN     11 .     @ neymarjr   Neymar   93   Footballer   BRA     12 .     @ leomessi   Lionel Messi   91   Footballer   ARG     13 .     @ kendalljenner   Kendall Jenner   90   Model   USA     14 .     @ natgeo   National Geographic   88   Magazine   USA     15 .     @ nickiminaj   Nicki Minaj   86   Musician   TRI     16 .     @ nike   Nike   77   Sportswear multinational corporation   USA     17 .     @ khloekardashian   Khloé Kardashian   76   Reality TV personality   USA     18 .     @ mileycyrus   Miley Cyrus   75   Musician and actress   USA     19 .     @ jlo   Jennifer Lopez   75   Musician and actress   USA     20 .     @ katyperry   Katy Perry   69   Musician   USA     21 .     @ ddlovato   Demi Lovato   67   Musician and actress   USA     22 .     @ kourtneykardash   Kourtney Kardashian   63   Reality TV personality   USA     23 .     @ badgalriri   Rihanna   62   Musician   BAR     24 .     @ victoriassecret   Victoria 's Secret   59   Lingerie retailer   USA     25 .     @ kevinhart4real   Kevin Hart   59   Comedian   USA     As of May 13 , 2018   </t>
  </si>
  <si>
    <t>Instagram</t>
  </si>
  <si>
    <t xml:space="preserve"> Life or Something Like it </t>
  </si>
  <si>
    <t>where was life or something like it filmed</t>
  </si>
  <si>
    <t xml:space="preserve"> The majority of the movie was shot on location in Seattle , Washington although portions were filmed in downtown Vancouver . The TV station in the movie , KQMO , was actually real - life Seattle TV station KOMO - TV ( the KOMO logo was altered on the set of KOMO 4 News and on several of KOMO 's news vehicles , in addition to a few mic flags ) . </t>
  </si>
  <si>
    <t>Seattle , Washington</t>
  </si>
  <si>
    <t xml:space="preserve"> Karnataka Police </t>
  </si>
  <si>
    <t>the highest post in police department of karnataka state is</t>
  </si>
  <si>
    <t xml:space="preserve"> The Director General and Inspector General of Police ( DG&amp;IGP ) is the head of the state 's police department , and under him are Additional Directors Generals of Police . Each Additional Director General of Police is in charge of a particular function : law and order , crime and technical services , administration , intelligence , the Karnataka State Reserve Police , recruitment and training . </t>
  </si>
  <si>
    <t>The Director General and Inspector General of Police ( DG&amp;IGP )</t>
  </si>
  <si>
    <t xml:space="preserve"> Public holidays in Spain </t>
  </si>
  <si>
    <t>is it a bank holiday today in spain</t>
  </si>
  <si>
    <t xml:space="preserve">     Autonomous communities     Date   English name   Native name                                         January 1   New Year 's Day ( national holiday )   Año Nuevo   Y   Y   Y   Y   Y   Y   Y   Y   Y   Y   Y   Y   Y   Y   Y   Y   Y   Y     January 6   Epiphany ( national holiday )   Día de Reyes / Epifanía del Señor   Y   Y   Y   Y   Y   Y   Y   Y   Y   Y   Y   Y   Y   Y   Y   Y   Y   Y     February 28   Regional Holiday   Día de Andalucía   Y                                       March 1   Regional Holiday   Dia de les Illes Balears                     Y                     March 19   St. Joseph 's Day   San José       ML   Y   Y       Y   Y     Y   Y   Y   Y         Y     March or April   Maundy Thursday   Jueves Santo   Y   Y   Y   Y   Y   Y     Y   Y   Y   Y   Y   Y   Y   Y   Y   Y       Good Friday ( national holiday )   Viernes Santo   Y   Y   Y   Y   Y   Y   Y   Y   Y   Y   Y   Y   Y   Y   Y   Y   Y   Y     Easter Monday   Lunes de Pascua               Y       Y         Y     Y     Y     April 23   Regional Holiday   San Jorge ( Día de Aragón )     Y                                     Día de Castilla y León         Y                                 May 1   Labour Day ( national holiday )   Día del Trabajador   Y   Y   Y   Y   Y   Y   Y   Y   Y   Y   Y   Y   Y   Y   Y   Y   Y   Y     May 2   Regional Holiday   Fiesta de la Comunidad de Madrid                         Y                 May 17   Regional Holiday ( Galician Literature Day )   Día das Letras Galegas                   Y                       May 30   Regional Holiday   Día de Canarias             Y                             May 31   Regional Holiday   Día de la Región Castilla - La Mancha           Y                               May or June   Corpus Christi   Corpus Christi                         Y                 June 9   Regional Holiday   Día de la Región de Murcia                           Y               Día de La Rioja                       Y                   June 24   St. John 's Day   Sant Joan               Y                           July 25   Saint James   Santiago Apóstol                   Y                       August 15   Assumption ( national holiday )   Asunción   Y   Y   Y   Y   Y   Y   Y   Y   Y   Y   Y   Y   Y   Y   Y   Y   Y   Y     September 2   Municipal Holiday   Día de Ceuta       CE                                   September 8   Regional Holiday   Día de Asturias                               Y           Día de Extremadura                 Y                         September 11   National Day of Catalonia   Diada Nacional de Catalunya               Y                           September 15   Regional Holiday   Día de Cantabria                                   Y       October 9   Regional Holiday   Dia de la Comunitat Valenciana                                     Y     October 12   Fiesta Nacional de España ( national holiday )   Fiesta Nacional de España   Y   Y   Y   Y   Y   Y   Y   Y   Y   Y   Y   Y   Y   Y   Y   Y   Y   Y     October 25   Regional Holiday ( from 2011 )   Euskadi Eguna                                 Y         November 1   All Saints Day ( national holiday )   Día de todos los Santos   Y   Y   Y   Y   Y   Y   Y   Y   Y   Y   Y   Y   Y   Y   Y   Y   Y   Y     December 6   Constitution Day ( national holiday )   Día de la Constitución   Y   Y   Y   Y   Y   Y   Y   Y   Y   Y   Y   Y   Y   Y   Y   Y   Y   Y     December 8   Immaculate Conception ( national holiday )   Inmaculada Concepción   Y   Y   Y   Y   Y   Y   Y   Y   Y   Y   Y   Y   Y   Y   Y   Y   Y   Y     December 25   Christmas Day ( national holiday )   Navidad   Y   Y   Y   Y   Y   Y   Y   Y   Y   Y   Y   Y   Y   Y   Y   Y   Y   Y     December 26   St. Stephen 's Day   Sant Esteve               Y       Y                     Variable Islamic   Feast of the Sacrifice or Eid al - Adha   Celebración del Sacrificio       Y                                 </t>
  </si>
  <si>
    <t xml:space="preserve"> Albert Popwell </t>
  </si>
  <si>
    <t>who played the bank robber in dirty harry</t>
  </si>
  <si>
    <t xml:space="preserve"> Dirty Harry ( 1971 ) - Bank Robber ( uncredited ) </t>
  </si>
  <si>
    <t xml:space="preserve"> List of wealthiest organizations </t>
  </si>
  <si>
    <t>what is the worth of the catholic church</t>
  </si>
  <si>
    <t xml:space="preserve">   Organization   Worth   Country   Notes     Catholic Church   $140 billion +   Vatican       The Church of Jesus Christ of Latter - Day Saints   $67 billion +   United States       Church of England   $7.8 billion   United Kingdom       Opus Dei ( part of the Catholic Church )   $2.8 billion   Italy       Church of Scientology   $2.0 billion   United States     </t>
  </si>
  <si>
    <t>$140 billion +</t>
  </si>
  <si>
    <t xml:space="preserve"> Black Dirt region </t>
  </si>
  <si>
    <t>where is the best farming soil in the us and where did all the dirt come from</t>
  </si>
  <si>
    <t xml:space="preserve"> The Black Dirt Region takes its name from the dark , extremely fertile soil left over from an ancient glacial lake bottom augmented by decades of past flooding of the Wallkill River . The 26,000 acres ( 10,400 ha ) of muck left over is the largest concentration of such soil in the United States outside the Florida Everglades . </t>
  </si>
  <si>
    <t>The Black Dirt Region</t>
  </si>
  <si>
    <t xml:space="preserve"> Tabla </t>
  </si>
  <si>
    <t>the pair of hand drums used in indian classical music is called</t>
  </si>
  <si>
    <t xml:space="preserve"> The tabla consists of two single headed , barrel shaped small drums of slightly different size and shapes : daya also called dahina meaning right ( also called `` tabla '' ) , and baya also called bahina meaning left ( also called `` dagga '' ) . The daya tabla is played by the musician 's right hand ( dominant hand ) , and is about 15 centimetres ( ~ 6 in ) in diameter and 25 centimetres ( ~ 10 in ) high . The baya tabla is a bit bigger and deep kettledrum shaped , about 20 centimetres ( ~ 8 in ) in diameter and 25 centimetres ( ~ 10 in ) in height . Each is made of hollowed out wood or clay or brass , the daya drum laced with hoops , thongs and wooden dowels on its sides . The dowels and hoops are used to tighten the tension of the membrane . The daya is tuned to the ground note of the raga called Sa ( tonic in India music ) . The baya construction and tuning is about a fifth to an octave below that of the daya drum . The musician uses his hand 's heel pressure to change the pitch and tone colour of each drum during a performance . </t>
  </si>
  <si>
    <t>tabla</t>
  </si>
  <si>
    <t xml:space="preserve"> Petty officer </t>
  </si>
  <si>
    <t>where does the term petty officer come from</t>
  </si>
  <si>
    <t xml:space="preserve"> The modern petty officer dates back to the Age of Sail . Petty officers rank between naval officers ( both commissioned and warrant ) and most enlisted sailors . These were men with some claim to officer rank , sufficient to distinguish them from ordinary ratings , without raising them so high as the sea officers . Several were warrant officers , in the literal sense of being appointed by warrant , and like the warrant sea officers , their superiors , they were usually among the specialists of the ship 's company . The Oxford English Dictionary suggests that the title derives from the Anglo - Norman and Middle French `` petit '' , meaning `` of small size , small , little '' . </t>
  </si>
  <si>
    <t>Age of Sail</t>
  </si>
  <si>
    <t xml:space="preserve"> Olympic symbols </t>
  </si>
  <si>
    <t>what do the colors of the olympic rings mean</t>
  </si>
  <si>
    <t xml:space="preserve"> The rings are five interlocking rings , coloured blue , yellow , black , green , and red on a white field , known as the `` Olympic rings '' . The symbol was originally designed in 1912 by de Coubertin . He appears to have intended the rings to represent the five participating regions : Africa , Asia , America , Oceania and Europe . According to Coubertin , the colours of the rings together with the white of the background included the colours composing every competing nation 's flag at the time . Upon its initial introduction , Coubertin stated the following in the August 1912 edition of Olympique : </t>
  </si>
  <si>
    <t xml:space="preserve"> Israel </t>
  </si>
  <si>
    <t>where is israel located on the world map</t>
  </si>
  <si>
    <t xml:space="preserve"> Israel ( / ˈɪzreɪəl / ; Hebrew : יִשְׂרָאֵל ‎ , Arabic : إِسْرَائِيل ‎ ‎ ) , officially the State of Israel ( Hebrew : מְדִינַת יִשְׂרָאֵל ‎ , Arabic : دَوْلَة إِسْرَائِيل ‎ ‎ ) , is a country in the Middle East , on the southeastern shore of the Mediterranean Sea and the northern shore of the Red Sea . It has land borders with Lebanon to the north , Syria to the northeast , Jordan on the east , the Palestinian territories of the West Bank and Gaza Strip to the east and west , respectively , and Egypt to the southwest . The country contains geographically diverse features within its relatively small area . Israel 's economy and technology center is Tel Aviv , while its seat of government and proclaimed capital is Jerusalem , although the state 's sovereignty over East Jerusalem is not recognised internationally . </t>
  </si>
  <si>
    <t>the Middle East , on the southeastern shore of the Mediterranean Sea and the northern shore of the Red Sea</t>
  </si>
  <si>
    <t xml:space="preserve"> Tinker Tailor Soldier Spy ( film ) </t>
  </si>
  <si>
    <t>who played smiley in tinker tailor soldier spy</t>
  </si>
  <si>
    <t xml:space="preserve"> Tinker Tailor Soldier Spy is a 2011 Cold War espionage film directed by Tomas Alfredson . The screenplay was written by Bridget O'Connor and Peter Straughan , based on John le Carré 's 1974 novel of the same name . The film , starring Gary Oldman as George Smiley , along with Colin Firth , Tom Hardy , John Hurt , Toby Jones , Mark Strong , Benedict Cumberbatch , and Ciarán Hinds , and featuring David Dencik , is set in London in the early 1970s and follows the hunt for a Soviet double agent at the top of the British secret service . </t>
  </si>
  <si>
    <t>Gary Oldman</t>
  </si>
  <si>
    <t xml:space="preserve"> Micrometer </t>
  </si>
  <si>
    <t>is the micrometer screw gauge used for measurement of inner diameter of tube</t>
  </si>
  <si>
    <t xml:space="preserve"> Tube micrometers have a cylindrical anvil positioned perpendicularly to a spindle and is used to measure the thickness of tubes . </t>
  </si>
  <si>
    <t xml:space="preserve"> Temperance `` Bones '' Brennan </t>
  </si>
  <si>
    <t>when does brennan get pregnant the first time</t>
  </si>
  <si>
    <t xml:space="preserve"> Brennan is best friends with her coworker , Angela , saying in the 6th - season premiere she loves Angela `` like a sister '' and is going to be an aunt to Hodgins ' and Angela 's newborn child . It is revealed at the end of the season six finale `` The Change in the Game '' that Brennan is pregnant and the father is Booth . </t>
  </si>
  <si>
    <t>season six finale</t>
  </si>
  <si>
    <t xml:space="preserve"> The Handmaid 's Tale ( TV series ) </t>
  </si>
  <si>
    <t>when did season 2 of handmaid's tale start</t>
  </si>
  <si>
    <t xml:space="preserve">   Season   Episodes   Originally released     First released   Last released         10   April 26 , 2017 ( 2017 - 04 - 26 )   June 14 , 2017 ( 2017 - 06 - 14 )         13   April 25 , 2018 ( 2018 - 04 - 25 )   July 11 , 2018 ( 2018 - 07 - 11 )   </t>
  </si>
  <si>
    <t>April 25 , 2018</t>
  </si>
  <si>
    <t xml:space="preserve"> Dead zone ( ecology ) </t>
  </si>
  <si>
    <t>what causes a dead zone in the ocean</t>
  </si>
  <si>
    <t xml:space="preserve"> Dead zones are hypoxic ( low - oxygen ) areas in the world 's oceans and large lakes , caused by `` excessive nutrient pollution from human activities coupled with other factors that deplete the oxygen required to support most marine life in bottom and near - bottom water . ( NOAA ) '' . In the 1970s oceanographers began noting increased instances of dead zones . These occur near inhabited coastlines , where aquatic life is most concentrated . ( The vast middle portions of the oceans , which naturally have little life , are not considered `` dead zones '' . ) </t>
  </si>
  <si>
    <t>excessive nutrient pollution from human activities coupled with other factors that deplete the oxygen</t>
  </si>
  <si>
    <t xml:space="preserve"> Alejandro García Padilla </t>
  </si>
  <si>
    <t>who is the present governor of puerto rico</t>
  </si>
  <si>
    <t xml:space="preserve"> Alejandro Javier García Padilla ( Spanish : ( aleˈxandɾo ɣarˈsi. a ) ; born August 3 , 1971 ) is a Puerto Rican politician and attorney who served as the 11th Governor of Puerto Rico from 2013 to 2017 . Prior to this position , García Padilla held various roles in the political landscape of Puerto Rico ; first as Secretary of Consumer Affairs , and then as a member of the 24th Senate of Puerto Rico and as president of the Popular Democratic Party . Locally , he is a staunch advocate for maintaining the current political status of Puerto Rico as that of an unincorporated territory of the United States with self - government , while at the national level he is allied with the Democratic Party . </t>
  </si>
  <si>
    <t>Alejandro Javier García Padilla</t>
  </si>
  <si>
    <t xml:space="preserve"> Neuromuscular junction </t>
  </si>
  <si>
    <t>what affect does acetylcholine have on the sarcolemma</t>
  </si>
  <si>
    <t xml:space="preserve"> Muscles require innervation to function -- and even just to maintain muscle tone , avoiding atrophy . Synaptic transmission at the neuromuscular junction begins when an action potential reaches the presynaptic terminal of a motor neuron , which activates voltage - dependent calcium channels to allow calcium ions to enter the neuron . Calcium ions bind to sensor proteins ( synaptotagmin ) on synaptic vesicles , triggering vesicle fusion with the cell membrane and subsequent neurotransmitter release from the motor neuron into the synaptic cleft . In vertebrates , motor neurons release acetylcholine ( ACh ) , a small molecule neurotransmitter , which diffuses across the synaptic cleft and binds to nicotinic acetylcholine receptors ( nAChRs ) on the cell membrane of the muscle fiber , also known as the sarcolemma . nAChRs are ionotropic receptors , meaning they serve as ligand - gated ion channels . The binding of ACh to the receptor can depolarize the muscle fiber , causing a cascade that eventually results in muscle contraction . </t>
  </si>
  <si>
    <t>can depolarize the muscle fiber , causing a cascade that eventually results in muscle contraction</t>
  </si>
  <si>
    <t xml:space="preserve"> Claire Underwood </t>
  </si>
  <si>
    <t>who plays claire underwood's mom on house of cards</t>
  </si>
  <si>
    <t xml:space="preserve"> Claire Hale Underwood is originally from the exclusive Highland Park enclave of Dallas , Texas . Her late father was a major Texas Republican . While at Radcliffe College in Cambridge , she met Francis J. Underwood , a Harvard Law student from South Carolina . She is from a wealthy family , and the show characterizes her as a `` Dallas Debutante '' and `` Lily White '' . She recounts her father 's taking her to Dealey Plaza , where John F. Kennedy was assassinated , and that it made her feel `` so sad , so angry '' . She has a difficult relationship with her mother , Elizabeth Hale ( Ellen Burstyn ) , who despises Frank and is disappointed in Claire for marrying him . </t>
  </si>
  <si>
    <t>Ellen Burstyn</t>
  </si>
  <si>
    <t xml:space="preserve"> 2017 All - Ireland senior football Championship final </t>
  </si>
  <si>
    <t>who won the all ireland football final 2017</t>
  </si>
  <si>
    <t xml:space="preserve"> Dublin won the final by a point on a 1 - 17 to 1 - 16 scoreline to claim their third title in a row , the first time this has happened since 1921 - 23 . </t>
  </si>
  <si>
    <t>Dublin</t>
  </si>
  <si>
    <t xml:space="preserve"> My Three Sons </t>
  </si>
  <si>
    <t>who played robbie douglas wife on my three sons</t>
  </si>
  <si>
    <t xml:space="preserve"> While the three sons were always central to the storyline , several major changes took place by the late 1960s . In the spring of 1967 , the ratings for the series began to sag and My Three Sons finished its seventh season in 31st place in the Nielsen ratings . It was decided that the 1967 - 1968 season would bring the program not only a new time slot , but also new storylines to spice up the ratings . In the fall of 1967 , CBS moved My Three Sons to Saturday night at 8 : 30 pm . In the season - premiere episode , `` Moving Day '' , the Douglas family and Uncle Charley relocate from the fictional town of Bryant Park in the Midwest to Los Angeles . Robbie ( Don Grady ) marries his classmate / girlfriend , Katie Miller ( Tina Cole ) . Tina Cole , in fact , had appeared in different roles on three previous episodes of My Three Sons : `` House For Sale '' from the fourth season ( February 13 , 1964 ) , `` The Coffee House Set '' from the fifth season ( November 19 , 1964 ) , and `` Robbie and the Little Stranger '' from the sixth season ( February 17 , 1966 ) . At the end of the 1967 - 1968 season , the ratings had improved from the previous year with the series placing at 24th in the Nielsens . The following season , the newlyweds discover that Katie is pregnant , and she gives birth to triplets named Robert , Steven , and Charles . Although originally played by sets of uncredited twins , these babies were played uncredited by Guy , Gunnar , and Garth Swanson . The most familiar triplets in the show 's last two seasons are played by Michael , Daniel , and Joseph Todd . </t>
  </si>
  <si>
    <t>Tina Cole</t>
  </si>
  <si>
    <t xml:space="preserve"> NBA Regular season records </t>
  </si>
  <si>
    <t>who hit the most 3 pointers in a nba game</t>
  </si>
  <si>
    <t xml:space="preserve">    13 by Stephen Curry , Golden State Warriors ( vs. New Orleans Pelicans ) on November 7 , 2016 ( 13 / 17 )    </t>
  </si>
  <si>
    <t>13</t>
  </si>
  <si>
    <t xml:space="preserve"> Torrens title </t>
  </si>
  <si>
    <t>the most common system of land title in australia</t>
  </si>
  <si>
    <t xml:space="preserve"> Torrens title is a land registration and land transfer system , in which a state creates and maintains a register of land holdings , which serves as the conclusive evidence ( termed `` indefeasibility '' ) of title of the person recorded on the register as the proprietor ( owner ) , and of all other interests recorded on the register . The interests that are not guaranteed are called `` paramount interests '' . Ownership of land is transferred by registration of a transfer of title , instead of by the use of deeds . The Registrar would provide a Certificate of Title to the new proprietor , which is merely a copy of the related folio of the register . </t>
  </si>
  <si>
    <t>Torrens title</t>
  </si>
  <si>
    <t xml:space="preserve"> The Load - Out </t>
  </si>
  <si>
    <t>who sings with jackson brown on the load out</t>
  </si>
  <si>
    <t xml:space="preserve"> `` The Load - Out '' describes the daily practices of a band and its road crew on a concert tour , and the emotions evoked throughout such an endeavor . The first three verses of the song consist of Browne singing and playing piano with David Lindley playing steel guitar . They are later joined by a synthesizer , followed by the rest of the band . Eventually `` The Load - Out '' segues into an interpretation of Maurice Williams ' 1960 hit `` Stay , '' sung by Browne , Rosemary Butler , and Lindley . It is Lindley who sings the falsetto . </t>
  </si>
  <si>
    <t>Rosemary Butler</t>
  </si>
  <si>
    <t xml:space="preserve"> List of Twenty20 International records </t>
  </si>
  <si>
    <t>who has scored most runs in t20 international innings</t>
  </si>
  <si>
    <t xml:space="preserve">   Runs   Bowling figures   Bowler   Bowling team   Opposition   Venue   Date   Scorecard     69   4 -- 0 -- 69 -- 0   Barry McCarthy   Ireland   Afghanistan   Greater Noida   12 March 2017    Scorecard      68   4 -- 0 -- 68 -- 1   Kyle Abbott   South Africa   West Indies   Johannesburg   11 January 2015   Scorecard     64   4 -- 0 -- 64 -- 1   James Anderson   England   Australia   Sydney   9 January 2007   Scorecard     64   4 -- 0 -- 64 -- 0   Sanath Jayasuriya   Sri Lanka   Pakistan   Johannesburg   17 September 2007   Scorecard     63   4 -- 0 -- 63 -- 2   Rubel Hossain   Bangladesh   West Indies   Dhaka   10 December 2012   Scorecard      Bowling figures given above are in the form of `` Overs - Maidens - Runs - Wickets '' . Updated : 12 March 2017    </t>
  </si>
  <si>
    <t xml:space="preserve"> Derek Shepherd </t>
  </si>
  <si>
    <t>what happens to dr shepherd on grey's</t>
  </si>
  <si>
    <t xml:space="preserve"> In season 11 , Derek is involved in a fatal car accident while driving to the airport for his final trip to Washington . He is able to hear and process auditory input , but unable to speak . He is recognized by Winnie , one of the victims of a crash he assisted in earlier , who tells the surgeons that their patient 's name is Derek and that he is a surgeon as well . The hospital he was taken to was understaffed and his head injury was not detected quickly enough by the interns on duty that night . Although the neurosurgeon on call is paged multiple times , he takes too long to arrive and Derek is declared brain dead . Police arrive at Meredith 's door and take her to see Derek , where she consents to removing him from life support . At the time of his death , Meredith was pregnant with their third child . She gives birth to a daughter whom she names Ellis after her mother . </t>
  </si>
  <si>
    <t>a fatal car accident</t>
  </si>
  <si>
    <t xml:space="preserve"> The 100 ( novel series ) </t>
  </si>
  <si>
    <t>when does book 2 of the 100 come out</t>
  </si>
  <si>
    <t xml:space="preserve"> The 100 is a series of young adult science fiction novels by Kass Morgan . The first book in the series , The 100 , was published on September 3 , 2013 , by Little , Brown Books for Young Readers . Day 21 , its sequel , was released on September 25 , 2014 , and Homecoming was released on February 26 , 2015 . A fourth novel , Rebellion , was released on December 6 , 2016 . </t>
  </si>
  <si>
    <t>on September 25 , 2014</t>
  </si>
  <si>
    <t xml:space="preserve"> Nissan Armada </t>
  </si>
  <si>
    <t>when did the nissan armada body style change</t>
  </si>
  <si>
    <t xml:space="preserve"> On February 10 , 2016 , Nissan unveiled the second generation Armada at the Chicago Auto Show , and went on sale in August 2016 as a 2017 model . This version is based on the Nissan Patrol and Infiniti QX80 , and is assembled in Japan , except for the Endurance V8 engine , which is assembled in Decherd , Tennessee . The Armada grew in length and width , but the wheelbase and height were moderately reduced . In addition to the Endurance V8 , a seven - speed transmission was introduced to improve fuel economy , acceleration and torque , along with an increase in horsepower from 317 to 390 hp at 5,200 rpm . The exterior moderately differs from the updated Patrol , that was introduced in early 2014 . As with the previous generation , the Armada continued to offer 2WD and 4WD and available in SV , SL , and Platinum trims . </t>
  </si>
  <si>
    <t>2016</t>
  </si>
  <si>
    <t xml:space="preserve"> Down syndrome </t>
  </si>
  <si>
    <t>where does the name down syndrome come from</t>
  </si>
  <si>
    <t xml:space="preserve"> Down syndrome is one of the most common chromosome abnormalities in humans . It occurs in about one per 1000 babies born each year . In 2015 , Down syndrome was present in 5.4 million individuals and resulted in 27,000 deaths down from 43,000 deaths in 1990 . It is named after John Langdon Down , the British doctor who fully described the syndrome in 1866 . Some aspects of the condition were described earlier by Jean - Étienne Dominique Esquirol in 1838 and Édouard Séguin in 1844 . In 1957 , the genetic cause of Down syndrome , an extra copy of chromosome 21 , was discovered . </t>
  </si>
  <si>
    <t>John Langdon Down , the British doctor who fully described the syndrome in 1866</t>
  </si>
  <si>
    <t xml:space="preserve"> Blood stripe </t>
  </si>
  <si>
    <t>what does the red stripe on the marine uniform mean</t>
  </si>
  <si>
    <t xml:space="preserve"> Tradition holds that in the Battle of Chapultepec in Mexico on September 1847 , Marine officers and NCOs sustained an unusually high casualty rate during the battle . In 1849 , uniform regulations dictated that the stripes be changed to a solid red in honor of the numerous Marine deaths . Ten years later , a scarlet cord was inserted into the outer seams for noncommissioned officers and musicians , while a scarlet welt was added for officers . Finally , in 1904 , the simple scarlet stripe seen today was adopted , with the varying widths prescribed for different ranks . </t>
  </si>
  <si>
    <t xml:space="preserve"> Kiss Me thru the Phone </t>
  </si>
  <si>
    <t>the number on kiss me thru the phone</t>
  </si>
  <si>
    <t xml:space="preserve"> The telephone number , 678 - 999 - 8212 , given in the song , if dialed from the United States , previously connected to a message system for the artist ; the number now belongs to an unknown commercial advertiser in Georgia . An unsuspecting family in the United Kingdom found themselves inundated with calls from fans there who dialed the number but mistyped the international dialing code prefix for the United States ( 001 ) , instead typing `` 016 '' , which is the prefix for numbers in Greater Manchester , England , where the family reside . </t>
  </si>
  <si>
    <t>678 - 999 - 8212</t>
  </si>
  <si>
    <t xml:space="preserve"> 2017 NFL season </t>
  </si>
  <si>
    <t>when does the regular football season start for nfl</t>
  </si>
  <si>
    <t xml:space="preserve"> The 2017 NFL season is the 98th and current season in the history of the National Football League ( NFL ) . The season began on September 7 , 2017 , with the Kansas City Chiefs defeating the defending Super Bowl LI champion New England Patriots 42 -- 27 in the NFL Kickoff Game . The season will conclude with Super Bowl LII , the league 's championship game , on February 4 , 2018 , at U.S. Bank Stadium in Minneapolis , Minnesota . </t>
  </si>
  <si>
    <t>September 7 , 2017</t>
  </si>
  <si>
    <t xml:space="preserve"> College World Series </t>
  </si>
  <si>
    <t>who does oregon state play in the college world series</t>
  </si>
  <si>
    <t xml:space="preserve">   Year   Champion   Coach   Score   Runner - Up   Most Outstanding Player     1947   California   Clint Evans   17 -- 8 , 8 -- 7   Yale       1948   Southern California   Sam Barry   3 -- 1 , 3 -- 8 , 9 -- 2   Yale       1949   Texas   Bibb Falk   10 -- 3   Wake Forest   Tom Hamilton , Texas     1950   Texas   Bibb Falk   3 -- 0   Washington State   Ray VanCleef , Rutgers     1951   Oklahoma   Jack Baer   3 -- 2   Tennessee   Sidney Hatfield , Tennessee     1952   Holy Cross   Jack Barry   8 -- 4   Missouri   James O'Neill , Holy Cross     1953   Michigan   Ray Fisher   7 -- 5   Texas   J.L. Smith , Texas     1954   Missouri   Hi Simmons   4 -- 1   Rollins   Tom Yewcic , Michigan State     1955   Wake Forest   Taylor Sanford   7 -- 6   Western Michigan   Tom Borland , Oklahoma A&amp;M     1956   Minnesota   Dick Siebert   12 -- 1   Arizona   Jerry Thomas , Minnesota     1957   California   George Wolfman   1 -- 0   Penn State   Cal Emery , Penn State     1958   Southern California   Rod Dedeaux   8 -- 7   Missouri   Bill Thom , Southern California     1959   Oklahoma State   Toby Greene   5 -- 3   Arizona   Jim Dobson , Oklahoma State     1960   Minnesota   Dick Siebert   2 -- 1   Southern California   John Erickson , Minnesota     1961   Southern California   Rod Dedeaux   1 -- 0   Oklahoma State   Littleton Fowler , Oklahoma State     1962   Michigan   Don Lund   5 -- 4   Santa Clara   Bob Garibaldi , Santa Clara     1963   Southern California   Rod Dedeaux   5 -- 2   Arizona   Bud Hollowell , Southern California     1964   Minnesota   Dick Siebert   5 -- 1   Missouri   Joe Ferris , Maine     1965   Arizona State   Bobby Winkles   2 -- 1   Ohio State   Sal Bando , Arizona State     1966   Ohio State   Marty Karow   8 -- 2   Oklahoma State   Steve Arlin , Ohio State     1967   Arizona State   Bobby Winkles   11 -- 2   Houston   Ron Davini , Arizona State     1968   Southern California   Rod Dedeaux   4 -- 3   Southern Illinois   Bill Seinsoth , Southern California     1969   Arizona State   Bobby Winkles   10 -- 1   Tulsa   John Dolinsek , Arizona State     1970   Southern California   Rod Dedeaux   2 -- 1   Florida State   Gene Ammann , Florida State     1971   Southern California   Rod Dedeaux   7 -- 2   Southern Illinois   Jerry Tabb , Tulsa     1972   Southern California   Rod Dedeaux   1 -- 0   Arizona State   Russ McQueen , Southern California     1973   Southern California   Rod Dedeaux   4 -- 3   Arizona State   Dave Winfield , Minnesota       Southern California   Rod Dedeaux   7 -- 3   Miami ( FL )   George Milke , Southern California       Texas   Cliff Gustafson   5 -- 1   South Carolina   Mickey Reichenbach , Texas     1976   Arizona   Jerry Kindall   7 -- 1   Eastern Michigan   Steve Powers , Arizona     1977   Arizona State   Jim Brock   2 -- 1   South Carolina   Bob Horner , Arizona State     1978   Southern California   Rod Dedeaux   10 -- 3   Arizona State   Rod Boxberger , Southern California     1979   Cal State Fullerton   Augie Garrido   2 -- 1   Arkansas   Tony Hudson , Cal State Fullerton     1980   Arizona   Jerry Kindall   5 -- 3   Hawaii   Terry Francona , Arizona     1981   Arizona State   Jim Brock   7 -- 4   Oklahoma State   Stan Holmes , Arizona State     1982   Miami ( FL )   Ron Fraser   9 -- 3   Wichita State   Dan Smith , Miami ( FL )       Texas   Cliff Gustafson   4 -- 3   Alabama   Calvin Schiraldi , Texas     1984   Cal State Fullerton   Augie Garrido   3 -- 1   Texas   John Fishel , Cal State Fullerton     1985   Miami ( FL )   Ron Fraser   10 -- 6   Texas   Greg Ellena , Miami ( FL )     1986   Arizona   Jerry Kindall   10 -- 2   Florida State   Mike Senne , Arizona       Stanford   Mark Marquess   9 -- 5   Oklahoma State   Paul Carey , Stanford     1988   Stanford   Mark Marquess   9 -- 4   Arizona State   Lee Plemel , Stanford     1989   Wichita State   Gene Stephenson   5 -- 3   Texas   Greg Brummett , Wichita State     1990   Georgia   Steve Webber   2 -- 1   Oklahoma State   Mike Rebhan , Georgia     1991   LSU   Skip Bertman   6 -- 3   Wichita State   Gary Hymel , LSU     1992   Pepperdine   Andy Lopez   3 -- 2   Cal State Fullerton   Phil Nevin , Cal State Fullerton     1993   LSU   Skip Bertman   8 -- 0   Wichita State   Todd Walker , LSU     1994   Oklahoma   Larry Cochell   13 -- 5   Georgia Tech   Chip Glass , Oklahoma     1995   Cal State Fullerton   Augie Garrido   11 -- 5   Southern California   Mark Kotsay , Cal State Fullerton       LSU   Skip Bertman   9 -- 8   Miami ( FL )   Pat Burrell , Miami ( FL )     1997   LSU   Skip Bertman   13 -- 6   Alabama   Brandon Larson , LSU     1998   Southern California   Mike Gillespie   21 -- 14   Arizona State   Wes Rachels , Southern California     1999   Miami ( FL )   Jim Morris   6 -- 5   Florida State   Marshall McDougall , Florida State     2000   LSU   Skip Bertman   6 -- 5   Stanford   Trey Hodges , LSU     2001   Miami ( FL )   Jim Morris   12 -- 1   Stanford   Charlton Jimerson , Miami ( FL )     2002   Texas   Augie Garrido   12 -- 6   South Carolina   Huston Street , Texas     2003   Rice   Wayne Graham   4 -- 3 , 3 -- 8 , 14 -- 2   Stanford   John Hudgins , Stanford       Cal State Fullerton   George Horton   6 -- 4 , 3 -- 2   Texas   Jason Windsor , Cal State Fullerton     2005   Texas   Augie Garrido   4 -- 2 , 6 -- 2   Florida   David Maroul , Texas     2006   Oregon State   Pat Casey   3 -- 4 , 11 -- 7 , 3 -- 2   North Carolina   Jonah Nickerson , Oregon State     2007   Oregon State   Pat Casey   11 -- 4 , 9 -- 3   North Carolina   Jorge Luis Reyes , Oregon State     2008   Fresno State   Mike Batesole   6 -- 7 , 19 -- 10 , 6 -- 1   Georgia   Tommy Mendonca , Fresno State     2009   LSU   Paul Mainieri   7 -- 6 , 1 -- 5 , 11 -- 4   Texas   Jared Mitchell , LSU       South Carolina   Ray Tanner   7 -- 1 , 2 -- 1   UCLA   Jackie Bradley , Jr. , South Carolina     2011   South Carolina   Ray Tanner   2 -- 1 , 5 -- 2   Florida   Scott Wingo , South Carolina     2012   Arizona   Andy Lopez   5 -- 1 , 4 -- 1   South Carolina   Rob Refsnyder , Arizona     2013   UCLA   John Savage   3 -- 1 , 8 -- 0   Mississippi State   Adam Plutko , UCLA     2014   Vanderbilt   Tim Corbin   9 -- 8 , 2 -- 7 , 3 -- 2   Virginia   Dansby Swanson , Vanderbilt     2015   Virginia   Brian O'Connor   1 -- 5 , 3 -- 0 , 4 -- 2   Vanderbilt   Josh Sborz , Virginia     2016   Coastal Carolina   Gary Gilmore   0 -- 3 , 5 -- 4 , 4 -- 3   Arizona   Andrew Beckwith , Coastal Carolina     2017   Florida   Kevin O'Sullivan   4 -- 3 , 6 -- 1   LSU   Alex Faedo , Florida     2018   Oregon State   Pat Casey   1 -- 4 , 5 -- 3 , 5 -- 0   Arkansas   Adley Rutschman , Oregon State   </t>
  </si>
  <si>
    <t>Arkansas</t>
  </si>
  <si>
    <t xml:space="preserve"> List of NBA champions </t>
  </si>
  <si>
    <t>who played in the last 3 nba finals</t>
  </si>
  <si>
    <t xml:space="preserve">   Year   Western Champions   Result   Eastern Champions   Reference     1950   Minneapolis Lakers   4 -- 2   Syracuse Nationals       1951   Rochester Royals ( 2 )   4 -- 3   New York Knicks ( 3 )       1952   Minneapolis Lakers ( 2 )   4 -- 3   New York Knicks ( 3 )       1953   Minneapolis Lakers ( 1 )   4 -- 1   New York Knicks ( 1 )       1954   Minneapolis Lakers ( 1 )   4 -- 3   Syracuse Nationals ( 1 )       1955   Fort Wayne Pistons ( 1 )   3 -- 4   Syracuse Nationals ( 1 )       1956   Fort Wayne Pistons ( 1 )   1 -- 4   Philadelphia Warriors ( 1 )       1957   St. Louis Hawks ( 1 )   3 -- 4   Boston Celtics ( 1 )       1958   St. Louis Hawks ( 1 )   4 -- 2   Boston Celtics ( 1 )       1959   Minneapolis Lakers ( 2 )   0 -- 4   Boston Celtics ( 1 )       1960   St. Louis Hawks ( 1 )   3 -- 4   Boston Celtics ( 1 )       1961   St. Louis Hawks ( 1 )   1 -- 4   Boston Celtics ( 1 )       1962   Los Angeles Lakers ( 1 )   3 -- 4   Boston Celtics ( 1 )       1963   Los Angeles Lakers ( 1 )   2 -- 4   Boston Celtics ( 1 )       1964   San Francisco Warriors ( 1 )   1 -- 4   Boston Celtics ( 1 )       1965   Los Angeles Lakers ( 1 )   1 -- 4   Boston Celtics ( 1 )       1966   Los Angeles Lakers ( 1 )   3 -- 4   Boston Celtics ( 2 )       1967   San Francisco Warriors ( 1 )   2 -- 4   Philadelphia 76ers ( 1 )       1968   Los Angeles Lakers ( 2 )   2 -- 4   Boston Celtics ( 2 )       1969   Los Angeles Lakers ( 1 )   3 -- 4   Boston Celtics ( 4 )       1970   Los Angeles Lakers ( 2 )   3 -- 4   New York Knicks ( 1 )       1971   Milwaukee Bucks ( 1 )   4 -- 0   Baltimore Bullets ( 1 )       1972   Los Angeles Lakers ( 1 )   4 -- 1   New York Knicks ( 2 )       1973   Los Angeles Lakers ( 2 )   1 -- 4   New York Knicks ( 2 )         Milwaukee Bucks ( 1 )   3 -- 4   Boston Celtics ( 1 )         Golden State Warriors ( 1 )   4 -- 0   Washington Bullets ( 2 )       1976   Phoenix Suns ( 3 )   2 -- 4   Boston Celtics ( 1 )       1977   Portland Trail Blazers ( 3 )   4 -- 2   Philadelphia 76ers ( 1 )       1978   Seattle SuperSonics ( 4 )   3 -- 4   Washington Bullets ( 3 )       1979   Seattle SuperSonics ( 1 )   4 -- 1   Washington Bullets ( 1 )       1980   Los Angeles Lakers ( 1 )   4 -- 2   Philadelphia 76ers ( 3 )       1981   Houston Rockets ( 6 )   2 -- 4   Boston Celtics ( 1 )       1982   Los Angeles Lakers ( 1 )   4 -- 2   Philadelphia 76ers ( 3 )         Los Angeles Lakers ( 1 )   0 -- 4   Philadelphia 76ers ( 1 )       1984   Los Angeles Lakers ( 1 )   3 -- 4   Boston Celtics ( 1 )       1985   Los Angeles Lakers ( 1 )   4 -- 2   Boston Celtics ( 1 )       1986   Houston Rockets ( 2 )   2 -- 4   Boston Celtics ( 1 )         Los Angeles Lakers ( 1 )   4 -- 2   Boston Celtics ( 1 )       1988   Los Angeles Lakers ( 1 )   4 -- 3   Detroit Pistons ( 2 )       1989   Los Angeles Lakers ( 1 )   0 -- 4   Detroit Pistons ( 1 )       1990   Portland Trail Blazers ( 3 )   1 -- 4   Detroit Pistons ( 1 )       1991   Los Angeles Lakers ( 3 )   1 -- 4   Chicago Bulls ( 1 )       1992   Portland Trail Blazers ( 1 )   2 -- 4   Chicago Bulls ( 1 )       1993   Phoenix Suns ( 1 )   2 -- 4   Chicago Bulls ( 2 )       1994   Houston Rockets ( 2 )   4 -- 3   New York Knicks ( 2 )       1995   Houston Rockets ( 6 )   4 -- 0   Orlando Magic ( 1 )         Seattle SuperSonics ( 1 )   2 -- 4   Chicago Bulls ( 1 )       1997   Utah Jazz ( 1 )   2 -- 4   Chicago Bulls ( 1 )       1998   Utah Jazz ( 1 )   2 -- 4   Chicago Bulls ( 1 )       1999   San Antonio Spurs ( 1 )   4 -- 1   New York Knicks ( 8 )       2000   Los Angeles Lakers ( 1 )   4 -- 2   Indiana Pacers ( 1 )       2001   Los Angeles Lakers ( 2 )   4 -- 1   Philadelphia 76ers ( 1 )       2002   Los Angeles Lakers ( 3 )   4 -- 0   New Jersey Nets ( 1 )       2003   San Antonio Spurs ( 1 )   4 -- 2   New Jersey Nets ( 2 )         Los Angeles Lakers ( 2 )   1 -- 4   Detroit Pistons ( 3 )       2005   San Antonio Spurs ( 2 )   4 -- 3   Detroit Pistons ( 2 )       2006   Dallas Mavericks ( 4 )   2 -- 4   Miami Heat ( 2 )       2007   San Antonio Spurs ( 3 )   4 -- 0   Cleveland Cavaliers ( 2 )       2008   Los Angeles Lakers ( 1 )   2 -- 4   Boston Celtics ( 1 )       2009   Los Angeles Lakers ( 1 )   4 -- 1   Orlando Magic ( 3 )         Los Angeles Lakers ( 1 )   4 -- 3   Boston Celtics ( 4 )       2011   Dallas Mavericks ( 3 )   4 -- 2   Miami Heat ( 2 )       2012   Oklahoma City Thunder ( 2 )   1 -- 4   Miami Heat ( 2 )       2013   San Antonio Spurs ( 2 )   3 -- 4   Miami Heat ( 1 )       2014   San Antonio Spurs ( 1 )   4 -- 1   Miami Heat ( 2 )       2015   Golden State Warriors ( 1 )   4 -- 2   Cleveland Cavaliers ( 2 )       2016   Golden State Warriors ( 1 )   3 -- 4   Cleveland Cavaliers ( 1 )       2017   Golden State Warriors ( 1 )   4 -- 1   Cleveland Cavaliers ( 2 )     </t>
  </si>
  <si>
    <t xml:space="preserve"> Talk : best - selling music artist </t>
  </si>
  <si>
    <t>who sold more albums elvis or micheal jackson</t>
  </si>
  <si>
    <t xml:space="preserve"> Michael Jackson sold 750 million Records Alive The Beatles sold 500 + million records Alive Elvis Presley sold 350 + million records Alive </t>
  </si>
  <si>
    <t>Michael Jackson</t>
  </si>
  <si>
    <t xml:space="preserve"> Santa Clarita Diet </t>
  </si>
  <si>
    <t>who plays officer garcia in santa clarita diet</t>
  </si>
  <si>
    <t xml:space="preserve"> Natalie Morales as Anne Garcia , a sheriff 's deputy , Dan 's partner , and very religious . She becomes romantically involved with Lisa after Dan goes missing . </t>
  </si>
  <si>
    <t>Natalie Morales</t>
  </si>
  <si>
    <t xml:space="preserve"> Great pyramid of Giza </t>
  </si>
  <si>
    <t>when was the great pyramid of giza created</t>
  </si>
  <si>
    <t xml:space="preserve"> Based on a mark in an interior chamber naming the work gang and a reference to fourth dynasty Egyptian Pharaoh Khufu , Egyptologists believe that the pyramid was built as a tomb over a 10 to 20 - year period concluding around 2560 BC . Initially at 146.5 metres ( 481 feet ) , the Great Pyramid was the tallest man - made structure in the world for more than 3,800 years . Originally , the Great Pyramid was covered by casing stones that formed a smooth outer surface ; what is seen today is the underlying core structure . Some of the casing stones that once covered the structure can still be seen around the base . There have been varying scientific and alternative theories about the Great Pyramid 's construction techniques . Most accepted construction hypotheses are based on the idea that it was built by moving huge stones from a quarry and dragging and lifting them into place . </t>
  </si>
  <si>
    <t>10 to 20 - year period concluding around 2560 BC</t>
  </si>
  <si>
    <t xml:space="preserve"> Rat in Mi Kitchen </t>
  </si>
  <si>
    <t>who sang theres a rat in my kitchen</t>
  </si>
  <si>
    <t xml:space="preserve"> `` Rat in Mi Kitchen '' is a song and single written and performed by British group , UB40 . It features Herb Alpert on trumpet and was the sixth track on their album Rat in the Kitchen . Released in 1986 , it reached Number 12 on the UK charts in 1987 , staying for seven weeks . </t>
  </si>
  <si>
    <t>UB40</t>
  </si>
  <si>
    <t xml:space="preserve"> Agriculture in India </t>
  </si>
  <si>
    <t>the contribution of agriculture in india's gross domestic product is</t>
  </si>
  <si>
    <t xml:space="preserve"> The history of Agriculture in India dates back to Indus Valley Civilization Era and even before that in some parts of Southern India . Today , India ranks second worldwide in farm output . Agriculture and allied sectors like forestry and fisheries accounted for 13.7 % of the GDP ( gross domestic product ) in 2013 , about 50 % of the workforce . The economic contribution of agriculture to India 's GDP is steadily declining with the country 's broad - based economic growth . Still , agriculture is demographically the broadest economic sector and plays a significant role in the overall socio - economic fabric of India . </t>
  </si>
  <si>
    <t>13.7 % of the GDP</t>
  </si>
  <si>
    <t xml:space="preserve"> Super Bowl LII halftime show </t>
  </si>
  <si>
    <t>who's doing the halftime show in 2018</t>
  </si>
  <si>
    <t xml:space="preserve"> The Super Bowl LII Halftime Show ( officially known as the Pepsi Super Bowl LII Halftime Show ) took place on February 4 , 2018 at U.S. Bank Stadium in Minneapolis , Minnesota , as part of Super Bowl LII . Justin Timberlake was the featured performer , as confirmed by the National Football League ( NFL ) on October 22 , 2017 . It was televised nationally by NBC . </t>
  </si>
  <si>
    <t>Justin Timberlake</t>
  </si>
  <si>
    <t xml:space="preserve"> Renewable energy in South Africa </t>
  </si>
  <si>
    <t>reasons why south africa should include renewable energy in its energy mix</t>
  </si>
  <si>
    <t xml:space="preserve"> The two main barriers accompanying renewable energy in South Africa are ; the energy innovation system , and the high cost of renewable energy technologies . The Renewable Energy Independent Power Producers Procurement Programme ( REI4P ) suggests that the cost associated with renewable energy will equal the cost of non-renewable energy by 2030 . Renewable energy is becoming more efficient , inexpensive , and widely used . South Africa has an abundance of renewable resources that can effectively supply the country 's energy . </t>
  </si>
  <si>
    <t xml:space="preserve"> Lok Sabha </t>
  </si>
  <si>
    <t>what are the functions of the lok sabha</t>
  </si>
  <si>
    <t xml:space="preserve">  Motions of no confidence against the government can be introduced and passed in the Lok Sabha . If passed by a majority vote , the Prime Minister and the Council of Ministers resign collectively . The Rajya Sabha has no power over such a motion , and hence has no real power over the executive . This is because the Constitution of India has only made the Union Council of ministers responsible to the Lok Sabha , not to the Rajya Sabha .   Money bills can only be introduced in the Lok Sabha , and upon being passed , are sent to the Rajya Sabha , where it can be deliberated on for up to 14 days . If not rejected by the Rajya Sabha , or 14 days lapse from the introduction of the bill in the Rajya Sabha without any action by the House , or recommendations made by the Rajya Sabha are not accepted by the Lok Sabha , the bill is considered passed . The budget is presented in the Lok Sabha by the Finance Minister in the name of the President of India .   In matters pertaining to non-financial ( ordinary ) bills , after the bill has been passed by the House where it was originally tabled ( Lok Sabha or Rajya Sabha ) , it is sent to the other house , where it may be kept for a maximum period of 6 months . If the other House rejects the bill or a period of 6 months elapses without any action by that House , or the House that originally tabled the bill does not accept the recommendations made by the members of the other house , it results in a deadlock . This is resolved by a joint session of both Houses , presided over by the speaker of the Lok Sabha and decided by a simple majority . Though the Constitution has placed both houses on the same footing in this regard , in reality it is the Lok Sabha 's opinions that mostly prevails -- due to its bigger numerical strength .   Equal Powers with the Rajya Sabha in initiating and passing any Bill for Constitutional Amendment ( by a majority of the total membership of the House and at least two - thirds majority of the members present and voting ) .   Equal Powers with the Rajya Sabha in initiating and passing a motion for the impeachment of the President ( by two - thirds of the membership of the House ) .   Equal Powers with the Rajya Sabha in impeachment process ( initiating and passing a motion for the removal ) of the judges of the Supreme Court and the state High Courts ( by a majority of the membership of the House and at least two - thirds majority of the members present and voting ) , who then can be removed by the President of India .   Equal Powers with the Rajya Sabha in initiating and passing a resolution declaring war or national emergency ( by two - thirds majority ) or constitutional emergency ( by simple majority ) in a state .   If the Lok Sabha is dissolved before or after the declaration of a National Emergency , the Rajya Sabha becomes the sole Parliament . It can not be dissolved . This is a limitation on the Lok Sabha . But there is a possibility that president can exceed the term to not more than 1 year under the proclamation of emergency and the same would be lowered down to six - month if the said proclamation ceases to operate .  </t>
  </si>
  <si>
    <t xml:space="preserve"> Arroyo Seco parkway </t>
  </si>
  <si>
    <t>when was the first freeway built in los angeles</t>
  </si>
  <si>
    <t xml:space="preserve"> The Arroyo Seco Parkway , formerly known as the Pasadena Freeway , is the first freeway in the Western United States . It connects Los Angeles with Pasadena alongside the Arroyo Seco seasonal river . It is notable not only for being the first , mostly opened in 1940 , but for representing the transitional phase between early parkways and modern freeways . It conformed to modern standards when it was built , but is now regarded as a narrow , outdated roadway . A 1953 extension brought the south end to the Four Level Interchange in downtown Los Angeles and a connection with the rest of the freeway system . </t>
  </si>
  <si>
    <t>1940</t>
  </si>
  <si>
    <t xml:space="preserve"> A Good Year </t>
  </si>
  <si>
    <t>where is a good year filmed with russell crowe</t>
  </si>
  <si>
    <t xml:space="preserve"> The film was shot throughout nine weeks in 2005 , mostly in locations Scott described as `` eight minutes from my house '' . French locations were filmed at Bonnieux , Cucuron and Gordes in Vaucluse , Marseille Provence Airport , and the rail station in Avignon . London locations included Albion Riverside in Battersea , Broadgate , the Bluebird Cafe on King 's Road in Chelsea , and Criterion Restaurant in Piccadilly Circus . The scene with the tennis match between Max and Duflot was added on the set , replacing an argument at the vines to provide `` a battle scene '' . As the swimming pool on Chateau La Canorgue did not fit the one Scott had envisioned from the scene , only the scenes outside the pool were filmed there . The one after Max had fallen was dug and concreted nearby , and the original one had its bottom replaced digitally to match . The production team could not film the wine cave from La Canorgue as they shot during the period where it was being used , so the wine cellar from a nearby hotel was turned into a cave . While southern France does not have clay courts as the weather makes them hard to maintain , Scott wanted one for its dirty and beaten up aspect , so the tennis court was built from scratch , including posts straight from the Wimbledon courts . Fanny 's cafe was shot in a Gordes restaurant , with designer Sonja Klaus decorating it with items bought from second - hand shops considering the character would have done the same . Klaus employed a kitsch decoration on Duflot 's estate to show it was `` a character keeping up with the Joneses -- if it was in America , he would drive a golden Cadillac with leopard skin print seats '' , and decorated the large water basin of Cucuron with floating candles to `` make it look like a fabulous event '' for Max 's dinner with Fanny . </t>
  </si>
  <si>
    <t xml:space="preserve"> The Wizard of Oz ( 1939 film ) </t>
  </si>
  <si>
    <t>when was the wizard of oz made in technicolor</t>
  </si>
  <si>
    <t xml:space="preserve"> Notable for its use of Technicolor , fantasy storytelling , musical score , and memorable characters , it has become an icon of American popular culture . It was nominated for six Academy Awards , including Best Picture , but lost to Gone with the Wind . It did win in two other categories , including Best Original Song for `` Over the Rainbow '' and Best Original Score by Herbert Stothart . While the film was considered a critical success upon release in August 1939 , it failed to generate profit for MGM , earning only $3,017,000 on a $2,777,000 budget , which made it MGM 's most expensive production to date . </t>
  </si>
  <si>
    <t>1939</t>
  </si>
  <si>
    <t xml:space="preserve"> 2018 FIFA World Cup disciplinary record </t>
  </si>
  <si>
    <t>number of red card in world cup 2018</t>
  </si>
  <si>
    <t xml:space="preserve">  Total number of yellow cards : 219   Average yellow cards per match : 3.42   Total number of red cards : 4   Average red cards per match : 0.06   First yellow card of the tournament : Aleksandr Golovin for Russia against Saudi Arabia   First red card of the tournament : Carlos Sánchez Moreno for Colombia against Japan   Fastest yellow card from kick off : 1st minute   Fastest yellow card after coming on as a substitute : 1st minute   Latest yellow card in a match without extra time : 90 + 8th minute Aleksandar Prijović for Serbia against Costa Rica , Cédric Soares for Portugal against Iran   Latest yellow card in a match with extra time : 118th minute   Fastest dismissal from kick off : 3rd minute   Latest dismissal in a match without extra time : 90 + 4th minute   Shortest time difference between two yellow cards given to the same player : 9 minutes Igor Smolnikov for Russia against Uruguay ( booked in the 27th minute and again in the 36th minute )   Most yellow cards ( team ) : 15 Croatia   Most red cards ( team ) : 1 Colombia , Germany , Russia , Switzerland   Fewest yellow cards ( team ) : 1 Saudi Arabia   Most yellow cards ( player ) : 3 Sebastian Larsson   Most red cards ( player ) : 1 Jérôme Boateng , Michael Lang , Carlos Sánchez Moreno , Igor Smolnikov   Most yellow cards ( match ) : 8 Belgium vs Panama , France vs Argentina , Colombia vs England   Most red cards ( match ) : 1 Colombia vs Japan , Germany vs Sweden , Uruguay vs Russia , Sweden vs Switzerland   Fewest yellow cards ( match ) : 0 Argentina vs Iceland , Uruguay vs Saudi Arabia   Most cards in one match : 8 yellow cards Belgium vs Panama , France vs Argentina , Colombia vs England  </t>
  </si>
  <si>
    <t>4</t>
  </si>
  <si>
    <t>where does the solar eclipse start and end</t>
  </si>
  <si>
    <t xml:space="preserve"> The solar eclipse of August 21 , 2017 , dubbed `` The Great American Eclipse '' by the media , was a total eclipse visible within a band across the entire contiguous United States , passing from the Pacific to the Atlantic coasts . As a partial solar eclipse , it was visible on land from Nunavut in northern Canada to as far south as northern South America . In northwestern Europe and Africa , it was partially visible in the late evening . In Asia it was visible only at the eastern extremity , the Chukchi Peninsula . </t>
  </si>
  <si>
    <t>Pacific to the Atlantic coasts</t>
  </si>
  <si>
    <t xml:space="preserve"> Vigil ( surname ) </t>
  </si>
  <si>
    <t>where does the last name vigil come from</t>
  </si>
  <si>
    <t xml:space="preserve"> Vigil ( Vee - HILL ) is a Spanish surname . Notable people with the surname include : </t>
  </si>
  <si>
    <t xml:space="preserve"> Lying in state </t>
  </si>
  <si>
    <t>who has laid in state at the capitol</t>
  </si>
  <si>
    <t xml:space="preserve">  1852 -- Henry Clay , long - serving Senator and Representative , Secretary of State , Speaker of the House , and three - time presidential candidate   1865 -- President Abraham Lincoln , assassinated in office   1868 -- Thaddeus Stevens , Representative from Pennsylvania   1874 -- Charles Sumner , Senator from Massachusetts   1875 -- Vice President Henry Wilson , served under Grant , died in office   1881 -- President James Garfield , assassinated in office   1886 -- John A. Logan , Senator from Illinois   1901 -- President William McKinley , assassinated while in office   1909 -- Pierre L'Enfant -- although he died in 1825 , his remains were disinterred ; he was honored by lying in state before reinterment at Arlington National Cemetery   1917 -- Admiral George Dewey , Admiral of the Navy   1921 -- The Unknown Soldier for World War I   1923 -- President Warren Harding , died in office   1930 -- President William Howard Taft , President 1909 -- 13 , also Chief Justice 1921 -- 30   1948 -- John J. Pershing , General of the Armies of the United States during World War I and after   1953 -- Robert A. Taft , U.S. Senator and Majority Leader   1958 -- The Unknown Soldiers for World War II and the Korean War   1963 -- President John F. Kennedy , assassinated in office   1964 -- General Douglas MacArthur , General of the Army   1964 -- President Herbert Hoover , serving 1929 -- 33   1969 -- President Dwight Eisenhower , President 1953 -- 1961 , Supreme Allied Commander during World War II   1969 -- Everett Dirksen , Illinois Senator , Senate Minority Leader 1959 -- 1969   1972 -- J. Edgar Hoover , FBI Director 1929 -- 1972   1973 -- President Lyndon B. Johnson , President 1963 -- 1969   1978 -- Hubert Humphrey , Vice President 1965 -- 1969 , Minnesota Senator   1984 -- The Unknown Soldier for the Vietnam War ( later identified as 1st . Lt. Michael J. Blassie )   1989 -- Claude Pepper , long - serving Senator and Representative   2004 -- President Ronald Reagan , President 1981 -- 1989   2006 -- 07 -- President Gerald Ford , President 1974 -- 1977   2012 -- Daniel Inouye , President pro tempore of the U.S. Senate , Senator from Hawaii , and recipient of the Medal of Honor  </t>
  </si>
  <si>
    <t xml:space="preserve"> 1938 in the United States </t>
  </si>
  <si>
    <t>who was president of the united states in 1938</t>
  </si>
  <si>
    <t xml:space="preserve"> President : Franklin D. Roosevelt ( D - New York ) </t>
  </si>
  <si>
    <t>Franklin D. Roosevelt</t>
  </si>
  <si>
    <t xml:space="preserve"> Melanesia </t>
  </si>
  <si>
    <t>what is the meaning of the name melanesia</t>
  </si>
  <si>
    <t xml:space="preserve"> The name Melanesia ( in French Mélanésie ) was first used by Jules Dumont d'Urville in 1832 to denote an ethnic and geographical grouping of islands whose inhabitants he thought were distinct from those of Micronesia and Polynesia . </t>
  </si>
  <si>
    <t xml:space="preserve"> Uzo Aduba </t>
  </si>
  <si>
    <t>who played warren in orange is the new black</t>
  </si>
  <si>
    <t xml:space="preserve"> Uzoamaka Nwanneka `` Uzo '' Aduba ( / ˈuːzoʊ əˈduːbə / ; born February 10 , 1981 ) is an American actress . She is known for her role as Suzanne `` Crazy Eyes '' Warren on the Netflix original series Orange Is the New Black ( 2013 -- present ) , for which she won an Emmy Award for Outstanding Guest Actress in a Comedy Series in 2014 , an Emmy Award for Outstanding Supporting Actress in a Drama Series in 2015 , and two Screen Actors Guild Awards for Outstanding Performance by a Female Actor in a Comedy Series in 2014 and 2015 . She is one of only two actors to win an Emmy Award recognition in both the comedy and drama categories for the same role , the other being Ed Asner for the character Lou Grant . </t>
  </si>
  <si>
    <t>Uzoamaka Nwanneka `` Uzo '' Aduba</t>
  </si>
  <si>
    <t xml:space="preserve"> Boyz n the Hood </t>
  </si>
  <si>
    <t>who played tre in boyz in the hood</t>
  </si>
  <si>
    <t xml:space="preserve">  Cuba Gooding Jr. as Tre Styles   Desi Arnez Hines II as Tre age 10     Ice Cube as Darrin `` Doughboy '' Baker   Baha Jackson as Doughboy age 10     Morris Chestnut as Ricky Baker   Donovan McCrary as Ricky age 10     Laurence Fishburne ( credited as Larry Fishburne ) as Jason `` Furious '' Styles Jr .   Nia Long as Brandi   Nicole Brown as Brandi age 10     Angela Bassett as Reva Styles   Tyra Ferrell as Brenda Baker   Redge Green as Chris   Kenneth A. Brown as Chris age 10     Dedrick D. Gobert as Dooky   Baldwin C. Sykes as Monster   Tracey Lewis - Sinclair as Shaniqua   Alysia Rogers as Shanice   Regina King as Shalika   Lexie Bigham as Mad Dog   Raymond Turner as Ferris   Lloyd Avery II as Ferris ' Triggerman ( Knucklehead # 2 )  </t>
  </si>
  <si>
    <t xml:space="preserve"> Patricia Kalember </t>
  </si>
  <si>
    <t>who plays marka nichols on orange is the new black</t>
  </si>
  <si>
    <t xml:space="preserve">   Year   Title   Role   Notes     1981   Texas   Meredith   Episode : `` 1.339 ''     1983 -- 1984   Loving   Merrill Vochek   Series regular     1985   Brass   Lori Cartwright   TV pilot     1985   The Equalizer   Carlene Randall   Episode : `` Pilot ''     1986   Kay O'Brien   Dr. Kay ' Kayo ' O'Brien   Series regular , 13 episodes       The Equalizer   Dr. Stephanie Davis   Episode : `` Coal Black Soul ''     1988   Just in Time   Joanna Farrell   Series regular , 6 episodes     1988   ABC Afterschool Special   Maria Acero   Episode : `` Date Rape ''     1989 -- 1991   thirtysomething   Susannah Hart   Recurring role , 15 episodes     1991 -- 1996   Sisters   Georgiana ' Georgie ' Reed Whitsig   Series regular , 127 episodes     1997   Early Edition   Dr. Price   Episode : `` Love Is Blind ''     1997   Michael Hayes   Dr. Claire Solomon   Episode : `` The Doctor 's Tale ''       Law &amp; Order : Special Victims Unit   Leslie DeSantis   Episode : `` Folly ''     2002   Touched by an Angel   Janice Lowry   Episode : `` Secreets and Lies ''     2004 -- 2010   Law &amp; Order : Special Victims Unit   Judge Taten   Recurring role , 9 episodes     2008   Gossip Girl   Mrs. Boardman   Episode : `` There Might be Blood ''       The Good Wife   Julie Bowers   Episode : `` Painkiller ''     2011   Weekends at Bellevue   Lucinda   TV pilot     2011   Blue Bloods   Dr. Keller   Recurring role , 3 episodes     2012   White Collar   Ms. Holloman   Episode : `` Judgment Day ''     2013 - 2018   Orange Is the New Black   Marka Nichols   Recurring role , 4 episodes     2014   Olive Kitteridge   Joyce   HBO miniseries ; Episode : `` Incoming Tide ''     2014   `` Power ''   Kate Egan       2018   `` The Blacklist ''   Episode : `` The Invisible Hand ''     </t>
  </si>
  <si>
    <t xml:space="preserve"> Wolves in Great Britain </t>
  </si>
  <si>
    <t>when was the last wolf killed in scotland</t>
  </si>
  <si>
    <t xml:space="preserve"> The wolves later caused such damage to the cattle herds of Sutherland that in 1577 , James VI made it compulsory to hunt wolves three times a year . Stories of the killing of the alleged last wolf of Scotland vary . Official records indicate that the last Scottish wolf was killed by Sir Ewen Cameron in 1680 in Killiecrankie ( Perthshire ) , but there are reports that wolves survived in Scotland up until the 18th century , and a tale even exists of one being seen as late as 1888 . </t>
  </si>
  <si>
    <t xml:space="preserve"> England at the FIFA World Cup </t>
  </si>
  <si>
    <t>when was last time england were in a world cup semi final</t>
  </si>
  <si>
    <t xml:space="preserve">   Year   Round   Position   GP     D *     GF   GA   GD     1930   Not a FIFA member     1934     1938     1950   Group stage   8th       0         0     1954   Quarter - finals   7th           8   8   0     1958   Group stage   11th     0         5   - 1     1962   Quarter - finals   8th           5   6   - 1     1966   Champions   1st   6   5     0   11     8     1970   Quarter - finals   8th       0         0       Did not qualify     1978     1982   Second group stage   6th   5       0   6     5     1986   Quarter - finals   8th   5         7         1990   Semi finals   4th   7         8   6       1994   Did not qualify     1998   Round of 16   9th           7         2002   Quarter - finals   6th   5         6         2006   Quarter - finals   7th   5       0   6           Round of 16   13th             5   - 2     2014   Group stage   26th     0           - 2     2018   Semi-finals   4th   7         12   8       2022   TBD     2026     Total   15 / 21   1 title   69   29   21   19   91   64   27   </t>
  </si>
  <si>
    <t>2018</t>
  </si>
  <si>
    <t xml:space="preserve"> Null pointer </t>
  </si>
  <si>
    <t>what is the value of null in c</t>
  </si>
  <si>
    <t xml:space="preserve"> In C , two null pointers of any type are guaranteed to compare equal . The preprocessor macro NULL is defined as an implementation - defined null pointer constant , which in C99 can be portably expressed as the integer value 0 converted implicitly or explicitly to the type void * ( pointer to void ) . The C standard does not say that the null pointer is the same as the pointer to memory address 0 , though that may be the case in practice . Dereferencing a null pointer is undefined behavior in C , and a conforming implementation is allowed to assume that any pointer that is dereferenced is not null . </t>
  </si>
  <si>
    <t xml:space="preserve"> Bataan Death March </t>
  </si>
  <si>
    <t>where did the bataan death march take place</t>
  </si>
  <si>
    <t xml:space="preserve"> The Bataan Death March ( Filipino : Martsa ng Kamatayan sa Bataan ; Japanese : バターン 死 の 行進 , Hepburn : Batān Shi no Kōshin ) was the forcible transfer by the Imperial Japanese Army of 60,000 -- 80,000 American and Filipino prisoners of war from Saysain Point , Bagac , Bataan and Mariveles to Camp O'Donnell , Capas , Tarlac , via San Fernando , Pampanga , where the prisoners were loaded onto trains . The transfer began on April 9 , 1942 , after the three - month Battle of Bataan in the Philippines during World War II . The total distance marched from Mariveles to San Fernando and from the Capas Train Station to Camp O'Donnell is variously reported by differing sources as between 60 and 69.6 miles ( 96.6 and 112.0 km ) . Differing sources also report widely differing prisoner of war casualties prior to reaching Camp O'Donnell : from 5,000 to 18,000 Filipino deaths and 500 to 650 American deaths during the march . The march was characterized by severe physical abuse and wanton killings , and was later judged by an Allied military commission to be a Japanese war crime . </t>
  </si>
  <si>
    <t>from Saysain Point , Bagac , Bataan and Mariveles to Camp O'Donnell , Capas , Tarlac , via San Fernando , Pampanga , where the prisoners were loaded onto trains</t>
  </si>
  <si>
    <t xml:space="preserve"> Vince Carter </t>
  </si>
  <si>
    <t>vince carter career high points in a game</t>
  </si>
  <si>
    <t xml:space="preserve"> Points : 51 ( 2 times ) </t>
  </si>
  <si>
    <t>51</t>
  </si>
  <si>
    <t xml:space="preserve"> Microchip implant ( animal ) </t>
  </si>
  <si>
    <t>where do they put the chip in dogs</t>
  </si>
  <si>
    <t xml:space="preserve"> In dogs and cats , chips are usually inserted below the skin at the back of the neck between the shoulder blades on the dorsal midline . According to one reference , continental European pets get the implant in the left side of the neck . The chip can often be felt under the skin . Thin layers of connective tissue form around the implant and hold it in place . </t>
  </si>
  <si>
    <t>usually inserted below the skin at the back of the neck between the shoulder blades on the dorsal midline</t>
  </si>
  <si>
    <t xml:space="preserve"> Column </t>
  </si>
  <si>
    <t>what do you call the top of a column</t>
  </si>
  <si>
    <t xml:space="preserve"> At the top of the shaft is a capital , upon which the roof or other architectural elements rest . In the case of Doric columns , the capital usually consists of a round , tapering cushion , or echinus , supporting a square slab , known as an abax or abacus . Ionic capitals feature a pair of volutes , or scrolls , while Corinthian capitals are decorated with reliefs in the form of acanthus leaves . Either type of capital could be accompanied by the same moldings as the base . In the case of free - standing columns , the decorative elements atop the shaft are known as a finial . </t>
  </si>
  <si>
    <t xml:space="preserve"> Don Miguel Ruiz </t>
  </si>
  <si>
    <t>what are the four agreements from the book</t>
  </si>
  <si>
    <t xml:space="preserve">  Be impeccable with your word .   Do n't take anything personally .   Do n't make assumptions .   Always do your best .  </t>
  </si>
  <si>
    <t xml:space="preserve"> Oort cloud </t>
  </si>
  <si>
    <t>how long will it take voyager to pass through the oort cloud</t>
  </si>
  <si>
    <t xml:space="preserve"> Space probes have yet to reach the area of the Oort cloud . Voyager 1 , the fastest and farthest of the interplanetary space probes currently leaving the Solar System , will reach the Oort cloud in about 300 years and would take about 30,000 years to pass through it . However , around 2025 , the radioisotope thermoelectric generators on Voyager 1 will no longer supply enough power to operate any of its scientific instruments , preventing any exploration by Voyager 1 . The other four probes currently escaping the Solar System either are already or are predicted to be non-functional when they reach the Oort cloud ; however , it may be possible to find an object from the cloud that has been knocked into the inner Solar System . </t>
  </si>
  <si>
    <t>about 30,000 years</t>
  </si>
  <si>
    <t xml:space="preserve"> List of Scottish Cup Finals </t>
  </si>
  <si>
    <t>when did rangers last win the scottish cup</t>
  </si>
  <si>
    <t xml:space="preserve">   Season   Winner   Score   Runner - up   Venue   Attendance   Notes     1873 -- 74   Queen 's Park ( 1 )   2 -- 0   Clydesdale   Hampden Park ( original )   2,500       1874 -- 75   Queen 's Park ( 2 )   3 -- 0   Renton   Hampden Park ( original )   7,000       1875 -- 76   Queen 's Park ( 3 )   1 -- 1   3rd Lanark RV   Hamilton Crescent   6,000       ( R )   2 -- 0   Hampden Park ( original )   10,000       1876 -- 77   Vale of Leven ( 1 )   1 -- 1   Rangers   Hamilton Crescent   8,000       ( R )   1 -- 1   Hamilton Crescent   15,000       ( SR )   3 -- 2   Hampden Park ( original )   12,000       1877 -- 78   Vale of Leven ( 2 )   1 -- 0   3rd Lanark RV   Hampden Park ( original )   5,000       1878 -- 79   Vale of Leven ( 3 )   1 -- 1   Rangers   Hampden Park ( original )   9,000       ( R )   walkover   Hampden Park ( original )         1879 -- 80   Queen 's Park ( 4 )   3 -- 0   Thornliebank   Hampden Park ( original )   4,000       1880 -- 81   Queen 's Park ( 5 )   2 -- 1 ‡   Dumbarton   Kinning Park   15,000       ( R )   3 -- 1   Kinning Park   10,000       1881 -- 82   Queen 's Park ( 6 )   2 -- 2   Dumbarton   Cathkin Park ( first )   12,500       ( R )   4 -- 1   Cathkin Park ( first )   14,000       1882 -- 83   Dumbarton ( 1 )   2 -- 2   Vale of Leven   Hampden Park ( original )   15,000       ( R )   2 -- 1   Hampden Park ( original )   12,000       1883 -- 84   Queen 's Park ( 7 )   walkover   Vale of Leven   Cathkin Park ( first )         1884 -- 85   Renton ( 1 )   0 -- 0   Vale of Leven   Hampden Park ( second )   3,000       ( R )   3 -- 1   Hampden Park ( second )   5,500       1885 -- 86   Queen 's Park ( 8 )   3 -- 1   Renton   Cathkin Park ( first )   7,000       1886 -- 87   Hibernian ( 1 )   2 -- 1   Dumbarton   Hampden Park ( second )   15,000       1887 -- 88   Renton ( 2 )   6 -- 1   Cambuslang   Hampden Park ( second )   10,000       1888 -- 89   3rd Lanark RV ( 1 )   3 -- 0 ‡   Celtic   Hampden Park ( second )   17,000       ( R )   2 -- 1   Hampden Park ( second )   13,000       1889 -- 90   Queen 's Park ( 9 )   1 -- 1   Vale of Leven   Ibrox Park ( first )   11,000       ( R )   2 -- 1   Ibrox Park ( first )   13,000       1890 -- 91   Heart of Midlothian ( 1 )   1 -- 0   Dumbarton   Hampden Park ( second )   10,836       1891 -- 92   Celtic ( 1 )   1 -- 0 ‡   Queen 's Park   Ibrox Park ( first )   40,000       ( R )   5 -- 1   Ibrox Park ( first )   26,000       1892 -- 93   Queen 's Park ( 10 )   0 -- 1 ‡   Celtic   Ibrox Park ( first )   18,771       ( R )   2 -- 1   Ibrox Park ( first )   13,239       1893 -- 94   Rangers ( 1 )   3 -- 1   Celtic   Hampden Park ( second )   17,000       1894 -- 95   St Bernard 's ( 1 )   2 -- 1   Renton   Ibrox Park ( first )   10,000       1895 -- 96   Heart of Midlothian ( 2 )   3 -- 1   Hibernian   New Logie Green   16,034       1896 -- 97   Rangers ( 2 )   5 -- 1   Dumbarton   Hampden Park ( second )   14,000       1897 -- 98   Rangers ( 3 )   2 -- 0   Kilmarnock   Hampden Park ( second )   13,000       1898 -- 99   Celtic ( 2 )   2 -- 0   Rangers   Hampden Park ( second )   25,000       1899 -- 1900   Celtic ( 3 )   4 -- 3   Queen 's Park   Ibrox Park   15,000       1900 -- 01   Heart of Midlothian ( 3 )   4 -- 3   Celtic   Ibrox Park   15,000       1901 -- 02   Hibernian ( 2 )   1 -- 0   Celtic   Celtic Park   16,000       1902 -- 03   Rangers ( 4 )   1 -- 1   Heart of Midlothian   Celtic Park   13,000       ( R )   0 -- 0   Celtic Park   35,000       ( SR )   2 -- 0   Celtic Park   30,000       1903 -- 04   Celtic ( 4 )   3 -- 2   Rangers   Hampden Park   64,472       1904 -- 05   Third Lanark ( 2 )   0 -- 0   Rangers   Hampden Park   54,000       ( R )   3 -- 1   Hampden Park   55,000       1905 -- 06   Heart of Midlothian ( 4 )   1 -- 0   Third Lanark   Ibrox Park   30,000       1906 -- 07   Celtic ( 5 )   3 -- 0   Heart of Midlothian   Hampden Park   50,000       1907 -- 08   Celtic ( 6 )   5 -- 1   St Mirren   Hampden Park   58,000       1909 -- 10   Dundee ( 1 )   2 -- 2   Clyde   Ibrox Park   60,000       ( R )   0 -- 0 *   Ibrox Park   25,000       ( SR )   2 -- 1   Ibrox Park   25,000       1910 -- 11   Celtic ( 7 )   0 -- 0   Hamilton Academical   Ibrox Park   45,000       ( R )   2 -- 0   Ibrox Park   25,000       1911 -- 12   Celtic ( 8 )   2 -- 0   Clyde   Ibrox Park   45,000       1912 -- 13   Falkirk ( 1 )   2 -- 0   Raith Rovers   Celtic Park   45,000       1913 -- 14   Celtic ( 9 )   0 -- 0   Hibernian   Ibrox Park   56,000       ( R )   4 -- 1   Ibrox Park   40,000       1919 -- 20   Kilmarnock ( 1 )   3 -- 2   Albion Rovers   Hampden Park   95,000       1920 -- 21   Partick Thistle ( 1 )   1 -- 0   Rangers   Celtic Park   28,294       1921 -- 22   Morton ( 1 )   1 -- 0   Rangers   Hampden Park   70,000       1922 -- 23   Celtic ( 10 )   1 -- 0   Hibernian   Hampden Park   82,000       1923 -- 24   Airdrieonians ( 1 )   2 -- 0   Hibernian   Ibrox Park   65,000       1924 -- 25   Celtic ( 11 )   2 -- 1   Dundee   Hampden Park   75,317       1925 -- 26   St Mirren ( 1 )   2 -- 0   Celtic   Hampden Park   98,000       1926 -- 27   Celtic ( 12 )   3 -- 1   East Fife   Hampden Park   80,070       1927 -- 28   Rangers ( 5 )   4 -- 0   Celtic   Hampden Park   118,115       1928 -- 29   Kilmarnock ( 2 )   2 -- 0   Rangers   Hampden Park   114,780       1929 -- 30   Rangers ( 6 )   0 -- 0   Partick Thistle   Hampden Park   107,475       ( R )   2 -- 1   Hampden Park   103,688       1930 -- 31   Celtic ( 13 )   2 -- 2   Motherwell   Hampden Park   104,863       ( R )   4 -- 2   Hampden Park   98,509       1931 -- 32   Rangers ( 7 )   1 -- 1   Kilmarnock   Hampden Park   112,000       ( R )   3 -- 0   Hampden Park   104,600       1932 -- 33   Celtic ( 14 )   1 -- 0   Motherwell   Hampden Park   102,339       1933 -- 34   Rangers ( 8 )   5 -- 0   St Mirren   Hampden Park   113,430       1934 -- 35   Rangers ( 9 )   2 -- 1   Hamilton Academical   Hampden Park   87,740       1935 -- 36   Rangers ( 10 )   1 -- 0   Third Lanark   Hampden Park   88,859       1936 -- 37   Celtic ( 15 )   2 -- 1   Aberdeen   Hampden Park   147,365       1937 -- 38   East Fife ( 1 )   1 -- 1   Kilmarnock   Hampden Park   80,091       ( R )   4 -- 2 *   Hampden Park   92,716       1938 -- 39   Clyde ( 1 )   4 -- 0   Motherwell   Hampden Park   94,000       1946 -- 47   Aberdeen ( 1 )   2 -- 1   Hibernian   Hampden Park   82,140       1947 -- 48   Rangers ( 11 )   1 -- 1 *   Morton   Hampden Park   129,176       ( R )   1 -- 0 *   Hampden Park   133,750       1948 -- 49   Rangers ( 12 )   4 -- 1   Clyde   Hampden Park   108,435       1949 -- 50   Rangers ( 13 )   3 -- 0   East Fife   Hampden Park   118,262       1950 -- 51   Celtic ( 16 )   1 -- 0   Motherwell   Hampden Park   131,943       1951 -- 52   Motherwell ( 1 )   4 -- 0   Dundee   Hampden Park   136,274       1952 -- 53   Rangers ( 14 )   1 -- 1   Aberdeen   Hampden Park   129,761       ( R )   1 -- 0   Hampden Park   113,700       1953 -- 54   Celtic ( 17 )   2 -- 1   Aberdeen   Hampden Park   130,060       1954 -- 55   Clyde ( 2 )   1 -- 1   Celtic   Hampden Park   106,234       ( R )   1 -- 0   Hampden Park   68,831       1955 -- 56   Heart of Midlothian ( 5 )   3 -- 1   Celtic   Hampden Park   132,840       1956 -- 57   Falkirk ( 2 )   1 -- 1   Kilmarnock   Hampden Park   83,000       ( R )   2 -- 1 *   Hampden Park   79,785       1957 -- 58   Clyde ( 3 )   1 -- 0   Hibernian   Hampden Park   95,123       1958 -- 59   St Mirren ( 2 )   3 -- 1   Aberdeen   Hampden Park   108,591       1959 -- 60   Rangers ( 15 )   2 -- 0   Kilmarnock   Hampden Park   108,017       1960 -- 61   Dunfermline Athletic ( 1 )   0 -- 0   Celtic   Hampden Park   113,618       ( R )   2 -- 0   Hampden Park   87,866       1961 -- 62   Rangers ( 16 )   2 -- 0   St Mirren   Hampden Park   127,940       1962 -- 63   Rangers ( 17 )   1 -- 1   Celtic   Hampden Park   129,643       ( R )   3 -- 0   Hampden Park   120,273       1963 -- 64   Rangers ( 18 )   3 -- 1   Dundee   Hampden Park   120,982       1964 -- 65   Celtic ( 18 )   3 -- 2   Dunfermline Athletic   Hampden Park   108,800       1965 -- 66   Rangers ( 19 )   0 -- 0   Celtic   Hampden Park   126,552       ( R )   1 -- 0   Hampden Park   98,202       1966 -- 67   Celtic ( 19 )   2 -- 0   Aberdeen   Hampden Park   126,102       1967 -- 68   Dunfermline Athletic ( 2 )   3 -- 1   Heart of Midlothian   Hampden Park   56,365       1968 -- 69   Celtic ( 20 )   4 -- 0   Rangers   Hampden Park   132,000       1969 -- 70   Aberdeen ( 2 )   3 -- 1   Celtic   Hampden Park   108,434       1970 -- 71   Celtic ( 21 )   1 -- 1   Rangers   Hampden Park   120,092       ( R )   2 -- 1   Hampden Park   103,332       1971 -- 72   Celtic ( 22 )   6 -- 1   Hibernian   Hampden Park   106,102       1972 -- 73   Rangers ( 20 )   3 -- 2   Celtic   Hampden Park   122,714       1973 -- 74   Celtic ( 23 )   3 -- 0   Dundee United   Hampden Park   75,959       1974 -- 75   Celtic ( 24 )   3 -- 1   Airdrieonians   Hampden Park   75,457       1975 -- 76   Rangers ( 21 )   3 -- 1   Heart of Midlothian   Hampden Park   85,354       1976 -- 77   Celtic ( 25 )   1 -- 0   Rangers   Hampden Park   54,252       1977 -- 78   Rangers ( 22 )   2 -- 1   Aberdeen   Hampden Park   61,563       1978 -- 79   Rangers ( 23 )   0 -- 0   Hibernian   Hampden Park   50,610       ( R )   0 -- 0 *   Hampden Park   33,504       ( SR )   3 -- 2 *   Hampden Park   30,602       1979 -- 80   Celtic ( 26 )   1 -- 0 *   Rangers   Hampden Park   70,303       1980 -- 81   Rangers ( 24 )   0 -- 0 *   Dundee United   Hampden Park   53,000       ( R )   4 -- 1   Hampden Park   43,099       1981 -- 82   Aberdeen ( 3 )   4 -- 1 *   Rangers   Hampden Park   53,788       1982 -- 83   Aberdeen ( 4 )   1 -- 0 *   Rangers   Hampden Park   62,979       1983 -- 84   Aberdeen ( 5 )   2 -- 1 *   Celtic   Hampden Park   58,900       1984 -- 85   Celtic ( 27 )   2 -- 1   Dundee United   Hampden Park   60,346       1985 -- 86   Aberdeen ( 6 )   3 -- 0   Heart of Midlothian   Hampden Park   62,841       1986 -- 87   St Mirren ( 3 )   1 -- 0 *   Dundee United   Hampden Park   51,782       1987 -- 88   Celtic ( 28 )   2 -- 1   Dundee United   Hampden Park   74,000       1988 -- 89   Celtic ( 29 )   1 -- 0   Rangers   Hampden Park   72,069       1989 -- 90   Aberdeen ( 7 )   0 -- 0 †   Celtic   Hampden Park   60,493       1990 -- 91   Motherwell ( 2 )   4 -- 3 *   Dundee United   Hampden Park   57,319       1991 -- 92   Rangers ( 25 )   2 -- 1   Airdrieonians   Hampden Park   44,045       1992 -- 93   Rangers ( 26 )   2 -- 1   Aberdeen   Celtic Park   50,715       1993 -- 94   Dundee United ( 1 )   1 -- 0   Rangers   Hampden Park   37,450       1994 -- 95   Celtic ( 30 )   1 -- 0   Airdrieonians   Hampden Park   36,915       1995 -- 96   Rangers ( 27 )   5 -- 1   Heart of Midlothian   Hampden Park   37,730       1996 -- 97   Kilmarnock ( 3 )   1 -- 0   Falkirk   Ibrox Stadium   48,953       1997 -- 98   Heart of Midlothian ( 6 )   2 -- 1   Rangers   Celtic Park   48,946       1998 -- 99   Rangers ( 28 )   1 -- 0   Celtic   Hampden Park   52,670       1999 -- 00   Rangers ( 29 )   4 -- 0   Aberdeen   Hampden Park   50,865       2000 -- 01   Celtic ( 31 )   3 -- 0   Hibernian   Hampden Park   51,824       2001 -- 02   Rangers ( 30 )   3 -- 2   Celtic   Hampden Park   51,138       2002 -- 03   Rangers ( 31 )   1 -- 0   Dundee   Hampden Park   47,136       2003 -- 04   Celtic ( 32 )   3 -- 1   Dunfermline Athletic   Hampden Park   50,846       2004 -- 05   Celtic ( 33 )   1 -- 0   Dundee United   Hampden Park   50,635       2005 -- 06   Heart of Midlothian ( 7 )   1 -- 1 †   Gretna   Hampden Park   51,232       2006 -- 07   Celtic ( 34 )   1 -- 0   Dunfermline Athletic   Hampden Park   49,600       2007 -- 08   Rangers ( 32 )   3 -- 2   Queen of the South   Hampden Park   48,821       2008 -- 09   Rangers ( 33 )   1 -- 0   Falkirk   Hampden Park   50,956       2009 -- 10   Dundee United ( 2 )   3 -- 0   Ross County   Hampden Park   47,122       2010 -- 11   Celtic ( 35 )   3 -- 0   Motherwell   Hampden Park   49,618       2011 -- 12   Heart of Midlothian ( 8 )   5 -- 1   Hibernian   Hampden Park   51,041       2012 -- 13   Celtic ( 36 )   3 -- 0   Hibernian   Hampden Park   51,254       2013 -- 14   St Johnstone ( 1 )   2 -- 0   Dundee United   Celtic Park   47,345       2014 -- 15   Inverness Caledonian Thistle ( 1 )   2 -- 1   Falkirk   Hampden Park   37,149       2015 -- 16   Hibernian ( 3 )   3 -- 2   Rangers   Hampden Park   50,701       2016 -- 17   Celtic ( 37 )   2 -- 1   Aberdeen   Hampden Park   48,713       2017 -- 18   Celtic ( 38 )   2 -- 0   Motherwell   Hampden Park   49,967     </t>
  </si>
  <si>
    <t>2008 -- 09</t>
  </si>
  <si>
    <t xml:space="preserve"> Reye syndrome </t>
  </si>
  <si>
    <t>an idiopathic condition associated with asprin treatment during certain viral infections</t>
  </si>
  <si>
    <t xml:space="preserve"> The cause of Reye syndrome is unknown . It usually begins shortly after recovery from a viral infection , such as influenza or chickenpox . About 90 % of cases are associated with aspirin ( salicylate ) use in children . Inborn errors of metabolism are also a risk factor . Changes on blood tests may include a high blood ammonia level , low blood sugar level , and prolonged prothrombin time . Often the liver is enlarged . </t>
  </si>
  <si>
    <t>Reye syndrome</t>
  </si>
  <si>
    <t xml:space="preserve"> Dr. Quinn , Medicine Woman </t>
  </si>
  <si>
    <t>who played anthony on dr quinn medicine woman</t>
  </si>
  <si>
    <t xml:space="preserve">  Orson Bean -- Loren Bray   Jim Knobeloch -- Jake Slicker   Frank Collison -- Horace Bing   William Shockley -- Hank Lawson   Geoffrey Lower -- Rev. Timothy Johnson   Henry G. Sanders -- Robert E .   Larry Sellers -- Black Hawk ( pilot ) , Cloud Dancing   Jonelle Allen -- Grace   Nick Ramus -- Chief Black Kettle ( seasons 1 - 3 )   Heidi Kozak -- Emily Donovan ( season 1 )   Gail Strickland -- Olive Davis ( season 1 )   Jennifer Youngs -- Ingrid ( seasons 1 -- 4 )   Helene Udy -- Myra Bing ( seasons 1 -- 4 ; guest : season 5 )   Haylie Johnson -- Becky Bonner ( seasons 1 -- 6 )   Barbara Babcock -- Dorothy Jennings ( seasons 2 -- 6 )   Georgann Johnson -- Elizabeth Quinn ( seasons 2 -- 6 )   Alley Mills -- Marjorie Quinn ( seasons 2 -- 6 )   Elinor Donahue -- Rebecka Quinn Dickinson ( seasons 2 -- 6 )   Charlotte Chatton -- Emma ( seasons 4 &amp; 5 )   Michelle Bonilla -- Teresa Morales ( season 5 )   Alex Meneses -- Teresa Morales Slicker ( season 6 )   Brandon Douglas -- Randolph Cummings ( episode 4.16 ) , Dr. Andrew Cook ( seasons 4 -- 6 )   Jason Leland Adams -- George Armstrong Custer ( seasons 2 &amp; 3 ) , Preston A. Lodge III ( seasons 4 -- 6 )   John Schneider -- Red McCall ( episode 1.09 ) , Daniel Simon ( seasons 5 &amp; 6 )   Brenden Jefferson -- Anthony ( season 4 )   Brandon Hammond -- Anthony ( seasons 5 &amp; 6 )   Ben Murphy - Ethan Cooper ( seasons 1 - 3 )  </t>
  </si>
  <si>
    <t>Brenden Jefferson</t>
  </si>
  <si>
    <t xml:space="preserve"> Devil 's food cake </t>
  </si>
  <si>
    <t>what is the difference between devil's food and chocolate</t>
  </si>
  <si>
    <t xml:space="preserve"> Devil 's food cake is a moist , airy , rich chocolate layer cake . It is considered a counterpart to the white or yellow angel food cake . Because of differing recipes and changing ingredient availability over the course of the 20th century , it is difficult to precisely qualify what distinguishes devil 's food from the more standard chocolate cake , though it traditionally has more chocolate than a regular chocolate cake , making it darker . The cake is usually paired with a rich chocolate frosting . </t>
  </si>
  <si>
    <t>traditionally has more chocolate than a regular chocolate cake</t>
  </si>
  <si>
    <t xml:space="preserve"> United States Women 's Open Championship ( golf ) </t>
  </si>
  <si>
    <t>who won the us women's open golf</t>
  </si>
  <si>
    <t xml:space="preserve">   Year   Champion   Country   Venue   Location   Score   To par   Purse ( $ )   Winner 's share ( $ )     2017   Park Sung - hyun   South Korea   Trump National Golf Club   Bedminster , NJ   277   − 11   5,000,000   900,000     2016   Brittany Lang   United States   CordeValle Golf Club   San Martin , CA   282   − 6   4,500,000   810,000     2015   Chun In - gee   South Korea   Lancaster Country Club   Lancaster , PA   272   − 8   4,500,000   810,000     2014   Michelle Wie   United States   Pinehurst Resort , Course No. 2   Pinehurst , NC   278   − 2   4,000,000   720,000     2013   Inbee Park ( 2 )   South Korea   Sebonack Golf Club   Southampton , NY   280   − 8   3,250,000   585,000     2012   Choi Na - yeon   South Korea   Blackwolf Run , composite course   Kohler , WI   281   − 7   3,250,000   585,000     2011   Ryu So - yeon   South Korea   Broadmoor Golf Club , East Course   Colorado Springs , CO   281   − 3   3,250,000   585,000       Paula Creamer   United States   Oakmont Country Club   Oakmont , PA   281   − 3   3,250,000   585,000     2009   Eun - Hee Ji   South Korea   Saucon Valley Country Club   Bethlehem , PA   284     3,250,000   585,000     2008   Inbee Park   South Korea   Interlachen Country Club   Edina , MN   283   − 9   3,250,000   585,000     2007   Cristie Kerr   United States   Pine Needles Lodge and Golf Club   Southern Pines , NC   279   − 5   3,100,000   560,000     2006   Annika Sörenstam ( 3 )   Sweden   Newport Country Club   Newport , RI   284     3,100,000   560,000     2005   Birdie Kim   South Korea   Cherry Hills Country Club   Cherry Hills Village , CO   287   + 3   3,100,000   560,000       Meg Mallon ( 2 )   United States   The Orchards Golf Club   South Hadley , MA   274   − 10   3,100,000   560,000     2003   Hilary Lunke   United States   Pumpkin Ridge Golf Club , Witch Hollow Course   North Plains , OR   283   − 1   3,100,000   560,000     2002   Juli Inkster ( 2 )   United States   Prairie Dunes Golf Club   Hutchinson , KS   276   − 4   3,000,000   535,000     2001   Karrie Webb ( 2 )   Australia   Pine Needles Lodge and Golf Club   Southern Pines , NC   273   − 7   2,900,000   520,000     2000   Karrie Webb   Australia   Merit Club   Libertyville , IL   282   − 6   2,750,000   500,000     1999   Juli Inkster   United States   Old Waverly Golf Club   West Point , MS   272   − 16   1,750,000   315,000     1998   Pak Se - ri   South Korea   Blackwolf Run , composite course   Kohler , WI   290   + 6   1,500,000   267,500     1997   Alison Nicholas   England   Pumpkin Ridge Golf Club , Witch Hollow Course   North Plains , OR   274   − 10   1,300,000   232,500       Annika Sörenstam ( 2 )   Sweden   Pine Needles Lodge and Golf Club   Southern Pines , NC   272   − 8   1,200,000   212,500     1995   Annika Sörenstam   Sweden   Broadmoor Golf Club , East Course   Colorado Springs , CO   278   − 2   1,000,000   175,000     1994   Patty Sheehan ( 2 )   United States   Indianwood Golf and Country Club , Old Course   Lake Orion , MI   277   − 7   850,000   155,000     1993   Lauri Merten   United States   Crooked Stick Golf Club   Carmel , IN   280   − 8   800,000   144,000     1992   Patty Sheehan   United States   Oakmont Country Club   Oakmont , PA   280   − 4   700,000   130,000     1991   Meg Mallon   United States   Colonial Country Club   Fort Worth , TX   283   − 1   600,000   110,000     1990   Betsy King ( 2 )   United States   Atlanta Athletic Club , Riverside Course   Duluth , GA   284   − 4   500,000   85,000     1989   Betsy King   United States   Indianwood Golf and Country Club , Old Course   Lake Orion , MI   278   − 2   450,000   80,000     1988   Liselotte Neumann   Sweden   Baltimore Country Club , Five Farms , East Course   Baltimore , MD   277   − 7   400,000   70,000       Laura Davies   England   Plainfield Country Club   Edison , NJ   285   − 3   325,000   55,000     1986   Jane Geddes   United States   NCR Country Club   Kettering , OH   287   − 1   300,000   50,000     1985   Kathy Baker   United States   Baltusrol Golf Club , Upper Course   Springfield , NJ   280   − 8   250,000   41,975     1984   Hollis Stacy ( 3 )   United States   Salem Country Club   Peabody , MA   290   + 2   225,000   36,000       Jan Stephenson   Australia   Cedar Ridge Country Club   Broken Arrow , OK   290   + 6   200,000   32,780     1982   Janet Alex   United States   Del Paso Country Club   Sacramento , CA   283   − 5   175,000   27,315     1981   Pat Bradley   United States   La Grange Country Club   La Grange , IL   279   − 9   150,000   22,000     1980   Amy Alcott   United States   Richland Country Club   Nashville , TN   280   − 4   140,000   20,047     1979   Jerilyn Britz   United States   Brooklawn Country Club   Fairfield , CT   284     125,000   19,000     1978   Hollis Stacy ( 2 )   United States   Country Club of Indianapolis   Indianapolis , IN   289   + 5   100,000   15,000     1977   Hollis Stacy   United States   Hazeltine National Golf Club   Chaska , MN   292   + 4   75,000   11,040     1976   JoAnne Carner ( 2 )   United States   Rolling Green Golf Club   Springfield , PA   292   + 8   60,000   9,054       Sandra Palmer   United States   Atlantic City Country Club   Northfield , NJ   295   + 7   55,000   8,044       Sandra Haynie   United States   La Grange Country Club   La Grange , IL   295   + 7   40,000   6,073     1973   Susie Berning ( 3 )   United States   Country Club of Rochester   Rochester , NY   290   + 2   40,000   6,000     1972   Susie Berning ( 2 )   United States   Winged Foot Golf Club , East Course   Mamaroneck , NY   299   + 11   40,000   6,000     1971   JoAnne Carner   United States   Kahkwa Club   Erie , PA   288     31,000   5,000     1970   Donna Caponi ( 2 )   United States   Muskogee Country Club   Muskogee , OK   287   − 1   30,000   5,000     1969   Donna Caponi   United States   Scenic Hills Country Club   Pensacola , FL   294   + 6   31,040   5,000     1968   Susie Berning   United States   Moselem Springs Golf Club   Fleetwood , PA   289   + 5   25,000   5,000     1967   Catherine Lacoste ( a )   France   The Homestead   Hot Springs , VA   294   + 6   25,000   0     1966   Sandra Spuzich   United States   Hazeltine National Golf Club   Chaska , MN   297   + 9   20,000   4,000     1965   Carol Mann   United States   Atlantic City Country Club   Northfield , NJ   290   + 2   17,780   3,800     1964   Mickey Wright ( 4 )   United States   San Diego Country Club   Chula Vista , CA   290   − 2   9,900   2,090     1963   Mary Mills   United States   Kenwood Country Club   Cincinnati , OH   289   − 3   9,000   1,900     1962   Murle Lindstrom   United States   Dunes Golf and Beach Club   Myrtle Beach , SC   301   + 13   8,000   1,800     1961   Mickey Wright ( 3 )   United States   Baltusrol Golf Club , Lower Course   Springfield , NJ   293   + 5   8,000   1,800     1960   Betsy Rawls ( 4 )   United States   Worcester Country Club   Worcester , MA   292   + 4   7,200   1,710     1959   Mickey Wright ( 2 )   United States   Churchill Valley Country Club   Pittsburgh , PA   287   − 1   7,200   1,800     1958   Mickey Wright   United States   Forest Lake Country Club   Bloomfield , MI   290   − 2   7,200   1,800     1957   Betsy Rawls ( 3 )   United States   Winged Foot Golf Club , East Course   Mamaroneck , NY   299   + 7   7,200   1,800     1956   Kathy Cornelius   United States   Northland Country Club   Duluth , MN   302   + 11   6,000   1,500     1955   Fay Crocker   Uruguay   Wichita Country Club   Wichita , KS   299   + 11   7,500   2,000     1954   Babe Zaharias ( 3 )   United States   Salem Country Club   Peabody , MA   291   + 3   7,500   2,000     1953   Betsy Rawls ( 2 )   United States   Country Club of Rochester   Rochester , NY   302   + 10   7,500   2,000     1952   Louise Suggs ( 2 )   United States   Bala Golf Club   Philadelphia , PA   284   + 8   7,500   1,750     1951   Betsy Rawls   United States   Druid Hills Golf Club   Atlanta , GA   293   + 5   7,500   1,500     1950   Babe Zaharias ( 2 )   United States   Rolling Hills Country Club   Wichita , KS   291   − 9   5,000   1,250     1949   Louise Suggs   United States   Prince Georges Golf and Country Club   Landover , MD   291   − 9   7,500   1,500     1948   Babe Zaharias   United States   Atlantic City Country Club   Northfield , NJ   300     7,500   1,200     1947   Betty Jameson   United States   Starmount Forest Country Club   Greensboro , NC   295   − 9   7,500   1,200     1946   Patty Berg †   United States   Spokane Country Club   Spokane , WA   5&amp;4   19,700   5,600   </t>
  </si>
  <si>
    <t xml:space="preserve"> We Belong Together </t>
  </si>
  <si>
    <t>who is mariah carey talking about in we belong together</t>
  </si>
  <si>
    <t xml:space="preserve"> The song 's music video was filmed as a two - part story with `` It 's Like That '' , which featured Carey at her bachelorette party . The video for `` We Belong Together '' is a continuation focusing on Carey 's wedding to an older and powerful man and ends with the singer eloping with her ex-lover . Rumors arose of the video 's connection to her 1993 marriage to Tommy Mottola . Carey performed the song on several award shows and television appearances around the world , namely MTV Movie Awards , MTV Video Music Awards , Macy 's Fourth of July Parade , The Oprah Winfrey Show and the 48th Grammy Awards . In Europe the song was performed at the Live 8 charity concert , the Fashion Rocks in Monaco , and the German Bambi Awards . Carey performed the song on both her Adventures of Mimi and Angels Advocate Tours . </t>
  </si>
  <si>
    <t>her 1993 marriage to Tommy Mottola</t>
  </si>
  <si>
    <t xml:space="preserve"> Second Amendment to the United States Constitution </t>
  </si>
  <si>
    <t>what was the 2nd amendment added to the constitution</t>
  </si>
  <si>
    <t xml:space="preserve"> The Second Amendment ( Amendment II ) to the United States Constitution protects the right of the people to keep and bear arms and was adopted on December 15 , 1791 , as part of the first ten amendments contained in the Bill of Rights . The Supreme Court of the United States has ruled that the right belongs to individuals for self defense . while also ruling that the right is not unlimited and does not prohibit all regulation of either firearms or similar devices . State and local governments are limited to the same extent as the federal government from infringing this right , per the incorporation of the Bill of Rights . </t>
  </si>
  <si>
    <t xml:space="preserve"> David ( Michelangelo ) </t>
  </si>
  <si>
    <t>where is the original statue of david in italy</t>
  </si>
  <si>
    <t xml:space="preserve"> David has stood on display at Florence 's Galleria dell'Accademia since 1873 . In addition to the full - sized replica occupying the spot of the original in front of the Palazzo Vecchio , a bronze version overlooks Florence from the Piazzale Michelangelo . The plaster cast of David at the Victoria and Albert Museum has a detachable plaster fig leaf which is displayed nearby . Legend claims that the fig leaf was created in response to Queen Victoria 's shock upon first viewing the statue 's nudity , and was hung on the figure prior to royal visits , using two strategically placed hooks . In 2010 , the Italian government began a campaign to solidify its claim to the iconic marble statue . </t>
  </si>
  <si>
    <t>Florence 's Galleria dell'Accademia</t>
  </si>
  <si>
    <t xml:space="preserve"> Teton dam </t>
  </si>
  <si>
    <t>when did the teton dam break in idaho</t>
  </si>
  <si>
    <t xml:space="preserve"> The Teton Dam was an earthen dam on the Teton River in Idaho , United States . It was built by the Bureau of Reclamation , one of eight federal agencies authorized to construct dams . Located in the eastern part of the state , between Fremont and Madison counties , it suffered a catastrophic failure on June 5 , 1976 , as it was filling for the first time . </t>
  </si>
  <si>
    <t>June 5 , 1976</t>
  </si>
  <si>
    <t xml:space="preserve"> Attack on Pearl Harbor </t>
  </si>
  <si>
    <t>what was the japanese motivation for bombing pearl harbor</t>
  </si>
  <si>
    <t xml:space="preserve"> Japan intended the attack as a preventive action to keep the U.S. Pacific Fleet from interfering with its planned military actions in Southeast Asia against overseas territories of the United Kingdom , the Netherlands , and the United States . Over the course of seven hours there were coordinated Japanese attacks on the U.S. - held Philippines , Guam and Wake Island and on the British Empire in Malaya , Singapore , and Hong Kong . </t>
  </si>
  <si>
    <t xml:space="preserve"> Fiddler on the Roof </t>
  </si>
  <si>
    <t>cast of characters in fiddler on the roof</t>
  </si>
  <si>
    <t xml:space="preserve">  Tevye , a poor milkman with five daughters . A firm supporter of the traditions of his faith , he finds many of his convictions tested by the actions of his three oldest daughters .   Golde , Tevye 's sharp - tongued wife .   Tzeitel , their oldest daughter , about nineteen . She loves her childhood friend Motel and marries him , even though he 's poor , begging her father not to force her to marry Lazar Wolf .   Hodel , their daughter , about seventeen . Intelligent and spirited , she falls in love with Perchik and later joins him in Siberia .   Chava , their daughter , about fifteen . A shy book lover , who falls in love with Fyedka .   Shprintze , their daughter , about twelve .   Bielke , their youngest daughter , about nine .   Motel Kamzoil , a poor but hardworking tailor who loves , and later marries , Tzeitel .   Perchik , a scholar and Bolshevik revolutionary who comes to Anatevka and falls in love with Hodel . He leaves for Kiev and is exiled to Siberia .   Fyedka , a young Christian man . He shares Chava 's passion for reading and is outraged by the Russians ' treatment of the Jews .   Lazar Wolf , the wealthy village butcher . Widower of Fruma - Sarah . Attempts to arrange a marriage for himself to Tzeitel .   Yente , the gossipy village matchmaker who matches Tzeitel and Lazar .   Fruma - Sarah , Lazar Wolf 's dead wife , who rises from the grave in Tevye 's `` nightmare '' .   Grandma Tzeitel , Golde 's dead grandmother , also featured in the `` nightmare '' .   Mordcha , the innkeeper .   Rabbi , the wise village rabbi .   Constable , a Christian man ; the head of the local Russian police .  </t>
  </si>
  <si>
    <t xml:space="preserve"> Stand by Me ( film ) </t>
  </si>
  <si>
    <t>when was the movie stand by me made</t>
  </si>
  <si>
    <t xml:space="preserve"> Stand by Me is a 1986 American coming - of - age comedy - drama film directed by Rob Reiner and starring Wil Wheaton , River Phoenix , Corey Feldman , and Jerry O'Connell . The film , whose plot is based on Stephen King 's novella The Body ( 1982 ) and title is derived from Ben E. King 's eponymous song , which plays over the ending credits , tells the story of four boys in a small town in Oregon who go on a hike to find the dead body of a missing child . </t>
  </si>
  <si>
    <t>1986</t>
  </si>
  <si>
    <t xml:space="preserve"> Northern Ireland Open ( snooker ) </t>
  </si>
  <si>
    <t>who won the northern ireland open snooker championship</t>
  </si>
  <si>
    <t xml:space="preserve">   Year   Winner   Runner - up   Final score   Sponsor   Venue   Season     Northern Ireland Open ( ranking )     2016   Mark King   Barry Hawkins   9 -- 8   Coral   Belfast   2016 / 17     2017   Mark Williams   Yan Bingtao   9 -- 8   Dafabet   2017 / 18   </t>
  </si>
  <si>
    <t>Mark Williams</t>
  </si>
  <si>
    <t xml:space="preserve"> Eiffel tower </t>
  </si>
  <si>
    <t>is the eiffel tower made of steel or iron</t>
  </si>
  <si>
    <t xml:space="preserve"> The Eiffel Tower ( / ˈaɪfəl ˈtaʊ. ər / EYE - fəl TOW - ər ; French : tour Eiffel , pronounced ( tuʁ ‿ ɛfɛl ) listen ) is a wrought iron lattice tower on the Champ de Mars in Paris , France . It is named after the engineer Gustave Eiffel , whose company designed and built the tower . </t>
  </si>
  <si>
    <t>wrought iron</t>
  </si>
  <si>
    <t xml:space="preserve"> Fort Myers , Florida </t>
  </si>
  <si>
    <t>where is fort myers florida located in florida</t>
  </si>
  <si>
    <t xml:space="preserve">   Fort Myers , Florida     City     Sidney and Berne Davis Art Museum in downtown Fort Myers     Nickname ( s ) : `` City of Palms ''     Location in Lee County , Florida     U.S. Census Bureau map showing city limits     Coordinates : 26 ° 37 ′ N 81 ° 50 ′ W ﻿ / ﻿ 26.617 ° N 81.833 ° W ﻿ / 26.617 ; - 81.833 Coordinates : 26 ° 37 ′ N 81 ° 50 ′ W ﻿ / ﻿ 26.617 ° N 81.833 ° W ﻿ / 26.617 ; - 81.833     Country   United States     State   Florida     County   Lee     Founded   March 24 , 1886     Government     Type   Council -- manager     Mayor   Randy Henderson , Jr .     Area     Total   48.97 sq mi ( 126.84 km )     Land   39.78 sq mi ( 103.02 km )     Water   9.20 sq mi ( 23.82 km )     Elevation   10 ft ( 3 m )     Population ( 2010 )     Total   62,298     Estimate ( 2016 )   77,146     Density   1,939.46 / sq mi ( 748.84 / km )     Time zone   Eastern ( EST ) ( UTC - 5 )     Summer ( DST )   EDT ( UTC - 4 )     ZIP code ( s )   33900 - 33999     Area code ( s )   239     FIPS code   12 - 24125     GNIS feature ID   0282700     Website   cityftmyers.com   </t>
  </si>
  <si>
    <t>Coordinates : 26 ° 37 ′ N 81 ° 50 ′ W ﻿ / ﻿ 26.617 ° N 81.833 ° W ﻿ / 26.617 ; - 81.833 Coordinates : 26 ° 37 ′ N 81 ° 50 ′ W ﻿ / ﻿ 26.617 ° N 81.833 ° W</t>
  </si>
  <si>
    <t xml:space="preserve"> Hermaphroditus </t>
  </si>
  <si>
    <t>what is the name of the youth loved by salmacis</t>
  </si>
  <si>
    <t xml:space="preserve"> In Greek mythology , Hermaphroditus or Hermaphroditos / hərˌmæf. rəˈdaɪ. təs / ( listen ) ( Ancient Greek : Ἑρμαφρόδιτος ) was the son of Aphrodite and Hermes . According to Ovid , he was born a remarkably handsome boy with whom the water nymph Salmacis fell in love and prayed to be united forever . A god , in answer to her prayer , merged their two forms into one and transformed them into an androgynous form . His name is compounded of his parents ' names , Hermes and Aphrodite . He was one of the Erotes . </t>
  </si>
  <si>
    <t>Hermaphroditus</t>
  </si>
  <si>
    <t xml:space="preserve"> The Magisterium series </t>
  </si>
  <si>
    <t>when is the next magisterium book coming out</t>
  </si>
  <si>
    <t xml:space="preserve"> The Silver Mask ( October 26 , 2017 ) </t>
  </si>
  <si>
    <t>October 26 , 2017</t>
  </si>
  <si>
    <t xml:space="preserve"> 2018 Winter Olympics opening ceremony </t>
  </si>
  <si>
    <t>who is performing at the 2018 olympics opening ceremony</t>
  </si>
  <si>
    <t xml:space="preserve">  Ha Hyun - woo of the band Guckkasten , Ahn Ji - young of the musical duo Bolbbalgan4 , Lee Eun - mi and Jeon In - kwon with his band Deulgukhwa performed and sang John Lennon 's `` Imagine '' at the opening ceremony .   The Rainbow Children 's Choir performed an arrangement , with Korean traditional musical instruments , of the national anthem , `` Aegukga '' . The song was written to educate the public about various ethnicities .   Insooni sang the theme song for the PyeongChang 2018 Olympic Torch Relay , `` Let Everyone Shine '' .  </t>
  </si>
  <si>
    <t>Ha Hyun - woo of the band Guckkasten</t>
  </si>
  <si>
    <t xml:space="preserve"> Dead bolt </t>
  </si>
  <si>
    <t>what is a deadlock lock on a door</t>
  </si>
  <si>
    <t xml:space="preserve"> A dead bolt , deadbolt or dead lock is a locking mechanism distinct from a spring bolt lock because a deadbolt can not be moved to the open position except by rotating the key . The more common spring bolt lock uses a spring to hold the bolt in place , allowing retraction by applying force to the bolt itself . A deadbolt can therefore make a door more resistant to entry without the correct key . </t>
  </si>
  <si>
    <t xml:space="preserve"> Do n't You ( Forget About Me ) </t>
  </si>
  <si>
    <t>what film has the song don't you forget about me</t>
  </si>
  <si>
    <t xml:space="preserve"> `` Do n't You ( Forget About Me ) '' is a 1985 pop song performed by Scottish rock band Simple Minds . The song is best known for being played during the opening and closing credits of the John Hughes film The Breakfast Club . It was written and composed by producer Keith Forsey and Steve Schiff , the latter of whom was a guitarist and songwriter from the Nina Hagen band . </t>
  </si>
  <si>
    <t>The Breakfast Club</t>
  </si>
  <si>
    <t xml:space="preserve"> Standard deviation </t>
  </si>
  <si>
    <t>the standard deviation of all possible values is called the</t>
  </si>
  <si>
    <t xml:space="preserve"> In addition to expressing the variability of a population , the standard deviation is commonly used to measure confidence in statistical conclusions . For example , the margin of error in polling data is determined by calculating the expected standard deviation in the results if the same poll were to be conducted multiple times . This derivation of a standard deviation is often called the `` standard error '' of the estimate or `` standard error of the mean '' when referring to a mean . It is computed as the standard deviation of all the means that would be computed from that population if an infinite number of samples were drawn and a mean for each sample were computed . It is very important to note that the standard deviation of a population and the standard error of a statistic derived from that population ( such as the mean ) are quite different but related ( related by the inverse of the square root of the number of observations ) . The reported margin of error of a poll is computed from the standard error of the mean ( or alternatively from the product of the standard deviation of the population and the inverse of the square root of the sample size , which is the same thing ) and is typically about twice the standard deviation -- the half - width of a 95 percent confidence interval . In science , researchers commonly report the standard deviation of experimental data , and only effects that fall much farther than two standard deviations away from what would have been expected are considered statistically significant -- normal random error or variation in the measurements is in this way distinguished from likely genuine effects or associations . The standard deviation is also important in finance , where the standard deviation on the rate of return on an investment is a measure of the volatility of the investment . </t>
  </si>
  <si>
    <t xml:space="preserve"> U.S. state Temperature Extremes </t>
  </si>
  <si>
    <t>what is the lowest temperature ever recorded in vermont</t>
  </si>
  <si>
    <t xml:space="preserve">   State   Record high temperature   Date   Place ( s )   Record low temperature   Date   Place ( s )     Alabama   110 ° F / 44 ° C   000000001925 - 09 - 05 - 0000 September 5 , 1925   Centreville   − 27 ° F / − 33 ° C   000000001966 - 01 - 30 - 0000 January 30 , 1966   New Market     Alaska   100 ° F / 38 ° C   000000001915 - 06 - 27 - 0000 June 27 , 1915   Fort Yukon   − 80 ° F / − 62 ° C   000000001971 - 01 - 23 - 0000 January 23 , 1971   Prospect Creek     Arizona   128 ° F / 53 ° C   000000001994 - 06 - 29 - 0000 June 29 , 1994   Lake Havasu City   − 40 ° F / − 40 ° C   000000001971 - 01 - 07 - 0000 January 7 , 1971   McNary     Arkansas   120 ° F / 49 ° C   000000001936 - 08 - 10 - 0000 August 10 , 1936   Ozark   − 29 ° F / − 34 ° C   000000001905 - 02 - 13 - 0000 February 13 , 1905   Gravette     California   134 ° F / 57 ° C   000000001913 - 07 - 10 - 0000 July 10 , 1913   Furnace Creek   − 45 ° F / − 43 ° C   000000001937 - 01 - 20 - 0000 January 20 , 1937   Boca     Colorado   114 ° F / 46 ° C   000000001954 - 07 - 11 - 0000 July 11 , 1954   Sedgwick   − 61 ° F / − 52 ° C   000000001985 - 02 - 01 - 0000 February 1 , 1985   Maybell     Connecticut   106 ° F / 41 ° C   000000001995 - 07 - 15 - 0000 July 15 , 1995   Danbury   − 37 ° F / − 38 ° C   000000001943 - 02 - 16 - 0000 February 16 , 1943   Norfolk     Delaware   110 ° F / 43 ° C   000000001930 - 07 - 21 - 0000 July 21 , 1930   Millsboro   − 17 ° F / − 27 ° C   000000001893 - 01 - 17 - 0000 January 17 , 1893   Millsboro     District of Columbia   106 ° F / 41 ° C   000000001930 - 07 - 20 - 0000 July 20 , 1930   Washington   − 15 ° F / − 26 ° C   000000001899 - 02 - 11 - 0000 February 11 , 1899   Washington     Florida   109 ° F / 43 ° C   000000001931 - 06 - 29 - 0000 June 29 , 1931   Monticello   − 2 ° F / − 19 ° C   000000001899 - 02 - 13 - 0000 February 13 , 1899   Tallahassee     Georgia   112 ° F / 44 ° C   000000001983 - 08 - 20 - 0000 August 20 , 1983 *   Greenville   − 17 ° F / − 27 ° C   000000001940 - 01 - 27 - 0000 January 27 , 1940   Chatsworth     Hawaii   98 ° F / 37 ° C   000000001957 - 07 - 14 - 0000 July 14 , 1957   Puunene *   15 ° F / - 9 ° C   000000001975 - 01 - 05 - 0000 January 5 , 1975   Mauna Kea Observatories     Idaho   118 ° F / 48 ° C   000000001934 - 07 - 28 - 0000 July 28 , 1934   Orofino   − 60 ° F / − 51 ° C   000000001943 - 01 - 18 - 0000 January 18 , 1943   Island Park     Illinois   117 ° F / 47 ° C   000000001954 - 07 - 14 - 0000 July 14 , 1954   East Saint Louis   − 36 ° F / − 38 ° C   000000001999 - 01 - 05 - 0000 January 5 , 1999   Congerville     Indiana   116 ° F / 47 ° C   000000001936 - 07 - 14 - 0000 July 14 , 1936   Collegeville   − 36 ° F / − 38 ° C   000000001994 - 01 - 19 - 0000 January 19 , 1994   New Whiteland     Iowa   118 ° F / 48 ° C   000000001934 - 07 - 20 - 0000 July 20 , 1934   Keokuk   − 47 ° F / − 44 ° C   000000001996 - 02 - 03 - 0000 February 3 , 1996 *   Elkader     Kansas   121 ° F / 49 ° C   000000001936 - 07 - 24 - 0000 July 24 , 1936 *   Alton   − 40 ° F / − 40 ° C   000000001905 - 02 - 13 - 0000 February 13 , 1905   Lebanon     Kentucky   114 ° F / 46 ° C   000000001930 - 07 - 28 - 0000 July 28 , 1930   Greensburg   − 37 ° F / − 38 ° C   000000001994 - 01 - 19 - 0000 January 19 , 1994   Shelbyville     Louisiana   114 ° F / 46 ° C   000000001936 - 08 - 10 - 0000 August 10 , 1936   Plain Dealing   − 16 ° F / − 27 ° C   000000001899 - 02 - 13 - 0000 February 13 , 1899   Minden     Maine   105 ° F / 41 ° C   000000001911 - 07 - 10 - 0000 July 10 , 1911 *   North Bridgton   − 50 ° F / − 46 ° C   000000002009 - 01 - 16 - 0000 January 16 , 2009   Clayton Lake     Maryland   109 ° F / 43 ° C   000000001936 - 07 - 10 - 0000 July 10 , 1936 *   Cumberland   − 40 ° F / − 40 ° C   000000001912 - 01 - 13 - 0000 January 13 , 1912   Oakland     Massachusetts   107 ° F / 42 ° C   000000001975 - 08 - 02 - 0000 August 2 , 1975   New Bedford   − 40 ° F / − 40 ° C   000000001984 - 01 - 22 - 0000 January 22 , 1984   Chester     Michigan   112 ° F / 44 ° C   000000001936 - 07 - 13 - 0000 July 13 , 1936   Mio   − 51 ° F / − 46 ° C   000000001934 - 02 - 09 - 0000 February 9 , 1934   Vanderbilt     Minnesota   115 ° F / 46 ° C   000000001917 - 07 - 29 - 0000 July 29 , 1917   Beardsley   − 60 ° F / − 51 ° C   000000001996 - 02 - 02 - 0000 February 2 , 1996   Tower     Mississippi   115 ° F / 46 ° C   000000001930 - 07 - 29 - 0000 July 29 , 1930   Holly Springs   − 19 ° F / − 28 ° C   000000001966 - 01 - 30 - 0000 January 30 , 1966   Corinth     Missouri   118 ° F / 48 ° C   000000001954 - 07 - 14 - 0000 July 14 , 1954 *   Warsaw   − 40 ° F / − 40 ° C   000000001905 - 02 - 13 - 0000 February 13 , 1905   Warsaw     Montana   117 ° F / 47 ° C   000000001937 - 07 - 05 - 0000 July 5 , 1937   Medicine Lake   − 70 ° F / − 57 ° C   000000001954 - 01 - 20 - 0000 January 20 , 1954   Lincoln ( Rogers Pass )     Nebraska   118 ° F / 48 ° C   000000001936 - 07 - 24 - 0000 July 24 , 1936 *   Minden   − 47 ° F / − 44 ° C   000000001989 - 12 - 22 - 0000 December 22 , 1989 *   Oshkosh     Nevada   125 ° F / 52 ° C   000000001994 - 06 - 29 - 0000 June 29 , 1994   Laughlin   − 50 ° F / − 46 ° C   000000001937 - 01 - 08 - 0000 January 8 , 1937   San Jacinto     New Hampshire   106 ° F / 41 ° C   000000001911 - 07 - 04 - 0000 July 4 , 1911   Nashua   − 47 ° F / − 44 ° C   000000001885 - 01 - 22 - 0000 January 22 , 1885   Randolph     New Jersey   110 ° F / 43 ° C   000000001936 - 07 - 10 - 0000 July 10 , 1936   Runyon   − 34 ° F / − 37 ° C   000000001904 - 01 - 05 - 0000 January 5 , 1904   River Vale     New Mexico   122 ° F / 50 ° C   000000001994 - 06 - 27 - 0000 June 27 , 1994   Waste Isolation Pilot Plant   − 50 ° F / − 46 ° C   000000001951 - 02 - 01 - 0000 February 1 , 1951   Gavilan     New York   109 ° F / 43 ° C   000000001926 - 07 - 22 - 0000 July 22 , 1926   Troy   − 52 ° F / − 47 ° C   000000001979 - 02 - 18 - 0000 February 18 , 1979 *   Old Forge     North Carolina   110 ° F / 43 ° C   000000001983 - 08 - 21 - 0000 August 21 , 1983   Fayetteville   − 34 ° F / − 37 ° C   000000001985 - 01 - 21 - 0000 January 21 , 1985   Burnsville     North Dakota   121 ° F / 49 ° C   000000001936 - 07 - 06 - 0000 July 6 , 1936   Steele   − 60 ° F / − 51 ° C   000000001936 - 02 - 15 - 0000 February 15 , 1936   Parshall     Ohio   113 ° F / 45 ° C   000000001934 - 07 - 21 - 0000 July 21 , 1934   Gallipolis   − 39 ° F / − 39 ° C   000000001899 - 02 - 10 - 0000 February 10 , 1899   Milligan     Oklahoma   120 ° F / 49 ° C   000000001936 - 08 - 12 - 0000 August 12 , 1936 *   Altus   − 31 ° F / − 35 ° C   000000002011 - 02 - 10 - 0000 February 10 , 2011   Nowata     Oregon   117 ° F / 47 ° C   000000001939 - 07 - 27 - 0000 July 27 , 1939   Umatilla   − 54 ° F / − 48 ° C   000000001933 - 02 - 10 - 0000 February 10 , 1933 *   Seneca     Pennsylvania   111 ° F / 44 ° C   000000001936 - 07 - 10 - 0000 July 10 , 1936 *   Phoenixville   − 42 ° F / − 41 ° C   000000001904 - 01 - 05 - 0000 January 5 , 1904   Smethport     Rhode Island   104 ° F / 40 ° C   000000001975 - 08 - 02 - 0000 August 2 , 1975   Providence   − 28 ° F / − 33 ° C   000000001942 - 01 - 17 - 0000 January 17 , 1942   Richmond     South Carolina   113 ° F / 45 ° C   000000002012 - 06 - 30 - 0000 June 30 , 2012 *   Camden   − 22 ° F / − 30 ° C   000000001985 - 01 - 21 - 0000 January 21 , 1985   Landrum     South Dakota   120 ° F / 49 ° C   000000002006 - 07 - 15 - 0000 July 15 , 2006 *   Fort Pierre *   − 58 ° F / − 50 ° C   000000001936 - 02 - 17 - 0000 February 17 , 1936   McIntosh     Tennessee   113 ° F / 45 ° C   000000001933 - 08 - 09 - 0000 August 9 , 1933 *   Perryville   − 32 ° F / − 36 ° C   000000001917 - 12 - 30 - 0000 December 30 , 1917   Mountain City     Texas   120 ° F / 49 ° C   000000001994 - 06 - 28 - 0000 June 28 , 1994 *   Monahans   − 23 ° F / − 31 ° C   000000001933 - 02 - 08 - 0000 February 8 , 1933 *   Seminole     Utah   117 ° F / 47 ° C   000000001985 - 07 - 05 - 0000 July 5 , 1985   Saint George   − 69 ° F / − 46 ° C   000000001985 - 02 - 01 - 0000 February 1 , 1985   Peter Sinks     Vermont   105 ° F / 41 ° C   000000001911 - 07 - 04 - 0000 July 4 , 1911   Vernon   − 50 ° F / − 46 ° C   000000001933 - 12 - 30 - 0000 December 30 , 1933   Bloomfield     Virginia   110 ° F / 43 ° C   000000001954 - 07 - 15 - 0000 July 15 , 1954   Balcony Falls   − 30 ° F / − 34 ° C   000000001985 - 01 - 22 - 0000 January 22 , 1985   Pembroke     Washington   118 ° F / 48 ° C   000000001961 - 08 - 05 - 0000 August 5 , 1961 *   Burbank   − 48 ° F / − 44 ° C   000000001968 - 12 - 30 - 0000 December 30 , 1968   Mazama     West Virginia   112 ° F / 44 ° C   000000001936 - 07 - 10 - 0000 July 10 , 1936 *   Martinsburg   − 37 ° F / − 38 ° C   000000001917 - 12 - 30 - 0000 December 30 , 1917   Lewisburg     Wisconsin   114 ° F / 46 ° C   000000001936 - 07 - 13 - 0000 July 13 , 1936   Wisconsin Dells   − 55 ° F / − 48 ° C   000000001996 - 02 - 04 - 0000 February 4 , 1996   Couderay     Wyoming   115 ° F / 46 ° C   000000001983 - 08 - 08 - 0000 August 8 , 1983   Basin   − 63 ° F / − 53 ° C   000000001933 - 02 - 09 - 0000 February 9 , 1933   Moran   </t>
  </si>
  <si>
    <t>− 50 ° F / − 46 ° C</t>
  </si>
  <si>
    <t xml:space="preserve"> 1980 eruption of Mount St. Helens </t>
  </si>
  <si>
    <t>when was the last time mount saint helens exploded</t>
  </si>
  <si>
    <t xml:space="preserve"> On May 18 , 1980 , a major volcanic eruption occurred at Mount St. Helens , a volcano located in Skamania County , in the State of Washington . The eruption ( a VEI 5 event ) was the most significant volcanic eruption to occur in the contiguous 48 U.S. states since the much smaller 1915 eruption of Lassen Peak in California . It has often been declared as the most disastrous volcanic eruption in U.S. history . The eruption was preceded by a two - month series of earthquakes and steam - venting episodes , caused by an injection of magma at shallow depth below the volcano that created a large bulge and a fracture system on the mountain 's north slope . </t>
  </si>
  <si>
    <t>May 18 , 1980</t>
  </si>
  <si>
    <t xml:space="preserve"> 7 - Eleven </t>
  </si>
  <si>
    <t>how many 7 elevens are in the world</t>
  </si>
  <si>
    <t xml:space="preserve"> 7 - Eleven Inc. is a Japanese - owned American international chain of convenience stores , headquartered in Dallas , Texas . The chain was known as Tote 'm Stores until it was renamed in 1946 . Its parent company , Seven - Eleven Japan Co. , Ltd. , operates , franchises , and licenses 66,579 stores in 17 countries as of 30 June 2018 . Seven - Eleven Japan is headquartered in Chiyoda , Tokyo and held by the Seven &amp; I Holdings Co . </t>
  </si>
  <si>
    <t>66,579</t>
  </si>
  <si>
    <t>when do booth and brennan become a couple</t>
  </si>
  <si>
    <t xml:space="preserve"> At the start of Season 7 , a very pregnant Brennan and Booth are a couple but are going back and forth between apartments . Booth suggests that they should have their own place , whereas Brennan wants Booth to move into her apartment . It causes a minor rift between them , but is resolved when Booth admits why he wants to move into a new house and Brennan having some time to think over it says it 's a good idea because she 'd need him practically , emotionally and sexually . In episode 6 , `` The Crack in the Code , '' they decide to buy a two - story house in the suburbs -- which they jokingly called `` The Mighty Hut '' -- that Booth found at a police auction and renovate it , ( according to a mailed check sent to Brennan in `` The Heiress in the Hill '' , in season 9 , the `` Mighty Hut '' 's address is `` 1297 Janus Street , Washington DC , 20002 '' ) . In episode 7 , `` The Prisoner in the Pipe '' , Brennan goes into labor inside a prison just as she discovers who killed in an inmate there and Booth rushes her out with the intention to take her to the nearest hospital , but they both know she wo n't make it in time . This leads them to driving to an inn close to the prison . At first , they are rejected and are told to leave , but after some desperate pleading from an agonized Brennan , the two of them are led to a stall where she gives birth to their daughter , Christine Angela Booth ( named after Temperance 's mother , Christine Brennan , and Temperance 's best friend Angela Montenegro ) . Some time after the delivery , Temperance and Seeley both go back to their home where they celebrate with their friends from the Jeffersonian , who brought dinners that would last a few nights as well as a few baby supplies . In `` The Past in the Present '' , Brennan becomes the prime suspect in the murder of her schizophrenic friend , Ethan Sawyer , after supposedly threatening to kill Christine . Max advises Brennan to get off the grid and go into hiding , but she and Booth do not follow up at this suggestion . However , at the end of the episode , after Christine is christened in a Catholic church , it is revealed Brennan decided to take her father 's advice and flee with her daughter until her name is cleared . Just before Brennan flees town with Christine , she tells Booth she loves him and not just because of their daughter . After she is cleared of Sawyer 's murder , Brennan , Booth and Christine resume their family life . </t>
  </si>
  <si>
    <t>At the start of Season 7</t>
  </si>
  <si>
    <t xml:space="preserve"> Nice one Cyril </t>
  </si>
  <si>
    <t>who sang nice one cyril nice one son</t>
  </si>
  <si>
    <t xml:space="preserve"> `` Nice One Cyril '' is a single by Cockerel Chorus written by Harold Spiro and Helen Clarke . The song title is a reference to Cyril Knowles , a left back who played for Tottenham Hotspur . It was released before the 1973 Football League Cup Final where Tottenham played Norwich City . It reached No. 14 on the British single chart after Tottenham won , and its writers Spiro and Clarke received an Ivor Novello Award for Best Novel or Unusual Song in 1974 . </t>
  </si>
  <si>
    <t>Cockerel Chorus</t>
  </si>
  <si>
    <t xml:space="preserve"> Red Red Wine </t>
  </si>
  <si>
    <t>who sang red red wine in the 80's</t>
  </si>
  <si>
    <t xml:space="preserve"> `` Red Red Wine '' is a song originally written , performed , and recorded by American singer Neil Diamond in 1967 . It is included on Neil 's second studio album , Just for You . The lyrics are sung from the perspective of a person who finds that drinking red wine is the only way to forget his woes . </t>
  </si>
  <si>
    <t>Neil Diamond</t>
  </si>
  <si>
    <t xml:space="preserve"> Compact cassette </t>
  </si>
  <si>
    <t>how long can you record on a cassette tape</t>
  </si>
  <si>
    <t xml:space="preserve"> Tape length usually is measured in minutes of total playing time . The most popular varieties are C46 ( 23 minutes per side ) , C60 ( 30 minutes per side ) , C90 , and C120 . The C46 and C60 lengths typically are 15 to 16 micrometers ( 0.59 to 0.63 mils ) thick , but C90s are 10 to 11 μm ( 0.39 to 0.43 mils ) and ( the less common ) C120s are just 9 μm ( 0.35 mils ) thick , rendering them more susceptible to stretching or breakage . BASF declared the C60 with 88 meters ( 289 feet ) . Some vendors are more generous than others , providing 132 or 135 meters ( 433 or 443 feet ) rather than 129 meters ( 423 feet ) of tape for a C90 cassette . Even C180 tapes were available at one time , but these were extremely thin and fragile and suffered from such effects as print - through , which made them unsuitable for general use . 150 minute length is still available from Maxell ( UR 150 ) , Sony ( CDixI 150 ) and TDK ( TDK AE 150 ) . </t>
  </si>
  <si>
    <t xml:space="preserve"> Muckraker </t>
  </si>
  <si>
    <t>the term muckraker has been used to describe authors whose writing deal mainly with</t>
  </si>
  <si>
    <t xml:space="preserve"> The term muckraker was used in the Progressive Era to characterize reform - minded American journalists who attacked established institutions and leaders as corrupt . They typically had large audiences in some popular magazines . In the US , the modern term is investigative journalism -- it has different and more pejorative connotations in British English -- and investigative journalists in the USA today are often informally called ' muckrakers ' . </t>
  </si>
  <si>
    <t xml:space="preserve"> Do You Hear What I Hear ? </t>
  </si>
  <si>
    <t>who wrote the christmas carol do you hear what i hear</t>
  </si>
  <si>
    <t xml:space="preserve"> `` Do You Hear What I Hear ? '' is a song written in October 1962 , with lyrics by Noël Regney and music by Gloria Shayne Baker . The pair , married at the time , wrote it as a plea for peace during the Cuban Missile Crisis . Regney had been invited by a record producer to write a Christmas song , but he was hesitant due to the commercialism of the Christmas holiday . It has sold tens of millions of copies and has been covered by hundreds of artists . </t>
  </si>
  <si>
    <t>Noël Regney</t>
  </si>
  <si>
    <t xml:space="preserve"> FIFA World Cup </t>
  </si>
  <si>
    <t>how many teams in world cup semi finals</t>
  </si>
  <si>
    <t xml:space="preserve"> The knockout stage is a single - elimination tournament in which teams play each other in one - off matches , with extra time and penalty shootouts used to decide the winner if necessary . It begins with the round of 16 ( or the second round ) in which the winner of each group plays against the runner - up of another group . This is followed by the quarter - finals , the semi-finals , the third - place match ( contested by the losing semi-finalists ) , and the final . </t>
  </si>
  <si>
    <t xml:space="preserve"> Mariska Hargitay </t>
  </si>
  <si>
    <t>who plays olivia benson on law and order</t>
  </si>
  <si>
    <t xml:space="preserve"> Mariska Magdolna Hargitay ( / məˈrɪʃkə ˈhɑːrɡɪteɪ / mə - RISH - kə HAR - ghih - tay ; born January 23 , 1964 ) is an American actress best known for her role as Detective / Sergeant / Lieutenant Olivia Benson on the NBC drama series Law &amp; Order : Special Victims Unit , for which she has earned multiple awards and nominations , including winning a Primetime Emmy Award and Golden Globe Award . </t>
  </si>
  <si>
    <t>Mariska Magdolna Hargitay</t>
  </si>
  <si>
    <t xml:space="preserve"> Fifty Shades of Grey </t>
  </si>
  <si>
    <t>how many copies did fifty shades of grey sell</t>
  </si>
  <si>
    <t xml:space="preserve"> Fifty Shades of Grey has topped best - seller lists around the world , selling over 125 million copies worldwide by June 2015 . It has been translated into 52 languages , and set a record in the United Kingdom as the fastest - selling paperback of all time . Critical reception of the book , however , has tended towards the negative , with the quality of its prose generally seen as poor . Universal Pictures and Focus Features produced a film adaptation , which was released on 13 February 2015 and also received generally unfavourable reviews . </t>
  </si>
  <si>
    <t>over 125 million copies</t>
  </si>
  <si>
    <t xml:space="preserve"> Green Bay , Wisconsin </t>
  </si>
  <si>
    <t>when was the city of green bay founded</t>
  </si>
  <si>
    <t xml:space="preserve"> Nicolet founded a small trading post here in 1634 , originally named La Baye or La Baie des Puants ( French for `` the Bay of Stinking Waters '' ) . Nicolet 's settlement was one of the oldest European permanent settlements in America . </t>
  </si>
  <si>
    <t>1634</t>
  </si>
  <si>
    <t xml:space="preserve"> Hip bone </t>
  </si>
  <si>
    <t>where do the ilium the ischium and the pubis meet</t>
  </si>
  <si>
    <t xml:space="preserve"> The hip bone is formed by three parts : ilium , ischium , and pubis . At birth , these three components are separated by hyaline cartilage . They join each other in a Y - shaped portion of cartilage in the acetabulum . By the end of puberty the three regions will have fused together , and by the age of 25 they will have ossified . The two hip bones join each other at the pubic symphysis . Together with the sacrum and coccyx , the hip bones form the pelvis . </t>
  </si>
  <si>
    <t>acetabulum</t>
  </si>
  <si>
    <t xml:space="preserve"> Pak'nSave </t>
  </si>
  <si>
    <t>who is the founder of pak n save</t>
  </si>
  <si>
    <t xml:space="preserve"> Pak'nSave was developed following a trip by a group of Foodstuffs executives to the United States in 1985 . On that visit they saw Cub Foods , operated by SuperValu , Pak ' n Save operated by Safeway , and other box warehouse supermarkets . Foodstuffs then copied this format in New Zealand . The original Pak'nSave format was almost an identical copy of Safeway 's Pak ' n Save chain in northern California . </t>
  </si>
  <si>
    <t>Foodstuffs</t>
  </si>
  <si>
    <t xml:space="preserve"> Flora of India </t>
  </si>
  <si>
    <t>how many species of plants are found in india</t>
  </si>
  <si>
    <t xml:space="preserve"> The flora of India is one of the richest in the world due to the wide range of climate , topology and habitat in the country . There are estimated to be over 18,000 species of flowering plants in India , which constitute some 6 - 7 percent of the total plant species in the world . India is home to more than 50,000 species of plants , including a variety of endemics . The use of plants as a source of medicines has been an integral part of life in India from the earliest times . There are more than 3000 Indian plant species officially documented as possessing great medicinal potential . India is divided into eight main floristic regions : Western Himalayas , Eastern Himalayas , Assam , Indus plain , Ganges plain , the Deccan , Malabar and the Andaman Islands . </t>
  </si>
  <si>
    <t>more than 50,000</t>
  </si>
  <si>
    <t xml:space="preserve"> Automotive industry in the United Kingdom </t>
  </si>
  <si>
    <t>which non-british company owns both the famous british rolls- royce and mini brands</t>
  </si>
  <si>
    <t xml:space="preserve"> The origins of the UK automotive industry date back to the final years of the 19th century . By the 1950s the UK was the second - largest manufacturer of cars in the world ( after the United States ) and the largest exporter . However , in subsequent decades the industry experienced considerably lower growth than competitor nations such as France , Germany and Japan and by 2008 the UK was the 12th - largest producer of cars measured by volume . Since the early 1990s many British car marques have been acquired by foreign companies including BMW ( Mini and Rolls - Royce ) , SAIC ( MG ) , TATA ( Jaguar and Land Rover ) and Volkswagen Group ( Bentley ) . Rights to many currently dormant marques , including Austin , Riley , Rover and Triumph , are also owned by foreign companies . </t>
  </si>
  <si>
    <t>BMW</t>
  </si>
  <si>
    <t xml:space="preserve"> Los Angeles Dodgers </t>
  </si>
  <si>
    <t>how many times have the dodgers gone to world series</t>
  </si>
  <si>
    <t xml:space="preserve"> The Dodgers share a fierce rivalry with the San Francisco Giants , the oldest rivalry in baseball , dating back to when the two franchises played in New York City . Both teams moved west for the 1958 season . The Brooklyn Dodgers and Los Angeles Dodgers have collectively appeared in the World Series 19 times , while the New York Giants and San Francisco Giants have collectively appeared 20 times and have been invited 21 times . The Giants have won two more World Series ( 8 ) ; the Dodgers have won 22 National League pennants , while the Giants hold the record with 23 . Although the two franchises have enjoyed near equal success , the city rivalries are rather lopsided and in both cases , a team 's championships have predated to the other 's first one in that particular location . When the two teams were based in New York , the Giants won five World Series championships , and the Dodgers one . After the move to California , the Dodgers have won five in Los Angeles , the Giants have won three in San Francisco . </t>
  </si>
  <si>
    <t>19</t>
  </si>
  <si>
    <t xml:space="preserve"> The Chronicles of Narnia </t>
  </si>
  <si>
    <t>order of the lion the witch and the wardrobe books</t>
  </si>
  <si>
    <t xml:space="preserve"> The Chronicles of Narnia   The Chronicles of Narnia boxed set       ( in publication order )   The Lion , the Witch and the Wardrobe ( 1950 )   Prince Caspian ( 1951 )   The Voyage of the Dawn Treader ( 1952 )   The Silver Chair ( 1953 )   The Horse and His Boy ( 1954 )   The Magician 's Nephew ( 1955 )   The Last Battle ( 1956 )       Author   C.S. Lewis     Illustrator   Pauline Baynes     Country   United Kingdom     Language   English     Genre   Fantasy Children 's literature     Publisher   HarperCollins     Published   16 October 1950 -- 4 September 1956     Media type   Print ( hardcover and paperback )   </t>
  </si>
  <si>
    <t xml:space="preserve"> Clavicle </t>
  </si>
  <si>
    <t>at what level is the clavicle with reference to the ribs</t>
  </si>
  <si>
    <t xml:space="preserve"> The collarbone is a large doubly curved long bone that connects the arm to the trunk of the body . Located directly above the first rib it acts as a strut to keep the scapula in place so that the arm can hang freely . Medially , it articulates with the manubrium of the sternum ( breastbone ) at the sternoclavicular joint . At its lateral end it articulates with the acromion , a process of the scapula ( shoulder blade ) at the acromioclavicular joint . It has a rounded medial end and a flattened lateral end . </t>
  </si>
  <si>
    <t>directly above the first rib</t>
  </si>
  <si>
    <t xml:space="preserve"> Little Brown jug ( college football trophy ) </t>
  </si>
  <si>
    <t>what is the little brown jug made out of</t>
  </si>
  <si>
    <t xml:space="preserve"> The Michigan -- Minnesota football rivalry is an American college football rivalry between the Michigan Wolverines football team of the University of Michigan and Minnesota Golden Gophers football team of the University of Minnesota . The Little Brown Jug is an earthenware jug that serves as a trophy awarded to the winner of the game . It is one of the oldest and most played rivalries in American college football , dating to 1892 . The Little Brown Jug is the most regularly exchanged rivalry trophy in college football , the oldest trophy game in FBS college football , and the second oldest rivalry trophy overall , next to the 1899 Territorial Cup ( which did not become a travelling / exchange trophy until 2001 ) , contested between Arizona and Arizona State ( which did not become a four - year college until 1925 ) . </t>
  </si>
  <si>
    <t xml:space="preserve"> Habeas corpus in the United States </t>
  </si>
  <si>
    <t>when was the writ of habeas corpus created</t>
  </si>
  <si>
    <t xml:space="preserve"> Habeas corpus derives from the English common law where the first recorded usage was in 1305 , in the reign of King Edward I of England . The procedure for the issuing of writs of habeas corpus was first codified by the Habeas Corpus Act 1679 , following judicial rulings which had restricted the effectiveness of the writ . A previous act had been passed in 1640 to overturn a ruling that the command of the Queen was a sufficient answer to a petition of habeas corpus . Winston Churchill , in his chapter on the English Common Law in The Birth of Britain , explains the process thus : </t>
  </si>
  <si>
    <t>1679</t>
  </si>
  <si>
    <t xml:space="preserve"> John Deere Classic </t>
  </si>
  <si>
    <t>where are they playing the john deere classic golf tournament</t>
  </si>
  <si>
    <t xml:space="preserve"> The John Deere Classic is a professional golf tournament on the PGA Tour . It is played annually in July , the week before the British Open , at TPC Deere Run in the Quad Cities community of Silvis , Illinois . </t>
  </si>
  <si>
    <t>TPC Deere Run in the Quad Cities community of Silvis , Illinois</t>
  </si>
  <si>
    <t xml:space="preserve"> Covalent bond </t>
  </si>
  <si>
    <t>what types of elements are involved in covalent bonding</t>
  </si>
  <si>
    <t xml:space="preserve"> A covalent bond , also called a molecular bond , is a chemical bond that involves the sharing of electron pairs between atoms . These electron pairs are known as shared pairs or bonding pairs , and the stable balance of attractive and repulsive forces between atoms , when they share electrons , is known as covalent bonding . For many molecules , the sharing of electrons allows each atom to attain the equivalent of a full outer shell , corresponding to a stable electronic configuration . </t>
  </si>
  <si>
    <t>electron</t>
  </si>
  <si>
    <t xml:space="preserve"> Swan song </t>
  </si>
  <si>
    <t>where does the term swan song come from</t>
  </si>
  <si>
    <t xml:space="preserve"> The swan song ( ancient Greek : κύκνειον ᾆσμα ; Latin : carmen cygni ) is a metaphorical phrase for a final gesture , effort , or performance given just before death or retirement . The phrase refers to an ancient belief that swans ( Cygnus spp . ) sing a beautiful song just before their death , having been silent ( or alternatively , not so musical ) during most of their lifetime . This belief , whose basis in actuality is long - debated , had become proverbial in ancient Greece by the 3rd century BC , and was reiterated many times in later Western poetry and art . </t>
  </si>
  <si>
    <t xml:space="preserve"> Harry Potter </t>
  </si>
  <si>
    <t>how many pages does all the harry potter books have</t>
  </si>
  <si>
    <t xml:space="preserve"> Jenny Sawyer wrote in Christian Science Monitor on 25 July 2007 that the books represent a `` disturbing trend in commercial storytelling and Western society '' in that stories `` moral center ( sic ) have all but vanished from much of today 's pop culture ... after 10 years , 4,195 pages , and over 375 million copies , J.K. Rowling 's towering achievement lacks the cornerstone of almost all great children 's literature : the hero 's moral journey '' . Harry Potter , Sawyer argues , neither faces a `` moral struggle '' nor undergoes any ethical growth , and is thus `` no guide in circumstances in which right and wrong are anything less than black and white '' . In contrast Emily Griesinger described Harry 's first passage through to Platform 93⁄4 as an application of faith and hope , and his encounter with the Sorting Hat as the first of many in which Harry is shaped by the choices he makes . She also noted the `` deeper magic '' by which the self - sacrifice of Harry 's mother protects the boy throughout the series , and which the power - hungry Voldemort fails to understand . </t>
  </si>
  <si>
    <t xml:space="preserve"> List of presidents who did n't win reelection </t>
  </si>
  <si>
    <t>when was the last time an incumbent president lost</t>
  </si>
  <si>
    <t xml:space="preserve">   Term in office   President   Country   Lost election   Notes     1797 -- 1801   John Adams   United States   United States presidential election , 1800       1825 -- 1829   John Quincy Adams   United States   United States presidential election , 1828       1885 - 1889   Grover Cleveland   United States   United States presidential election , 1888       1889 - 1893   Benjamin Harrison   United States   United States presidential election , 1892       1909 - 1913   William Taft   United States   United States presidential election , 1912       1929 - 1933   Herbert Hoover   United States   United States presidential election , 1932       1931 -- 1937   Pehr Evind Svinhufvud   Finland   Finnish presidential election , 1937       1948 -- 1955   Luigi Einaudi   Italy   Italian presidential election , 1955       1955 -- 1962   Giovanni Gronchi   Italy   Italian presidential election , 1962       1960 -- 1967   Aden Abdullah Osman Daar   Somalia   Somali presidential election , 1967       1964 -- 1971   Giuseppe Saragat   Italy   Italian presidential election , 1971       1974 -- 1977   Gerald Ford   United States   United States presidential election , 1976       1976 -- 1980   Jimmy Carter   United States   United States presidential election , 1980       1985 - 1990   Daniel Ortega   Nicaragua   Nicaraguan general election , 1990       1974 -- 1981   Valéry Giscard d'Estaing   France   French presidential election , 1981       1972 -- 1991   Mathieu Kérékou   Benin   Beninese presidential election , 1991       1964 -- 1991   Kenneth Kaunda   Zambia   Zambian general election , 1991       1989 -- 1993   George H.W. Bush   United States   United States presidential election , 1992       1989 -- 1992   Václav Havel   Czechoslovakia   Czechoslovak presidential election , 1992   Later elected President of the Czech Republic .     1975 -- 1993 1996 -- 2001   Didier Ratsiraka   Madagascar   Malagasy presidential election , 1992 - 93 Malagasy presidential election , 2001       1987 -- 1993   Pierre Buyoya   Burundi   Burundian presidential election , 1993   Returned to power in 1996     1981 -- 1993   André Kolingba   Central African Republic   Central African general election , 1993       1966 -- 1994   Hastings Banda   Malawi   Malawian general election , 1994       1991 -- 1994   Leonid Kravchuk   Ukraine   Ukrainian presidential election , 1994       1990 -- 1995   Lech Wałęsa   Poland   Polish presidential election , 1995   Also lost 2000 election .     1991 -- 1996   Nicéphore Soglo   Benin   Beninese presidential election , 1996   Also lost in 2001     1993 -- 1996   Albert Zafy   Madagascar   Malagasy presidential election , 1996 , 2001       1990 -- 1997   Mircea Snegur   Moldova   Moldovan presidential election , 1996       1990 -- 1997   Punsalmaagiin Ochirbat   Mongolia   Mongolian presidential election , 1997       1999 -- 2000   Robert Guéï   Ivory Coast   Ivorian presidential election , 2000       1989 -- 1996   Ion Iliescu   Romania   Romanian general election , 1996   Returned to office after 2000 election .     1981 -- 2000   Abdou Diouf   Senegal   Senegalese presidential election , 2000       1996 -- 2001   Petar Stoyanov   Bulgaria   Bulgarian presidential election , 2001       1998 -- 2003   Valdas Adamkus   Lithuania   Lithuanian presidential election , 2002 -- 2003   Returned to the office in 2004 .     2000 - 2004   Hipólito Mejía   Dominican Republic   Dominican Republic presidential election , 2004       2001 -- 2004   Megawati Sukarnoputri   Indonesia   Indonesian presidential election , 2004   Also lost 2009 election .     1999 -- 2004   Rudolf Schuster   Slovakia   Slovak presidential election , 2004       2001 -- 2006   Arnold Rüütel   Estonia   Estonian presidential election , 2006       2005 -- 2009   Nambaryn Enkhbayar   Mongolia   Mongolian presidential election , 2009       2000 -- 2011   Laurent Gbagbo   Ivory Coast   Ivorian presidential election , 2010       2002 -- 2010   Dahir Riyale Kahin   Somaliland   Somaliland presidential election , 2010       2004 -- 2010   Viktor Yushchenko   Ukraine   Ukrainian presidential election , 2010       2007 -- 2011   Valdis Zatlers   Latvia   Latvian presidential election , 2011       2008 -- 2011   Rupiah Banda   Zambia   Zambian general election , 2011       2007 -- 2012   Nicolas Sarkozy   France   French presidential election , 2012   Also ran in 2017 but lost The Republicans primary .     2000 -- 2012   Abdoulaye Wade   Senegal   Senegalese presidential election , 2012       2004 -- 2012   Boris Tadić   Serbia   Serbian presidential election , 2012       2007 -- 2012   Danilo Türk   Slovenia   Slovenian presidential election , 2012       2012 -- 2014   Joyce Banda   Malawi   Malawian general election , 2014       2010 -- 2015   Ivo Josipović   Croatia   Croatian presidential election , 2014 -- 15       2010 -- 2015   Goodluck Jonathan   Nigeria   Nigerian presidential election , 2015       2010 -- 2015   Bronisław Komorowski   Poland   Polish presidential election , 2015       1994 -- 2017   Yahya Jammeh   The Gambia   Gambian presidential election , 2016       2012 -- 2017   John Mahama   Ghana   Ghanaian general election , 2016       2011 -- 2016   Manuel Pinto da Costa   São Tomé and Príncipe   São Toméan presidential election , 2016       2011 -- 2016   Yevgeny Shevchuk   Transnistria   Transnistrian presidential election , 2016       2012 -- 2017   Hassan Sheikh Mohamud   Somalia   Somali presidential election , 2017       2012 -- 2017   Leonid Tibilov   South Ossetia   South Ossetian presidential election , 2017     </t>
  </si>
  <si>
    <t>1992</t>
  </si>
  <si>
    <t xml:space="preserve"> Baily bridge </t>
  </si>
  <si>
    <t>name the highest bridge in the world built by indian army</t>
  </si>
  <si>
    <t xml:space="preserve"> The Baily Bridge is the bridge at the highest elevation in the world . This bridge is located in the Himalayan mountains between the Dras River and Suru River in the Ladakh Valley in the Indian state of Jammu and Kashmir . It is 30 metres ( 98 ft ) long and is at an altitude of 5,602 metres ( 18,379 ft ) above the mean sea level . It is a bailey bridge built in 1982 by the Indian Army . </t>
  </si>
  <si>
    <t>Baily Bridge</t>
  </si>
  <si>
    <t xml:space="preserve"> List of Backward compatible games for Xbox One </t>
  </si>
  <si>
    <t>will xbox 360 disc work on xbox one</t>
  </si>
  <si>
    <t xml:space="preserve"> The Xbox One gaming console has received updates from Microsoft since its launch in 2013 that enable it to play select games from its two predecessor consoles , Xbox and Xbox 360 . On June 15 , 2015 , backward compatibility with supported Xbox 360 games became available to eligible Xbox Preview program users with a beta update to the Xbox One system software . The dashboard update containing backward compatibility was released publicly on November 12 , 2015 . On October 24 , 2017 , another such update added games from the original Xbox library . The following is a list of all backward compatible games on Xbox One under this functionality . </t>
  </si>
  <si>
    <t xml:space="preserve"> How to Pay for the war : a Radical plan for the Chancellor of the Exchequer </t>
  </si>
  <si>
    <t>who wrote an article on war finance titled how to pay for the war</t>
  </si>
  <si>
    <t xml:space="preserve"> How to Pay for the War : A Radical Plan for the Chancellor of the Exchequer is a book by John Maynard Keynes , published in 1940 by Macmillan and Co. , Ltd ... It is an application of Keynesian thinking and principles to a practical economic problem and a relatively late text . Keynes died in 1946 . </t>
  </si>
  <si>
    <t>John Maynard Keynes</t>
  </si>
  <si>
    <t xml:space="preserve"> Quicken Loans Arena </t>
  </si>
  <si>
    <t>where did the cavs play before the gund arena</t>
  </si>
  <si>
    <t xml:space="preserve"> The arena opened in October 1994 as part of the Gateway Sports and Entertainment Complex with adjacent Progressive Field , which opened in April of that year . It is named for the retail mortgage lender Quicken Loans , whose chairman and founder is Dan Gilbert , the majority owner of the Cavaliers , Monsters , and Gladiators . From its opening until August 2005 , it was known as Gund Arena , named for former Cavaliers owner Gordon Gund , after he paid for the naming rights . The Q replaced the Richfield Coliseum as the primary entertainment facility for the region and the home of the Cavaliers , and supplanted the Wolstein Center at Cleveland State University , which opened in 1990 , as the primary concert and athletic venue in downtown Cleveland . </t>
  </si>
  <si>
    <t>the Richfield Coliseum</t>
  </si>
  <si>
    <t xml:space="preserve"> Third Amendment to the United States Constitution </t>
  </si>
  <si>
    <t>the 3rd amendment prohibition on forced boarding of soldiers</t>
  </si>
  <si>
    <t xml:space="preserve"> The Third Amendment ( Amendment III ) to the United States Constitution places restrictions on the quartering of soldiers in private homes without the owner 's consent , forbidding the practice in peacetime . The amendment is a response to Quartering Acts passed by the British parliament during the buildup to the American Revolutionary War , which had allowed the British Army to lodge soldiers in private residences . </t>
  </si>
  <si>
    <t xml:space="preserve"> Nuclear arms race </t>
  </si>
  <si>
    <t>who won the arms race in the cold war</t>
  </si>
  <si>
    <t xml:space="preserve"> Throughout the 1970s , both the Soviet Union and United States replaced old missiles and warheads with newer , more powerful and effective ones . This continued to worsen Soviet - U.S relations . On June 18 , 1979 , the SALT II treaty was signed in Vienna . This treaty limited both sides ' nuclear arsenals and technology . However , this treaty as well as the era of the détente ended with the Soviet Union 's invasion of Afghanistan in January , 1980 . The United States once again significantly increased military and nuclear spending , while the Soviets were unable to respond and continued to pursue the détente . </t>
  </si>
  <si>
    <t>The United States</t>
  </si>
  <si>
    <t xml:space="preserve"> Aroldis Chapman </t>
  </si>
  <si>
    <t>who has the fastest fastball in the mlb</t>
  </si>
  <si>
    <t xml:space="preserve"> On July 11 , 2014 , Chapman broke the record , previously held by Bruce Sutter , for the most consecutive relief appearances with a strikeout , having struck out at least one batter in 40 consecutive appearances . Chapman 's streak began on August 21 , 2013 , and lasted 49 consecutive games over two seasons , with the 49th and final game being on August 13 , 2014 . He shares the record for the fastest recorded pitch speed in MLB history , at 105.1 miles per hour ( 169.1 km / h ) , as well as the Guinness World Record for fastest baseball pitch . </t>
  </si>
  <si>
    <t xml:space="preserve"> Cinco de Mayo </t>
  </si>
  <si>
    <t>where did the cinco de mayo celebration originate</t>
  </si>
  <si>
    <t xml:space="preserve"> Cinco de Mayo ( pronounced ( ˈsiŋko ðe ˈmaʝo ) in Latin America , Spanish for `` Fifth of May '' ) is an annual celebration held on May 5 . The date is observed to commemorate the Mexican Army 's unlikely victory over the French Empire at the Battle of Puebla , on May 5 , 1862 , under the leadership of General Ignacio Zaragoza . </t>
  </si>
  <si>
    <t xml:space="preserve"> San Joaquin Valley </t>
  </si>
  <si>
    <t>where is the san joaquin valley located on a map</t>
  </si>
  <si>
    <t xml:space="preserve"> The San Joaquin Valley ( / ˌsæn hw ɑː ˈkiːn / SAN whah - KEEN ) is the area of the Central Valley of the U.S. state of California that lies south of the Sacramento -- San Joaquin River Delta and is drained by the San Joaquin River . It comprises seven Northern California counties -- all of Kings County ; a majority of Fresno , Merced , Stanislaus counties ; segments of Madera and Tulare counties -- and a majority of Kern County , in Southern California . Although a majority of the valley is rural , it does contain cities such as Fresno , Bakersfield , Stockton , Modesto , Turlock , Porterville , Visalia , Merced , and Hanford . </t>
  </si>
  <si>
    <t xml:space="preserve"> Autograph </t>
  </si>
  <si>
    <t>what is the proper term used for the signature given by celebrities to their fans</t>
  </si>
  <si>
    <t xml:space="preserve"> Autograph also refers to a famous person 's artistic signature . This term is used in particular for the practice of collecting autographs of celebrities . The hobby of collecting autographs is known as philography . </t>
  </si>
  <si>
    <t>Autograph</t>
  </si>
  <si>
    <t xml:space="preserve"> Willy Wonka &amp; the Chocolate Factory </t>
  </si>
  <si>
    <t>who owns willy wonka and the chocolate factory</t>
  </si>
  <si>
    <t xml:space="preserve"> The film tells the story of Charlie Bucket ( Peter Ostrum ) as he receives a Golden Ticket and visits Willy Wonka 's chocolate factory with four other children from around the world . Filming took place in Munich in 1970 , and the film was released by Paramount Pictures on June 30 , 1971 . With a budget of just $3 million , the film received generally positive reviews and earned $4 million by the end of its original run . Paramount distributed the film until 1977 , and beginning in the 1980s , Warner Bros. assumed control of the rights for home entertainment purposes . The film then made an additional $21 million during its re-release by Warner Bros. under its Family Entertainment banner in 1996 . The film became highly popular in part through repeated television airings and home entertainment sales . In 1972 , the film received an Academy Award nomination for Best Original Score , and Wilder was nominated for a Golden Globe as Best Actor in a Musical or Comedy , but lost both to Fiddler on the Roof . The film also introduced the song `` The Candy Man '' , which went on to become a popular hit when recorded by Sammy Davis Jr . In 2014 , the film was selected for preservation in the United States National Film Registry by the Library of Congress as being `` culturally , historically , or aesthetically significant '' . </t>
  </si>
  <si>
    <t>Warner Bros.</t>
  </si>
  <si>
    <t xml:space="preserve"> Sign of the Times ( Harry Styles song ) </t>
  </si>
  <si>
    <t>who directed sign of the times music video</t>
  </si>
  <si>
    <t xml:space="preserve"> Directed by Woodkid , the song 's music video was released on 8 May . It features Styles singing in a meadow , and soaring in the skies , walking on water . A writer from USA Today described Styles to be `` auditioning to be Marvel Comics next superhero or in a new biblical epic '' . It was filmed on the Isle of Skye in Scotland . The video 's stunt pilot , Will Banks , stated that Styles flew more than 1,550 feet high during the shoot . Banks also claimed that no green screen or CGI effects were employed during filming . A stunt double was used for some scenes . </t>
  </si>
  <si>
    <t>Woodkid</t>
  </si>
  <si>
    <t xml:space="preserve"> Once Upon a Time ( season 7 ) </t>
  </si>
  <si>
    <t>who plays cinderella in once upon a time 2017</t>
  </si>
  <si>
    <t xml:space="preserve"> Dania Ramirez as Cinderella / Jacinda </t>
  </si>
  <si>
    <t>Dania Ramirez</t>
  </si>
  <si>
    <t xml:space="preserve"> Kit Harington </t>
  </si>
  <si>
    <t>who plays jon snow in game of thrones</t>
  </si>
  <si>
    <t xml:space="preserve"> Christopher Catesby `` Kit '' Harington ( born 26 December 1986 ) is an English actor and producer . Born in Acton , Greater London , Harington began his career in theatre . His first role was in the National Theatre 's adaptation of War Horse . His film debut was in Silent Hill : Revelation ( 2012 ) . He has since appeared in several feature films , such as the historical romance film Pompeii ( 2014 ) , the computer - animated film How to Train Your Dragon 2 ( 2014 ) , and the British drama film Testament of Youth ( 2014 ) . </t>
  </si>
  <si>
    <t>Christopher Catesby `` Kit '' Harington</t>
  </si>
  <si>
    <t xml:space="preserve"> Probability </t>
  </si>
  <si>
    <t>which term is defined as the chance that a given event will occur</t>
  </si>
  <si>
    <t xml:space="preserve"> Probability is the measure of the likelihood that an event will occur . See glossary of probability and statistics . Probability is quantified as a number between 0 and 1 , where , loosely speaking , 0 indicates impossibility and 1 indicates certainty . The higher the probability of an event , the more likely it is that the event will occur . A simple example is the tossing of a fair ( unbiased ) coin . Since the coin is fair , the two outcomes ( `` heads '' and `` tails '' ) are both equally probable ; the probability of `` heads '' equals the probability of `` tails '' ; and since no other outcomes are possible , the probability of either `` heads '' or `` tails '' is 1 / 2 ( which could also be written as 0.5 or 50 % ) . </t>
  </si>
  <si>
    <t>Probability</t>
  </si>
  <si>
    <t xml:space="preserve"> Pride and Prejudice ( 1940 film ) </t>
  </si>
  <si>
    <t>cast of the 1940 version of pride and prejudice</t>
  </si>
  <si>
    <t xml:space="preserve">  Greer Garson as Elizabeth Bennet   Laurence Olivier as Fitzwilliam Darcy   Mary Boland as Mrs. Bennet   Edna May Oliver as Lady Catherine de Bourgh   Maureen O'Sullivan as Jane Bennet   Ann Rutherford as Lydia Bennet   Frieda Inescort as Caroline Bingley   Edmund Gwenn as Mr. Bennet   Karen Morley as Charlotte Lucas Collins   Heather Angel as Kitty Bennet   Marsha Hunt as Mary Bennet   Melville Cooper as Mr. Collins   Edward Ashley Cooper as George Wickham   Bruce Lester as Mr. Bingley   E.E. Clive as Sir Willam Lucas   Marjorie Wood as Lady Lucas   Vernon Downing as Captain Carter  </t>
  </si>
  <si>
    <t xml:space="preserve"> 90210 ( season 3 ) </t>
  </si>
  <si>
    <t>when do they find out about emily 90210</t>
  </si>
  <si>
    <t xml:space="preserve">   No . overall   No. in season   Title   Directed by   Written by   Original air date   U.S. viewers ( millions )     47     `` Senior Year , Baby ''   Stuart Gillard   Jennie Snyder Urman   September 13 , 2010 ( 2010 - 09 - 13 )   1.96     Beverly Hills is rocked by an earthquake during the first day of the school year . Naomi has spent the summer in isolation , dealing with the aftermath of her rape by Mr. Cannon and keeping it a secret . Annie and Dixon are dealing with the absence of their father who has walked out on the family , while Debbie tries to hold the family together without Harry and a job . Meanwhile , Teddy and Silver find themselves happier than ever until he suffers a leg injury that could end his tennis career forever . Annie applies for an internship at a local theater company called the Abbott Playhouse . Navid welcomes Adrianna back from her tour with Javier , but their arrival brings an unexpected death . Ivy returns from Australia with her an old childhood friend , named Oscar , which makes Dixon uncomfortable . Elsewhere , Annie and Liam confront their feelings for each other .     48     `` Age of Inheritance ''   Liz Friedlander   Padma L. Atluri   September 20 , 2010 ( 2010 - 09 - 20 )   1.83     After turning eighteen , Naomi finds out she can now access the money in her large trust fund , so she decides to throw herself a huge birthday party at the Beach Club where she hires the Honey Brothers band to perform . Meanwhile , Dixon , Navid , and Teddy decide to take Oscar out for a night on the town , but their party ends when Ivy finds a Facebook photo of a drunk Dixon doing a body shot off a girl . Annie has an instant connection with Charlie , a guy she meets at a coffee shop . Jen is forced to go on bed rest until she delivers the baby and has no choice but to allow Ryan into her life . Elsewhere , Adrianna uses Javier 's song book to get back in good favor with the label . Entourage 's Adrian Grenier performs with his band at Naomi 's birthday party .     49     `` 2021 Vision ''   Millicent Shelton   Tod Himmel   September 27 , 2010 ( 2010 - 09 - 27 )   1.96     Naomi has constant flashbacks to her rape and begins taking sleeping pills in order to sleep through the night . Mr. Cannon invites Silver over to his apartment to watch his new documentary and slips something in her drink . Meanwhile , Teddy wakes up from a night of drinking and realizes he hooked up with someone , but does not remember who . Dixon learns that Ivy is a virgin . At her intern job , Annie confronts her boss , Katherine , about her awkward behavior and is shocked when she makes Annie an offer she may not be able to refuse . Adrianna sings another song stolen out of Javier 's songbook at his memorial service , but she soon regrets it when a video of her music number goes viral .     50     `` The Bachelors ''   David Warren   David S. Rosenthal   October 4 , 2010 ( 2010 - 10 - 04 )   1.79     Silver plans a cancer - awareness charity event to honor her late mother and enlists the boys to appear in a bachelor auction . Ian , a theater student at West Bev , is brought in to help choreograph a dance number for the auction , but all comes to a stand - still when Teddy directs some negative words toward him . The two later get into a fight . Meanwhile , Annie and Adrianna discover the truth about Naomi and Mr. Cannon from Silver . Elsewhere , Annie discovers Debbie 's money problems since Harry walked out on her and decides to take Katherine 's offer . A surprising connection between Charlie and Liam is revealed . Javier 's uncle , Victor , begins to blackmail Adrianna with exposure by forcing her to work for him . Also , Ivy and Dixon decide to spend the night together , but Dixon hits the brakes when his ex-girlfriend , Sasha , returns with some life - altering news .     51   5   `` Catch Me If You Cannon ''   Jim Conway   Terrence Coli   October 11 , 2010 ( 2010 - 10 - 11 )   1.81     Silver , Naomi , and Adrianna craft a plan to seduce Mr. Cannon to prove he raped Naomi , but they underestimate his ability to control the situation . Teddy and Ian are forced to do manual labor as a punishment for fighting . Dixon fears for his life and pushes Ivy away , leading her straight into the arms of Oscar ( just as he planned the whole time for ) . Meanwhile , Jen looks for a new assistant and Debbie applies for the job . Debbie also finds out about the arrangement between Annie and Katherine and forbids Annie from fulfilling it .     52   6   `` How Much Is That Liam in the Window ''   Stuart Gillard   David S. Rosenthal &amp; Jennie Snyder Urman   October 25 , 2010 ( 2010 - 10 - 25 )   2.03     When Jen and Ryan find out about Naomi 's rape , Jen decides to take matters into her own hands , while Ryan 's job may be in jeopardy when he encourages Naomi to come forward with him as a witness despite the fact that his own secret about accidentally wrecking the school sign will be revealed . Adrianna 's manager , Victor , continues to blackmail her and goes even further when he encourages her to go topless at a photo - shoot . Annie discovers a darker side of Charlie when she sneaks in to observe a staged reading of his play . Liam lands a job modeling in the window of a clothing store and receives a job opportunity from a mysterious customer , named Laura , that he ca n't refuse . Dixon apologizes to Ivy unaware that she decided to lose her virginity to someone else . Also , Oscar confronts Ivy and Laurel about his shocking past .     53   7   `` I See London , I See France ... ''   Krishna Rao   Scott Weinger   November 1 , 2010 ( 2010 - 11 - 01 )   2.00     Ryan helps Naomi press charges against Mr. Cannon and as a result , both Mr. Cannon and Ryan are suspended from their jobs . Oscar has a run - in with Mr. Cannon and unintentionally helps Naomi with her case when he sets his sights on her as his next conquest . Navid finds out that his father is employing an underage girl in his pornography business . Meanwhile , Ivy tells Dixon what happened between her and Oscar , which he predictably does not take well . Teddy struggles with rumors and innuendo about his suspected impotency . Liam continues his job of carrying purses for Laura , until he finds out that she is a drug dealer running a business right out of her mother 's own house . Elsewhere , Navid and Silver attend the Achievement Awards dinner while Annie , Teddy , Liam , Dixon , Ivy and Ian attend an under - achievement ceremony , called `` The Undies '' , at the Beach Club .     54   8   `` Mother Dearest ''   Oz Scott   Paul Sciarrotta   November 8 , 2010 ( 2010 - 11 - 08 )   1.89     Annie and Dixon drive to Pomona to visit their father , but unexpectedly meet a young woman at his door making them leave without seeing Harry . Later , Debbie tells Annie and Dixon that she knows all about the younger woman living with Harry whom is his new wife . The Wilson family decides to move on by removing all traces Harry 's existence from the house and their lives and from then on live as if Harry never existed . After a series of mishaps with her baby , Jen leaves Jacques with Ryan and leaves town . Ivy and Naomi join forces to humiliate and take down Oscar . Meanwhile , Navid asks Silver to help prove that his father is lying to him about employing underage girls at his studio by asking Silver to go undercover . Also , Victor demands Adrianna attend a red carpet event with Joe Jonas , rather than Navid .     55   9   `` They 're Playing Her Song ''   Rob Hardy   Jennie Snyder Urman &amp; Jenna Lamia   November 15 , 2010 ( 2010 - 11 - 15 )   1.76     Teddy decides to visit a gay bar in West Hollywood , but is forced to turn to Ian for help when he forgets his wallet . Meanwhile , Annie is ready to take her relationship with Charlie to the next level , but is mortified when his college friends catch a glimpse of her in lingerie . Meanwhile , Ryan turns to Debbie for parental advice , and the two end up hooking up . Navid deals with the fallout at school and at home after turning his father in to the authorities . Also , Adrianna continues to be oblivious to Navid 's situation due to her newfound fame .     56   10   `` Best Lei 'd Plans ''   David Warren   David S. Rosenthal &amp; Deborah Schoeneman   November 29 , 2010 ( 2010 - 11 - 29 )   2.01     Naomi jumps back into the dating world and tries to impress one of Ivy 's surfer friends , Zach , by pretending to know how to surf . Still upset with her mother over the Oscar situation , Ivy decides to build a relationship with her estranged father . Not knowing she has feelings for Ryan , Annie and Dixon sign Debbie up for an online dating service . While at the beach luau , Teddy gets jealous when he sees Ian with another guy and allows his feelings to control his actions . Meanwhile , Adrianna and Navid 's relationship becomes strained , leading him into the arms of Silver . Elsewhere , Liam learns more about Laura and of her ex-boyfriend whom he attempts to make jealous in her favor .     57   11   `` Holiday Madness ''   Dennis Smith   Rebecca Sinclair   December 6 , 2010 ( 2010 - 12 - 06 )   2.18     Adrianna leases an expensive new house and throws a housewarming Christmas party to celebrate her new record deal . After having enough of her egotistical attitude , Victor decides to reveal Adrianna 's secret on the Internet . Annie spends the night with Liam when he comes back from the hospital , and the two rekindle their romance . Ivy 's father 's unexpected intentions lead her to reconcile with her mother . After deciding to keep their relationship a secret , Ian and Teddy kiss unaware that Dixon saw them . Meanwhile , Navid and Silver confess their true feelings towards each other ... and share a kiss . Elsewhere , Naomi continues to reject Oscar 's advances whom tries to ask her out on a date to the Christmas party . Naomi attends solo and later returns home not knowing that Mr. Cannon is awaiting her .     58   12   `` Liars ''   Stuart Gillard   Tod Himmel   January 24 , 2011 ( 2011 - 01 - 24 )   1.69     Naomi is taken hostage in her apartment by an out - of - control Mr. Cannon who also lures Silver into the situation . Meanwhile , Annie and Dixon 's cousin Emily from Kansas comes to town for an extended visit , but Emily immediately gets on Annie 's nerves . Dixon confronts Teddy about his kiss with Ian and promises to keep his secret . Ivy has a near fatal accident during surf practice that makes her question her ability to compete in the surf competition . Adrianna 's world continues to crumble when she appears on a talk show to tell her side of the story , and she is blindsided by a surprise guest when Victor appears to give `` his '' side of the story . Given Adrianna 's disastrous situation , Navid and Silver continue to keep their hook - ups a secret .     59   13   `` It 's Getting Hot in Here ''   Liz Friedlander   David S. Rosenthal   January 31 , 2011 ( 2011 - 01 - 31 )   1.67     Naomi , Adrianna , Silver , and Annie decide to have a girls ' weekend and head to a yoga retreat in Ojai . Annie attempts to be a good cousin and invites Emily along for the weekend but confronts her about being a downer on the trip . Emily begins to show her true devious colors when she purposefully neglects to wake Annie up for a sweat lodge session and uses the opportunity to manipulate and turn the rest of the girls against Annie . Naomi , who originally thought the retreat was silly , suddenly decides to extend her stay as a way to recover from her encounter with Mr. Cannon . Silver runs into Navid at the retreat , and the two have a secret rendezvous . Adrianna returns from the retreat and calls a tabloid newspaper to sell an exclusive story . Back in Beverly Hills , Debbie plans a romantic dinner at her house for Ryan , but they are interrupted by Dixon , forcing Ryan to quickly find a place to hide . Elsewhere , Charlie finally realizes that Annie has feelings for Liam , and leaves to study abroad in France .     60   14   `` All About a Boy ''   Harry Sinclair   Paul Sciarrotta   February 7 , 2011 ( 2011 - 02 - 07 )   1.75     Navid breaks up with Adrianna after learning how she used the baby she gave up for adoption to sell a story to a tabloid news magazine . Adrianna then leans on Silver for support and makes a shocking discovery . Meanwhile , Annie gets the opportunity to audition for a play but Emily sabotages her by letting it slip about Debbie 's romance with Ryan . Teddy is being blackmailed and is surprised to find out who is behind it . At Ian 's encouragement , Teddy decides to come out to his friends . Naomi returns from her spiritual retreat and decides to throw a party for Guru Sona but realizes that she may not be the person she thinks she is . Also , Ivy has reservations about getting back in the water after her accident .     61   15   `` Revenge with the Nerd ''   Millicent Shelton   Terrence Coli   February 14 , 2011 ( 2011 - 02 - 14 )   1.37     Dixon and Navid convince a music producer to shoot a music video for Nelly at Shirazi Studios to keep the struggling studio in business . Adrianna 's suspicions about Navid having cheated on her are confirmed , and she informs Silver about her plot for revenge . Meanwhile , Emily attempts to distract Annie in an effort to seduce Liam . Teddy turns to Silver for support after coming out and his breakup with Ian . Elsewhere , reality producers follow Adrianna and her friends around trying to shoot a pilot , and Naomi is surprised by her reaction to a nerdy lab partner , Max , who helps her out with Guru Sona .     62   16   `` It 's High Time ''   Krishna Rao   Padma Alturi   February 21 , 2011 ( 2011 - 02 - 21 )   1.52     The crafty and manipulative Emily continues to cause mayhem in Annie 's life by messing with Liam , her friends , and maliciously gets Annie fired from her internship at the Abbott Playhouse and even goes as far as to provoke Annie into physically attacking her to get her suspended from school . Annie eventually realizes that no one will believe her about the not - so - innocent and no - good Emily 's true nature and begins to work on a plan to defeat Emily at her own game . Meanwhile , Silver convinces Navid to sign the release for Adrianna 's TV reality show to help distract her from their secret relationship . Naomi keeps her feelings for Max to herself . Ivy meets a new guy , named Raj , and they strike up a friendship over their use of medical marijuana . Elsewhere , Dixon , Navid , and Liam take Teddy out on the town to show that they are trying to accept him after his coming out . After watching footage from her Christmas party , Adrianna makes a stunning realization .     63   17   `` Blue Naomi ''   Elizabeth Allen   David S. Rosenthal   February 28 , 2011 ( 2011 - 02 - 28 )   1.45     Naomi attempts to impress Max by dressing up in an Avatar costume , but it does n't get the response that she was aiming for . Dixon and Navid formalize their partnership , and a chance encounter with Snoop Dogg could mean good news for them and Shirazi Studios 2.0 . Adrianna 's vindictive ways deepen after discovering the truth about Navid and Silver 's romance , and she vows to get back at both of them . Meanwhile , Annie and Liam secretly work together to expose Emily for the cynical person that she really is to everyone . As a result , Emily decides to leave town , but does n't tell Debbie of the reason why she is leaving . Elsewhere , Raj confides in Ivy about his past , revealing a shocking secret .     64   18   `` The Enchanted Donkey ''   David Paymer   Story by : Rebecca Sinclair Teleplay by : Rebecca Sinclair &amp; Paul Sciarrotta   April 18 , 2011 ( 2011 - 04 - 18 )   1.72     The group decides to spend spring break in Mexico , where things get out of control for everyone . Naomi brings along Max on the ruse that she intends to ask him for further tutoring with schoolwork . Annie and Liam spend quality time together to take in the scenery until an accident confines Annie to their hotel room . Teddy runs into Tripp , his former boarding school roommate and crush . Ivy uses the time to keep distant from Raj after thinking that he may die soon and confides in Dixon about her recent problems . Meanwhile , the rift between Silver and Adrianna comes to a shocking head .     65   19   `` Nerdy Little Secrets ''   Harry Sinclair   David Rosenberg   April 25 , 2011 ( 2011 - 04 - 25 )   1.74     Naomi becomes tired and more insecure of hiding her relationship with Max and , afraid that he might be cheating on her , follows him to an academic decathlon event to confront him , but soon regrets what happens . Navid becomes worried when Silver begins to behave erratically after Adrianna secretly swipes Silver 's bipolar medication . Meanwhile , Annie forms a bond with Marla Templeton , a veteran actress whom she is hired to work for . Elsewhere , Raj helps Ivy get over her fear of getting into the water again .     66   20   `` Women on the Verge ''   Stuart Gillard   Scott Weinger &amp; Jenna Lamia   May 2 , 2011 ( 2011 - 05 - 02 )   1.47     After receiving some distressing news , Silver has an emotional breakdown , causing Navid and Dixon to stage an intervention . Meanwhile , Annie persuades Marla to attend a Hollywood movie re-release premiere of one of her old films after Marla confides in Annie about her serious health problems . When Teddy discovers Marco has been lying to him , he begins to question if Marco is cheating on him , but learns that Marco is actually hiding something else . Naomi learns that Max was accepted to a college in a different state , while Ryan has an unexpected visitor when Jen Clark returns .     67   21   `` The Prom Before the Storm ''   Mike Listo   David Rosenthal &amp; Terrence Coli   May 9 , 2011 ( 2011 - 05 - 09 )   1.43     Just as everyone is preparing for the upcoming senior prom , Annie and Dixon receive some devastating news concerning their futures when they are told by Debbie that she can not afford to send them to private universities . Meanwhile , Ivy discovers that Raj 's health has taken a turn for the worse . Elsewhere , Adrianna takes the opportunity to try to rekindle her relationship with Navid while Silver is hospitalized in a psych ward following her relapse with her bipolar disorder . Silver begins to figure out that Adrianna may have swiped her medication , but has difficulty convincing Navid . Also , Naomi and Max 's relationship is tested to the limit when she finds out he cheated on a paper for her . Elsewhere , Jen tries to win Ryan back by wanting him to move to Paris with her .     68   22   `` To the Future ! ''   Rebecca Sinclair   Rebecca Sinclair &amp; Paul Sciarotta   May 16 , 2011 ( 2011 - 05 - 16 )   1.64     As graduation looms , Naomi makes a decision that could prevent her from graduating with her class when she takes all the blame for cheating on her term paper to save Max from getting in trouble with her . Meanwhile , Liam tells Annie that he does n't want to go to college with her , and Adrianna is ostrized from the group when they accidentally find out her scheme to get revenge on Silver . The next day , an impromptu wedding takes place as Raj and Ivy get married in a traditional Indian ceremony . Among the group , only Ivy 's mother , Laurel , disapproves of Ivy 's sudden choice to get married for she is aware of Raj 's failing health . Also , Debbie , feeling that there is nothing in California for her anymore , decides to move on with her life by moving to Paris with Ryan . At the end , Naomi visits Max at his house where she tells him that she is pregnant .   </t>
  </si>
  <si>
    <t>Blue Naomi</t>
  </si>
  <si>
    <t xml:space="preserve"> CONCACAF Gold Cup </t>
  </si>
  <si>
    <t>who has won the most concacaf gold cups</t>
  </si>
  <si>
    <t xml:space="preserve">   Team   Winners   Runners - up   Third Place   Fourth Place     Mexico   7 ( 1993 , 1996 , 1998 , 2003 , 2009 , 2011 , 2015 )   1 ( 2007 )   3 ( 1991 , 2013 , 2017 )   --     United States   6 ( 1991 , 2002 , 2005 , 2007 , 2013 , 2017 )   4 ( 1993 , 1998 , 2009 , 2011 )   2 ( 1996 , 2003 )   1 ( 2015 )     Canada   1 ( 2000 )   --   2 ( 2002 , 2007 )   --     Panama   --   2 ( 2005 , 2013 )   2 ( 2011 , 2015 )   --     Jamaica   --   2 ( 2015 , 2017 )   1 ( 1993 )   1 ( 1998 )     Brazil   --   2 ( 1996 , 2003 )   1 ( 1998 )   --     Honduras   --   1 ( 1991 )   4 ( 2005 , 2009 , 2011 , 2013 )   --     Costa Rica   --   1 ( 2002 )   3 ( 1993 , 2009 , 2017 )   2 ( 1991 , 2003 )     Colombia   --   1 ( 2000 )   1 ( 2005 )   --     Peru   --   --   1 ( 2000 )   --     Trinidad and Tobago   --   --   1 ( 2000 )   --     Guadeloupe   --   --   1 ( 2007 )   --     Guatemala   --   --   --   1 ( 1996 )     South Korea   --   --   --   1 ( 2002 )   </t>
  </si>
  <si>
    <t>Mexico</t>
  </si>
  <si>
    <t xml:space="preserve"> Spanish colonization of the Americas </t>
  </si>
  <si>
    <t>when did the spanish came to south america</t>
  </si>
  <si>
    <t xml:space="preserve"> Beginning with the 1492 arrival of Christopher Columbus in the Caribbean and continuing control of vast territory for over three centuries , the Spanish Empire would expand across the Caribbean Islands , half of South America , most of Central America and much of North America ( including present day Mexico , Florida and the Southwestern and Pacific Coastal regions of the United States ) . It is estimated that during the colonial period ( 1492 -- 1832 ) , a total of 1.86 million Spaniards settled in the Americas and a further 3.5 million immigrated during the post-colonial era ( 1850 -- 1950 ) ; the estimate is 250,000 in the 16th century , and most during the 18th century as immigration was encouraged by the new Bourbon Dynasty . </t>
  </si>
  <si>
    <t xml:space="preserve"> History of the Philadelphia Eagles </t>
  </si>
  <si>
    <t>ok google has the eagles ever won a superbowl</t>
  </si>
  <si>
    <t xml:space="preserve"> The history of the Philadelphia Eagles begins in 1933 . In their history , the Eagles have appeared in the Super Bowl three times , losing in their first two appearances but winning the third , in 2018 . They won three NFL Championships , the precursor to the Super Bowl , in four appearances . </t>
  </si>
  <si>
    <t xml:space="preserve"> Nancy Travis </t>
  </si>
  <si>
    <t>who plays vanessa baxter on last man standing</t>
  </si>
  <si>
    <t xml:space="preserve"> From 2011 to 2017 , Travis starred as Vanessa Baxter in the ABC sitcom Last Man Standing . In 2018 , she began starring opposite Michael Douglas in the Netflix comedy series The Kominsky Method . </t>
  </si>
  <si>
    <t xml:space="preserve"> Guardians of the Galaxy ( 1969 team ) </t>
  </si>
  <si>
    <t>when did guardians of the galaxy comic book come out</t>
  </si>
  <si>
    <t xml:space="preserve"> The original Guardians of the Galaxy are a superhero team appearing in American comic books published by Marvel Comics . The Guardians first appear in Marvel Super-Heroes # 18 ( Jan. 1969 ) . </t>
  </si>
  <si>
    <t>Jan. 1969</t>
  </si>
  <si>
    <t xml:space="preserve"> Sea level </t>
  </si>
  <si>
    <t>where is sea level measured in the uk</t>
  </si>
  <si>
    <t xml:space="preserve"> In the UK , the Ordnance Datum ( the 0 metres height on UK maps ) is the mean sea level measured at Newlyn in Cornwall between 1915 and 1921 . Prior to 1921 , the datum was MSL at the Victoria Dock , Liverpool . </t>
  </si>
  <si>
    <t>Newlyn in Cornwall between 1915 and 1921</t>
  </si>
  <si>
    <t xml:space="preserve"> Flight of the Navigator </t>
  </si>
  <si>
    <t>80's movie about a kid in a spaceship</t>
  </si>
  <si>
    <t xml:space="preserve"> Flight of the Navigator is a 1986 American science fiction adventure film directed by Randal Kleiser and written by Mark H. Baker , Michael Burton and Matt MacManus . It stars Joey Cramer as David Freeman , a 12 - year - old boy who is abducted by an alien spaceship and finds himself caught in a world that has changed around him . </t>
  </si>
  <si>
    <t>Flight of the Navigator</t>
  </si>
  <si>
    <t xml:space="preserve"> List of Texas Revolution battles </t>
  </si>
  <si>
    <t>where did the first battle of the texas revolution take place</t>
  </si>
  <si>
    <t xml:space="preserve">   Battle   Location   Date ( s )   Engagement remarks   Victor     Battle of Gonzales   Gonzales   October 2 , 1835   This battle resulted in the first casualties of the Texas Revolution . One Mexican soldier killed       Battle of Goliad   Goliad   October 10 , 1835   Texans captured Presidio La Bahia , blocking the Mexican Army in Texas from accessing the primary Texas port of Copano . One Texan was wounded , and estimates of Mexican casualties range from one to three soldiers killed and from three to seven wounded .       Battle of Lipantitlán   San Patricio   November 4 -- 5 , 1835   Texans captured and destroyed Fort Lipantitlán . Most of the Mexican soldiers retreated to Matamoros . One Texan was wounded , and 3 -- 5 Mexican soldiers were killed , with an additional 14 -- 17 Mexican soldiers wounded .       Battle of Concepción   San Antonio de Bexar   October 28 , 1835   In the last offensive ordered by General Martin Perfecto de Cos during the Texas Revolution , Mexican soldiers surprised a Texan force camped near Mission Concepción . The Texans repulsed several attacks with what historian Alwyn Barr described as `` able leadership , a strong position , and greater firepower '' . One Texan was injured , and Richard Andrews became the first Texan soldier to die in battle . Between 14 and 76 Mexican soldiers were killed . Historian Stephen Hardin believes that `` the relative ease of the victory at Concepción instilled in the Texans a reliance on their long rifles and a contempt for their enemies '' , which may have led to the later Texan defeat at Coleto .       Grass Fight   San Antonio de Bexar   November 26 , 1835   Texans attack a large Mexican army pack train . 4 Texans wounded and 17 Mexican casualties . Resulted in the capture of horses and hay ( grass ) .       Siege of Bexar   San Antonio de Bexar   October 12 -- December 11 , 1835   In a six - week siege , Texans attacked Bexar and fought from house to house for five days . After Cos surrendered , all Mexican troops in Texas were forced to retreat beyond the Rio Grande , leaving the Texans in military control . 150 Mexicans killed or wounded and 35 Texans killed or wounded .       Battle of San Patricio   San Patricio   February 27 , 1836   This was the first battle of the Goliad Campaign . The Johnson - Grant venture , the first battle of the Texas Revolution in which the Mexican Army was the victor . From the Johnson forces , 20 Texans killed , 32 captured and 1 Mexican loss , 4 wounded . Johnson and 4 others escaped after capture and proceeded to Goliad . Johnson would survive the Texas Revolution .       Battle of Agua Dulce   Agua Dulce   March 2 , 1836   Second battle of the Goliad Campaign . Of 27 men of the Grant and Morris forces from the Johnson - Grant venture - 12 / 15 killed ; 6 captured and imprisoned at Matamoros ; Six escaped , of whom five were killed at Goliad Massacre       Battle of the Alamo   San Antonio de Bexar   February 23 -- March 6 , 1836   Mexican President Antonio Lopez de Santa Anna personally oversaw the siege of the Alamo and the subsequent battle , where almost all 189 - 250 Texan defenders were killed . 600 Mexicans killed or wounded . Anger over Santa Anna 's lack of mercy led many Texan settlers to join the Texan Army . ( This battle is considered one of the most famous battles in American history and is the inspiration for dozens of movies and books )       Battle of Refugio   Refugio   March 14 , 1836   Third battle of the Goliad Campaign . Texans inflicted heavy casualties , but split their forces and retreated , ending in capture . About 50 Texans killed and 98 captured with some later executions , 29 spared as laborers , survivors sent to Goliad and possibly 80 - 100 Mexican casualties with 50 wounded .       Battle of Coleto   outside Goliad   March 19 -- 20 , 1836   Final battle of the Goliad Campaign . In an attempt to rendezvous with other Texan forces , the southernmost wing of Texan army brazenly departs their heavily fortified location in the midst of oppositional forces . A battle ensues with 10 Texans killed , 60 wounded and 200 Mexicans killed or wounded . After the second day of fighting , a Texan surrender is agreed upon . Approximately 342 of the captured Texans were not pardoned but were executed on March 27 in the Goliad Massacre with 20 spared and 28 escaped . Anger over Santa Anna 's lack of mercy led many future Texan settlers to join the Texan Army .       Battle of San Jacinto   near modern La Porte , Texas   April 21 , 1836   After an 18 - minute battle , Texans routed Santa Anna 's forces , eventually taking Santa Anna prisoner . This was the last battle of the Texas Revolution . 630 Mexicans killed , 208 wounded , 730 captured and 9 Texans killed , 30 wounded .     </t>
  </si>
  <si>
    <t>Gonzales</t>
  </si>
  <si>
    <t xml:space="preserve"> Nucleotide </t>
  </si>
  <si>
    <t>what are the basic components of a nucleotide</t>
  </si>
  <si>
    <t xml:space="preserve"> Nucleotides are organic molecules that serve as the monomer units for forming the nucleic acid polymers deoxyribonucleic acid ( DNA ) and ribonucleic acid ( RNA ) , both of which are essential biomolecules in all life - forms on Earth . Nucleotides are the building blocks of nucleic acids ; they are composed of three subunit molecules : a nitrogenous base , a five - carbon sugar ( ribose or deoxyribose ) , and at least one phosphate group . They are also known as phosphate nucleotides . </t>
  </si>
  <si>
    <t>a nitrogenous base , a five - carbon sugar ( ribose or deoxyribose ) , and at least one phosphate group</t>
  </si>
  <si>
    <t xml:space="preserve"> Due process clause </t>
  </si>
  <si>
    <t>where is the due process clause found in the constitution</t>
  </si>
  <si>
    <t xml:space="preserve"> The Fifth and Fourteenth Amendments to the United States Constitution each contain a due process clause . Due process deals with the administration of justice and thus the due process clause acts as a safeguard from arbitrary denial of life , liberty , or property by the government outside the sanction of law . The Supreme Court of the United States interprets the clauses more broadly , concluding that these clauses provide four protections : procedural due process ( in civil and criminal proceedings ) , substantive due process , a prohibition against vague laws , and as the vehicle for the incorporation of the Bill of Rights . </t>
  </si>
  <si>
    <t>The Fifth and Fourteenth Amendments</t>
  </si>
  <si>
    <t xml:space="preserve"> Australia 's Big Things </t>
  </si>
  <si>
    <t>where is the big prawn located in australia</t>
  </si>
  <si>
    <t xml:space="preserve">   Name   Location   Built   Size   Notes   Image     Big Ant   Broken Hill   1980     A bull ant sculpture designed by artist Pro Hart , which was erected in 1980 and originally stood at the Stephens Creek Hotel . It was moved to its current location , next to the Tourist Information Centre in Broken Hill , after being donated to the city in 1990 .       Big Apple   Batlow       Located in the middle of an orchard about 3 km north of Batlow , without public access . Only its top is visible from Batlow - Tumut Road , as it is largely blocked by apple trees .       Big Apple   Yerrinbool       Visible from the Hume Highway  - 34.348504 , 150.554299        Big Avocado   Duranbah       Located at Tropical Fruit World .       The Big Axe   Kew   1979   8 m ( 26 ft )   Located alongside the Kew Visitor Information Centre . The original sculpture was replaced in 2002 as a result of ant induced damage .       Big Ayers Rock   North Arm Cove   1990     This 1 / 40 scale model of Uluru was formerly an attraction at Leyland Brothers World , and now forms the roof of the Rock Restaurant . Technically not a `` Big Thing '' ( as it is substantially smaller than the item it is modelled on ) , the Rock Restaurant is loosely grouped with the big things as an object of roadside art .       Big Banana   Coffs Harbour   1964   13 m × 5 m ( 43 ft × 16 ft )   Sometimes claimed to be the first Big Thing in Australia . The Big Banana tourist complex includes a banana - themed souvenir shop , tours of the surrounding plantation and an indoor ski slope .       The Big Beer Can   Cobar   1990   5 m × 2.5 m ( 16.4 ft × 8.2 ft )   The Big Beer Can has a Tooheys New design , and is located above the entrance to the Grand Hotel .       Big Bench   Broken Hill , New South Wales   September 2002     As part of the Landscapes and Backgrounds exhibition , a 2.5 times scale park bench was constructed on the top of the Line of Lode , which is a high hill of mine deposits in the centre of the city of Broken Hill .       The Big Blue Heeler   Muswellbrook   2001   2 m ( 6.6 ft ) high   Located adjacent to the town information centre .       The Big Bogan   Nyngan   2015   3.6 m ( 12 ft ) high   The Big Bogan is the brainchild of Reverend Graham McLeod from Nyngan 's St Mark 's Anglican Church . Located on Pangee Street next to the railway lines .       Big Bottles   Mangrove Mountain and Hanwood             Big Bowl   Lake Cathie , New South Wales       A 10 - foot high replica of a lawn bowl , consisting of one - and - a-half tonnes of steel and concrete .       Big Bull   Wauchope     14 m × 21 m ( 46 ft × 69 ft )   The Big Bull was pulled down in October 2007 .       Big Bunch of Bananas   Coffs Harbour       Formerly located in Sawtell , the Big Bunch of Bananas was relocated when the Pacific Highway bypassed the town and now lie just to the south of Coffs Harbour .       The Big Bicycle   Chullora     9 m × 6 m ( 30 ft × 20 ft )   The bicycle built by Jonh Ridley , Andy Lugiz and Phillip Becker adorns the entrance to the Chullora Waste Transfer Station , Chullora .       Big Cheese   Bodalla       The Big Cheese is located at the former Bodalla cheese factory on the Princes Hwy , Bodalla . It is as of 2013 closed .       Big Cherries   Young       Originally located off Short Street , but moved with the tourist information centre to Lovell Street to the old railway station .       Big Chook   Moonbi   1970s   2 m × 4 m ( 6.6 ft × 13.1 ft )         Big Chook   Mount Vernon     4 m × 4 m ( 13 ft × 13 ft )         Big Fish   Manilla       The Big Fish is located at the Big Fish Roadhouse at 79 Arthur Street Manilla .       Big Flower   Ourimbah             Big Funnel Web Spider   Jamberoo , New South Wales   2015   19.7 m × 22.2 m ( 65 ft × 73 ft )   The Big Funnel Web Spider was built at Jamberoo Action Park located 20 minutes south of Wollongong and is a steel , fibreglass and concrete structure 420 times larger than a female Sydney funnel - web spider . It was awarded a Guinness World Record as the Largest Spider Sculpture in August 2015 .       The Big Gold Panner   Bathurst   1979   5 m × 3 m ( 16.4 ft × 9.8 ft )   Located in front of the Gold Panner Motor Inn .       The Big Gold Pick and Pan   Grenfell   2005   Pick 4 m , Pan 3 m ( diam )   Located between the Goods Shed and historic Station Building at the old Railway Station precinct , just off the northern end of West Street .       The Big Golden Guitar   Tamworth   1988   12 m × 4 m ( 39 ft × 13 ft )   Modelled on the Golden Guitar trophies given to winners at the Country Music Awards of Australia ceremony night during the Tamworth Country Music Festival .       The Big Knight   Knockrow       At the entrance to the Macadamia Castle , a nut - themed park and store .       The Big Hammer   Mudgee       Located at Fairview Artspace in Mudgee is a Tig Crawley 's artwork `` Water Hammer '' . This installation is located in the front garden and has beautiful view of Mudgee and the countryside     The Big Headphones   Newcastle   2015   3 m ( 9.8 ft )   Located on Darby St , this fully operational pair of headphones was designed by Mark Tisdell and built in collaboration with Tom Ireland ( fabrication and design detailing ) , Sean Bell ( graphics ) , Adrian Garner ( electrical engineering ) , Brad Phillips and Rhian Leek ( architectural design ) , with the support of the Darby Street Traders Group .       The Big Kookaburra   Kurri Kurri   2009   4.5 m ( 15 ft )   Sculpture by Chris Fussell . It is located in Rotary Park .       The Big Lamb   Guyra   1988     Erected by the town and district to promote the lamb and potato industries in New England . The lamb is stood over a potato plant .       The Big Merino   Goulburn   1985   15 m × 18 m ( 49 ft × 59 ft )   A sculpture of a merino ram , built in 1985 . Goulburn and The Big Merino were bypassed by the Hume Highway in 1992 , leading to a reduction in visitor numbers . On 26 May 2007 , Rambo ( as the Merino is locally known ) was relocated by low - loader to a new home within sight of the highway .       The Big Miner 's Lamp   Lithgow             Big Mosquito   Hexham   1993     `` Ossie the Mossie '' at the Hexham Bowls Club is modelled on the local Ochlerotatus alternans mosquito species , known as `` Hexham Greys '' . It includes illuminated eyes which switch on at night .       Big Murray Cod   Tocumwal   1967   2 m × 7 m ( 6.6 ft × 23.0 ft )   Located near the corner of Deniliquin Rd and Murray St , near the Murray River .       Big Orange   Tenterfield             The Big Oyster   Taree     12 m × 4 m ( 39 ft × 13 ft )         The Big Playable Guitar   Narrandera   1991   6 m × 2 m ( 19.7 ft × 6.6 ft )   The largest playable guitar in the world .       Ploddy the Dinosaur   Somersby   1963     Situated in the Australian Reptile Park , and commissioned by the Park 's founder , Eric Worrell . The concrete structure , based on the shape of a Diplodocus , is 30 metres long and weighs almost 100 tonnes .       The Big Potato   Robertson   1977   10 m × 4 m ( 33 ft × 13 ft )   A giant potato constructed by farmer Jim Mauger in 1977 .       The Big Poo   Kiama   2002   1 m × 5 m ( 3.3 ft × 16.4 ft )   The Big Poo was built by local residents as a protest against Sydney Water 's decision not to reuse waste water in the area . Built from foam , it was unveiled by Ian Cohen on 29 April 2002 .       The Big Prawn   Ballina   1989   6 m × 9 m ( 20 ft × 30 ft )   On 24 September 2009 , Ballina Shire Council voted to allow the demolition of the Big Prawn , but this permission was never acted upon . Bunnings Warehouse purchased the site in 2011 and refurbished the Prawn as part of the redevelopment . The prawn now sits on a stand next to the entrance of the Bunnings Warehouse carpark .       Big Rabbit Trap   Albert   2013     A Big Rabbit Trap , located on the roof of the Rabbit Trap Hotel .       The Big Rocket   Moree   2009   14 m ( 46 ft ) high   The Big Rocket , launched during the International Year of Astronomy and the 40th anniversary of the first manned moon landing , contains two slides and a space - themed command centre playground .       Big Rubik 's Cube   Maroubra   2008     A cement cube painted as per a Rubik 's Cube on top of a storm water drain on Maroubra Beach .       The Big Slurpee   Coffs Harbour   2009   15.24 m ( 50 ft )   Dismantled in 2009 .       The Big Soldier   Uralla       In front of Hassett 's Military Museum .       The Big Spider   Urana   2009     The Big Spider ( named `` Not so Itsy '' by the artist ) was created by Andrew Whitehead , a nearby resident of the town . The spider commemorates the local football club , who were , for many years , known as the Spiders , and is built from a range of materials -- including a wash tub and a hot dog muffler .       The World 's Biggest Sundial   Singleton       A 25 - foot high sundial presented as a gift from Lemington Mine , to honour the occasion of the Australian Bicentenary . At the time of its creation , it was recognised by the Guinness Book of World Records as the world 's largest sundial , and still lays claim to being the largest one - piece sundial in the Southern hemisphere .       The Big Swan   Dunedoo       In front of the Swan Motel .       Big Tennis Racquet   Barellan   3 October 2009   13.8 m ( 45 ft ) long   Built in honour of Evonne Goolagong , who grew up in Barellan .       The Big Trout   Adaminaby   1973   10 m × 3 m ( 32.8 ft × 9.8 ft )   Designed by Andy Lomnici , the Big Trout is located in the town of Adaminaby , near Lake Eucumbene in the Snowy Mountains . Opened in 1973 , the trout is built from fiberglass over a steel frame .       The Big Trout   Oberon             The Big Turtle   Forster       Carved from timber , the big turtle is located behind the main street of Forster on a riverside boardwalk .       The Big Ugg Boots   Thornton   20 April 2015     Mortels Sheepskin Factory is home to The Big Ugg Boots . These big ugg boots are 13 times the size of a women 's US size 8 ugg boot . The Big Ugg Boots are located in the Hunter Region of NSW .     The Big Windmill   Coffs Harbour   1972     Although work started on the Big Windmill in 1972 , the death of Franz De Kever in 1974 delayed completion until 1982 , as it was not until the site was purchased by Hans Eecen that work was able to resume . The Big Windmill has since changed hands , and is now operated by Mark and Jodi Taylor . The site includes a 41 - room motel and a restaurant .       The Big Wine Barrel   Hanwood , Griffith   1973     Located at the McWilliam 's Winery . The cellar door with historical displays and a giant glass mural are located within .       The Big Wine Bottle   Pokolbin   1998   7 m × 1.5 m ( 23.0 ft × 4.9 ft )   Located at the Hunter Valley Gardens . The neck forms a chimney for an open fire contained within .       The Big Wine Cask   Mourquong     8 m × 6 m ( 26 ft × 20 ft )   Located at the Constellation Stanley winery * Edit - as of Dec 2013 no longer there . Building is , but has been painted out and is not accessible *     </t>
  </si>
  <si>
    <t xml:space="preserve"> Blake Gibbons </t>
  </si>
  <si>
    <t>who plays the stunt man in the geico commercial</t>
  </si>
  <si>
    <t xml:space="preserve"> Blake Gibbons ( born June 21 , 1961 in Kern County , California ) is an American actor with a recurring role as Coleman on the long running Daytime television serial General Hospital . </t>
  </si>
  <si>
    <t>Blake Gibbons</t>
  </si>
  <si>
    <t xml:space="preserve"> English Springer Spaniel </t>
  </si>
  <si>
    <t>difference between a cocker spaniel and springer spaniel</t>
  </si>
  <si>
    <t xml:space="preserve"> The English Springer Spaniel is similar to the English Cocker Spaniel and at first glance the only major difference is the latter 's smaller size . However English Springers also tend to have shorter , and higher - set ears than English Cockers . In addition Springers also tend to have a longer muzzle ; their eyes are not as prominent , and the coat is less abundant . The major differences between the Welsh Springer and the English Springer are that the Welsh have more limited colours and tend to be slightly smaller . </t>
  </si>
  <si>
    <t xml:space="preserve"> The Mother of parliaments ( expression ) </t>
  </si>
  <si>
    <t>why is the british parliament known as the mother of parliaments</t>
  </si>
  <si>
    <t xml:space="preserve"> The expression is often applied to the Parliament of the United Kingdom because of the adoption of the Westminster model of parliamentary democracy by many countries of the former British Empire . </t>
  </si>
  <si>
    <t>because of the adoption of the Westminster model of parliamentary democracy by many countries of the former British Empire</t>
  </si>
  <si>
    <t xml:space="preserve"> Madam Secretary ( TV series ) </t>
  </si>
  <si>
    <t>who plays the cia director on madam secretary</t>
  </si>
  <si>
    <t xml:space="preserve"> Patrick Breen as Andrew Munsey ( season 1 ) , the Director of the CIA and a protégé of President Dalton . </t>
  </si>
  <si>
    <t>Patrick Breen</t>
  </si>
  <si>
    <t xml:space="preserve"> Super Bowl curse </t>
  </si>
  <si>
    <t>when was the last time a superbowl team played at home</t>
  </si>
  <si>
    <t xml:space="preserve"> So far no team has yet managed to reach the championship game in their home stadium , or even come close . Only two NFL teams have reached the Super Bowl hosted in their home market : the San Francisco 49ers , who played Super Bowl XIX in Stanford Stadium , rather than Candlestick Park , and the Los Angeles Rams , who played Super Bowl XIV in the Rose Bowl , rather than the Los Angeles Memorial Coliseum . Besides those two , the only other Super Bowl venue that was not the home stadium to an NFL team at the time was Rice Stadium in Houston : the Houston Oilers had played there previously , but moved to the Astrodome several years prior to Super Bowl VIII . The Miami Orange Bowl was the only AFL stadium to host a Super Bowl and the only stadium to host consecutive Super Bowls , hosting Super Bowl II and III . MetLife Stadium , which hosted Super Bowl XLVIII , is the home stadium of two NFL teams : the New York Giants and the New York Jets . </t>
  </si>
  <si>
    <t xml:space="preserve"> Cold War </t>
  </si>
  <si>
    <t>when does the cold war start and end</t>
  </si>
  <si>
    <t xml:space="preserve"> The Cold War was a state of geopolitical tension after World War II between powers in the Eastern Bloc ( the Soviet Union and its satellite states ) and powers in the Western Bloc ( the United States , its NATO allies and others ) . Historians do not fully agree on the dates , but a common timeframe is the period between 1947 , the year the Truman Doctrine , a U.S. foreign policy pledging to aid nations threatened by Soviet expansionism , was announced , and either 1989 , when communism fell in Eastern Europe , or 1991 , when the Soviet Union collapsed . The term `` cold '' is used because there was no large - scale fighting directly between the two sides , but they each supported major regional wars known as proxy wars . </t>
  </si>
  <si>
    <t xml:space="preserve"> Religion in the Soviet Union </t>
  </si>
  <si>
    <t>what was the official religion of the soviet union</t>
  </si>
  <si>
    <t xml:space="preserve"> The Soviet Union was established by the Bolsheviks in 1922 , in place of the Russian Empire . At the time of the 1917 Revolution , the Russian Orthodox Church was deeply integrated into the autocratic state , enjoying official status . This was a significant factor that contributed to the Bolshevik attitude to religion and the steps they took to control it . Thus the USSR became the first state to have as one objective of its official ideology the elimination of existing religion , and the prevention of future implanting of religious belief , with the goal of establishing state atheism ( gosateizm ) . Under the doctrine of state atheism in the Soviet Union , there was a `` government - sponsored program of conversion to atheism '' conducted by Communists . The communist regime targeted religions based on State interests , and while most organized religions were never outlawed , religious property was confiscated , believers were harassed , and religion was ridiculed while atheism was propagated in schools . In 1925 the government founded the League of Militant Atheists to intensify the persecution . Accordingly , although personal expressions of religious faith were not explicitly banned , a strong sense of social stigma was imposed on them by the official structures and mass media and it was generally considered unacceptable for members of certain professions ( teachers , state bureaucrats , soldiers ) to be openly religious . </t>
  </si>
  <si>
    <t>atheism</t>
  </si>
  <si>
    <t xml:space="preserve"> Dependent and independent variables </t>
  </si>
  <si>
    <t>a variable that measures an outcome or result of a study</t>
  </si>
  <si>
    <t xml:space="preserve"> In mathematical modeling , statistical modeling and experimental sciences , the values of dependent variables depend on the values of independent variables . The dependent variables represent the output or outcome whose variation is being studied . The independent variables represent inputs or causes , i.e. , potential reasons for variation or , in the experimental setting , the variable controlled by the experimenter . Models and experiments test or determine the effects that the independent variables have on the dependent variables . Sometimes , independent variables may be included for other reasons , such as for their potential confounding effect , without a wish to test their effect directly . </t>
  </si>
  <si>
    <t xml:space="preserve"> Crazy Little Thing Called Love </t>
  </si>
  <si>
    <t>who wrote crazy little thing called love original artist</t>
  </si>
  <si>
    <t xml:space="preserve"> `` Crazy Little Thing Called Love '' is a song by the British rock band Queen . Written by Freddie Mercury in 1979 , the track is included on their 1980 album The Game , and also appears on the band 's compilation album , Greatest Hits in 1981 . The song peaked at number two in the UK Singles Chart in 1979 , and became the group 's first number - one single on the Billboard Hot 100 in the US in 1980 , remaining there for four consecutive weeks . It topped the Australian ARIA Charts for seven weeks . </t>
  </si>
  <si>
    <t>Freddie Mercury</t>
  </si>
  <si>
    <t xml:space="preserve"> The Chase ( US Game Show ) </t>
  </si>
  <si>
    <t>is the game show the chase still on tv</t>
  </si>
  <si>
    <t xml:space="preserve"> After Fox passed up the opportunity to add the series to its lineup , Game Show Network ( GSN ) , in conjunction with ITV Studios America , picked up the series with an eight - episode order on April 9 , 2013 , and announced Brooke Burns as the show 's host and Labbett as the chaser on May 29 . Dan Patrick had originally been considered as the host . The first season premiered on August 6 , 2013 . Even though the show had not yet premiered at the time , the network ordered a second season of eight episodes on July 1 , 2013 , which premiered on November 5 . Citing the series ' status as a `` ratings phenom '' , GSN eventually announced plans to renew it for a third season , which premiered in the summer of 2014 . During the third season , the series also premiered its first celebrity edition with celebrity contestants playing for charity . GSN proceeded to renew the series for a fourth season before the end of season three ; this new season began airing January 27 , 2015 . After the seventh episode of the season , the series went on another hiatus ; new episodes from the fourth season resumed airing July 16 , 2015 . No new episodes have aired since the season four finale , which aired December 11 , 2015 . </t>
  </si>
  <si>
    <t xml:space="preserve"> The Good Doctor ( TV series ) </t>
  </si>
  <si>
    <t>who is the actor that plays the good dr</t>
  </si>
  <si>
    <t xml:space="preserve"> The series stars Freddie Highmore as Shaun Murphy , a young surgical resident with autism and savant syndrome at San Jose St. Bonaventure Hospital . Antonia Thomas , Nicholas Gonzalez , Beau Garrett , Hill Harper , Richard Schiff , and Tamlyn Tomita also star in the show . The series received a put pilot commitment at ABC after a previous attempted series did not move forward at CBS Television Studios in 2015 ; The Good Doctor was ordered to series in May 2017 . On October 3 , 2017 , ABC picked up the series for a full season of 18 episodes . The series is primarily filmed in Vancouver , British Columbia . </t>
  </si>
  <si>
    <t xml:space="preserve"> Resource - Based View </t>
  </si>
  <si>
    <t>the resourced based view of the firm (rbv school) is</t>
  </si>
  <si>
    <t xml:space="preserve"> The Resource - Based View ( RBV ) is an economic tool used to determine the strategic resources available to a firm . These resources can be exploited by the firm in order to achieve sustainable competitive advantage . Barney ( 1991 ) formalised this theory , although it was Wernerfelt ( 1984 ) who introduced the idea of resource position barriers being roughly analogous to entry barriers in the positioning school ( see Porter , 1980 ) . RBV proposed that firms are heterogenous because they possess heterogenous resources . </t>
  </si>
  <si>
    <t>an economic tool used to determine the strategic resources available to a firm</t>
  </si>
  <si>
    <t xml:space="preserve"> Myelin </t>
  </si>
  <si>
    <t>the myelin sheath that covers many cns axons is formed by</t>
  </si>
  <si>
    <t xml:space="preserve"> Myelin is a lipid - rich ( fatty ) substance formed in the central nervous system ( CNS ) by glial cells called oligodendrocytes , and in the peripheral nervous system ( PNS ) by Schwann cells . Myelin insulates nerve cell axons to increase the speed at which information ( encoded as an electrical signal ) travels from one nerve cell body to another ( as in the CNS ) or , for example , from a nerve cell body to a muscle ( as in the PNS ) . The myelinated axon can be likened to an electrical wire ( the axon ) with insulating material ( myelin ) around it . However , unlike the plastic covering on an electrical wire , myelin does not form a single long sheath over the entire length of the axon . Rather , each myelin sheath insulates the axon over a single section and , in general , each axon comprises multiple long myelinated sections separated from each other by short gaps . Each myelin sheath is formed by the concentric wrapping of an oligodendrocyte or Schwann cell process around the axon . </t>
  </si>
  <si>
    <t>the concentric wrapping of an oligodendrocyte or Schwann cell process around the axon</t>
  </si>
  <si>
    <t xml:space="preserve"> The frog and the ox </t>
  </si>
  <si>
    <t>the story of the frog and the ox</t>
  </si>
  <si>
    <t xml:space="preserve"> The Frog and the Ox appears among Aesop 's Fables and is numbered 376 in the Perry Index . The story concerns a frog that tries to inflate itself to the size of an ox , but bursts in the attempt . It has usually been applied to socio - economic relations . </t>
  </si>
  <si>
    <t xml:space="preserve"> The Wasp Factory </t>
  </si>
  <si>
    <t>who does frank kill in the wasp factory</t>
  </si>
  <si>
    <t xml:space="preserve"> It is revealed that when Frank was much younger , he killed three of his relatives : two cousins and his younger brother . He also exhumed the skull of the dog that castrated him , and he uses it as part of his rituals . </t>
  </si>
  <si>
    <t>three of his relatives : two cousins and his younger brother</t>
  </si>
  <si>
    <t xml:space="preserve"> Swimming World high school teams of the year </t>
  </si>
  <si>
    <t>swimming world high school teams of the year</t>
  </si>
  <si>
    <t xml:space="preserve">   Year   Boys HS   Boys Prep   Girls HS   Girls Prep     1971   Prep   N / A   N / A   N / A     1972   St Hilary   N / A   N / A   N / A     1973   Prep   N / A   N / A   N / A       Santa Clara   N / A   N / A   N / A       Santa Clara   N / A   N / A   N / A     1976   Jacksonville Episcopal   N / A   Upper Dublin   N / A     1977   Mission Viejo   The Peddie School   Mission Viejo   N / A     1978   Mission Viejo   Jesuit   Mission Viejo   N / A     1979   Mission Viejo   The Hill School   Mission Viejo   N / A     1980   Mission Viejo   Loyola - Blakefield   Mission Viejo   N / A     1981   Mission Viejo   Mercersburg   Mission Viejo   N / A     1982   Mission Viejo   Mercersburg   Mission Viejo   The Peddie School       Mission Viejo   Mercersburg   Mission Viejo   Mercersburg     1984   Campolindo   Mercersburg   Mission Viejo   The Bolles School     1985   Mission Viejo   Germantown Academy   Mission Viejo   The Bolles School     1986   Mission Viejo   Germantown Academy   Mission Viejo   Germantown Academy       Mission Viejo   Mercersburg   Spanish River   Germantown Academy       Hinsdale South   Mercersburg   Edina   St. Andrews       Churchill   Bellarmine Prep   Mission Viejo   The Peddie School       Churchill   The Peddie School   North Penn   The Peddie School     1991   San Marino   The Peddie School   Conroe McCullough   The Peddie School       Plano   St. Xavier   Americus   Germantown Academy       Humble Kingwood   Jesuit   Davis   Pine Crest       Humble Kingwood   St. Xavier   Davis   Germantown Academy     1995   Humble Kingwood   The Peddie School   Carmel   The Bolles School       Cypress Creek   The Peddie School   Carmel   The Bolles School       Cypress Creek   Brother Rice   Shadow Mountain   The Bolles School     1998   The Woodlands   The Bolles School   Carmel   The Bolles School     1999   The Woodlands   The Bolles School   St. Charles   Trinity Prep     2000   Firestone   The Bolles School   St. Charles   The Bolles School       Evanston Township   St. Xavier   Irvine   Ursuline Academy     2002   Firestone   St. Xavier   Irvine   Ursuline Academy     2003   Lake Forest   St. Xavier   Ann Arbor Pioneer   Ursuline Academy       Carmel   St. Xavier   Lake Forest   The Bolles School     2005   Upper Arlington   Brophy Prep   Ann Arbor Pioneer   Germantown Academy     2006   Humble Kingwood   The Bolles School   Ann Arbor Pioneer   Germantown Academy     2007   New Trier   Bellarmine Prep   Austin Westlake   Germantown Academy     2008   Yucaipa   The Baylor School   Austin Westlake   Germantown Academy     2009   Saratoga High   The Baylor School   Carmel   The Baylor School       Hershey High   The Bolles School   Carmel   Carondelet     2011   Hershey High   The Bolles School   Carmel   The Bolles School     2012   New Trier   The Bolles School   Holand   The Bolled School     2013   Campolindo   The Bolles School   Carmel   JSerra Catholic     2014   Chesterton   The Bolles School   Carmel   Crean Lutheran     2015   Upper St. Clair   The Bolles School   Carmel   Crean Lutheran     2016   Upper Dublin   La Salle   Carmel   Sacred Heart     2017   Carmel   Cincinnati St. Xavier   Carmel   Santa Margarita Catholic   </t>
  </si>
  <si>
    <t xml:space="preserve"> Anno Domini </t>
  </si>
  <si>
    <t>what is the meaning of ad and bc</t>
  </si>
  <si>
    <t xml:space="preserve"> The terms anno Domini ( AD ) and before Christ ( BC ) are used to label or number years in the Julian and Gregorian calendars . The term anno Domini is Medieval Latin and means `` in the year of the Lord '' , but is often presented using `` our Lord '' instead of `` the Lord '' , taken from the full original phrase `` anno Domini nostri Jesu Christi '' , which translates to `` in the year of our Lord Jesus Christ '' . </t>
  </si>
  <si>
    <t>who is the leading scorer in the nba</t>
  </si>
  <si>
    <t xml:space="preserve">   Rank   Player   Position ( s )   Team ( s ) played for ( years )   Total points   Games played   Points per game average   Field goals made   Three - point field goals made   Free throws made       Kareem Abdul - Jabbar *     Milwaukee Bucks ( 1969 -- 1975 ) Los Angeles Lakers ( 1975 -- 1989 )   38,387   1,560   24.6   15,837     6,712       Karl Malone *   PF   Utah Jazz ( 1985 -- 2003 ) Los Angeles Lakers ( 2003 -- 2004 )   36,928   1,476   25.0   13,528   85   9,787       Kobe Bryant   SG   Los Angeles Lakers ( 1996 -- 2016 )   33,643   1,346   25.0   11,719   1,827   8,378       Michael Jordan *   SG   Chicago Bulls ( 1984 -- 1993 , 1995 -- 1998 ) Washington Wizards ( 2001 -- 2003 )   32,292   1,072   30.1   12,192   581   7,327     5   Wilt Chamberlain *     Philadelphia / San Francisco Warriors ( 1959 -- 1965 ) Philadelphia 76ers ( 1965 -- 1968 ) Los Angeles Lakers ( 1968 -- 1973 )   31,419   1,045   30.1   12,681   0   6,057     6   LeBron James ^   SF / PF   Cleveland Cavaliers ( 2003 -- 2010 , 2014 -- 2018 ) Miami Heat ( 2010 -- 2014 ) Los Angeles Lakers ( 2018 -- present )   31,231   1,150   27.2   11,350   1,626   6,905     7   Dirk Nowitzki ^   PF / C   Dallas Mavericks ( 1999 -- present )   31,187   1,471   21.2   11,034   1,918   7,201     8   Shaquille O'Neal *     Orlando Magic ( 1992 -- 1996 ) Los Angeles Lakers ( 1996 -- 2004 ) Miami Heat ( 2004 -- 2008 ) Phoenix Suns ( 2008 -- 2009 ) Cleveland Cavaliers ( 2009 -- 2010 ) Boston Celtics ( 2010 -- 2011 )   28,596   1,207   23.7   11,330     5,935     9   Moses Malone *     Buffalo Braves ( 1976 ) Houston Rockets ( 1976 -- 1982 ) Philadelphia 76ers ( 1982 -- 1986 , 1993 -- 1994 ) Washington Bullets ( 1986 -- 1988 ) Atlanta Hawks ( 1988 -- 1991 ) Milwaukee Bucks ( 1991 -- 1993 ) San Antonio Spurs ( 1994 -- 1995 )   27,409   1,329   20.6   9,435   8   8,531     10   Elvin Hayes *   PF / C   San Diego / Houston Rockets ( 1968 -- 1972 , 1981 -- 1984 ) Baltimore / Capital / Washington Bullets ( 1972 -- 1981 )   27,313   1,303   21.0   10,976   5   5,356     11   Hakeem Olajuwon *     Houston Rockets ( 1984 -- 2001 ) Toronto Raptors ( 2001 -- 2002 )   26,946   1,238   21.8   10,749   25   5,423     12   Oscar Robertson *   PG   Cincinnati Royals ( 1960 -- 1970 ) Milwaukee Bucks ( 1970 -- 1974 )   26,710   1,040   25.7   9,508   0   7,694     13   Dominique Wilkins *   SF   Atlanta Hawks ( 1982 -- 1994 ) Los Angeles Clippers ( 1994 ) Boston Celtics ( 1994 -- 1995 ) San Antonio Spurs ( 1996 -- 1997 ) Orlando Magic ( 1999 )   26,668   1,074   24.8   9,963   711   6,031     14   Tim Duncan   PF / C   San Antonio Spurs ( 1997 -- 2016 )   26,496   1,392   19.0   10,285   30   5,896     15   Paul Pierce   SF / SG   Boston Celtics ( 1999 -- 2013 ) Brooklyn Nets ( 2013 -- 2014 ) Washington Wizards ( 2014 -- 2015 ) Los Angeles Clippers ( 2015 -- 2017 )   26,397   1,343   19.7   8,668   2,143   6,918     16   John Havlicek *   SF / SG   Boston Celtics ( 1962 -- 1978 )   26,395   1,270   20.8   10,513   0   5,369     17   Kevin Garnett   PF / C   Minnesota Timberwolves ( 1995 -- 2007 , 2015 -- 2016 ) Boston Celtics ( 2007 -- 2013 ) Brooklyn Nets ( 2013 -- 2015 )   26,071   1,462   17.8   10,505   174   4,887     18   Alex English *   SF   Milwaukee Bucks ( 1976 -- 1978 ) Indiana Pacers ( 1978 -- 1980 ) Denver Nuggets ( 1980 -- 1990 ) Dallas Mavericks ( 1990 -- 1991 )   25,613   1,193   21.5   10,659   18   4,277     19   Carmelo Anthony ^   SF   Denver Nuggets ( 2003 -- 2011 ) New York Knicks ( 2011 -- 2017 ) Oklahoma City Thunder ( 2017 -- 2018 ) Houston Rockets ( 2018 -- present )   25,488   1,059   24.1   9,114   1,353   5,907     20   Reggie Miller *   SG   Indiana Pacers ( 1987 -- 2005 )   25,279   1,389   18.2   8,241   2,560   6,237     21   Jerry West *   PG / SG   Los Angeles Lakers ( 1960 -- 1974 )   25,192   932   27.0   9,016   0   7,160     22   Vince Carter ^   SG / SF   Toronto Raptors ( 1999 -- 2004 ) New Jersey Nets ( 2004 -- 2009 ) Orlando Magic ( 2009 -- 2010 ) Phoenix Suns ( 2010 -- 2011 ) Dallas Mavericks ( 2011 -- 2014 ) Memphis Grizzlies ( 2014 -- 2017 ) Sacramento Kings ( 2017 -- 2018 ) Atlanta Hawks ( 2018 -- present )   24,915   1,411   17.7   9,005   2,117   4,788     23   Patrick Ewing *     New York Knicks ( 1985 -- 2000 ) Seattle SuperSonics ( 2000 -- 2001 ) Orlando Magic ( 2001 -- 2002 )   24,815   1,183   21.0   9,702   19   5,392     24   Ray Allen *   SG   Milwaukee Bucks ( 1996 -- 2003 ) Seattle SuperSonics ( 2003 -- 2007 ) Boston Celtics ( 2007 -- 2012 ) Miami Heat ( 2012 -- 2014 )   24,505   1,300   18.9   8,567   2,973   4,398     25   Allen Iverson *   SG / PG   Philadelphia 76ers ( 1996 -- 2006 , 2009 -- 2010 ) Denver Nuggets ( 2006 -- 2008 ) Detroit Pistons ( 2008 -- 2009 ) Memphis Grizzlies ( 2009 )   24,368   914   26.7   8,467   1,059   6,375     26   Charles Barkley *   PF   Philadelphia 76ers ( 1984 -- 1992 ) Phoenix Suns ( 1992 -- 1996 ) Houston Rockets ( 1996 -- 2000 )   23,757   1,073   22.1   8,435   538   6,349     27   Robert Parish *     Golden State Warriors ( 1976 -- 1980 ) Boston Celtics ( 1980 -- 1994 ) Charlotte Hornets ( 1994 -- 1996 ) Chicago Bulls ( 1996 -- 1997 )   23,334   1,611   14.5   9,614   0   4,106     28   Adrian Dantley *   SF   Buffalo Braves ( 1976 -- 1977 ) Indiana Pacers ( 1977 ) Los Angeles Lakers ( 1977 -- 1979 ) Utah Jazz ( 1979 -- 1986 ) Detroit Pistons ( 1986 -- 1989 ) Dallas Mavericks ( 1989 -- 1990 ) Milwaukee Bucks ( 1991 )   23,177   955   24.3   8,169   7   6,832     29   Elgin Baylor *   SF   Minneapolis / Los Angeles Lakers ( 1958 -- 1971 )   23,149   846   27.4   8,693   0   5,763     30   Clyde Drexler *   SG   Portland Trail Blazers ( 1983 -- 1995 ) Houston Rockets ( 1995 -- 1998 )   22,195   1,086   20.4   8,335   827   4,698     31   Dwyane Wade ^   SG   Miami Heat ( 2003 -- 2016 , 2018 -- present ) Chicago Bulls ( 2016 -- 2017 ) Cleveland Cavaliers ( 2017 -- 2018 )   22,155   988   22.4   8,066   472   5,551     32   Gary Payton *   PG   Seattle SuperSonics ( 1990 -- 2003 ) Milwaukee Bucks ( 2003 ) Los Angeles Lakers ( 2003 -- 2004 ) Boston Celtics ( 2004 -- 2005 ) Miami Heat ( 2005 -- 2007 )   21,813   1,335   16.3   8,708   1,132   3,265     33   Larry Bird *   SF / PF   Boston Celtics ( 1979 -- 1992 )   21,791   897   24.3   8,591   649   3,960     34   Hal Greer *   SG / PG   Syracuse Nationals / Philadelphia 76ers ( 1958 -- 1973 )   21,586   1,122   19.2   8,504   0   4,578     35   Kevin Durant ^   SF   Seattle SuperSonics / Oklahoma City Thunder ( 2007 -- 2016 ) Golden State Warriors ( 2016 -- present )   21,139   779   27.1   7,178   1,445   5,338     36   Walt Bellamy *     Chicago Packers / Zephyrs / Baltimore Bullets ( 1961 -- 1965 ) New York Knicks ( 1965 -- 1968 ) Detroit Pistons ( 1968 -- 1970 ) Atlanta Hawks ( 1970 -- 1974 ) New Orleans Jazz ( 1974 )   20,941   1,043   20.1   7,914   0   5,113     37   Bob Pettit *   PF / C   Milwaukee / St. Louis Hawks ( 1954 -- 1965 )   20,880   792   26.4   7,349   0   6,182     38   Pau Gasol ^   C / PF   Memphis Grizzlies ( 2001 -- 2008 ) Los Angeles Lakers ( 2008 -- 2014 ) Chicago Bulls ( 2014 -- 2016 ) San Antonio Spurs ( 2016 -- present )   20,815   1,202   17.3   7,951   176   4,737     39   David Robinson *     San Antonio Spurs ( 1989 -- 2003 )   20,790   987   21.1   7,365   25   6,035     40   George Gervin *   SG / SF   San Antonio Spurs ( 1976 -- 1985 ) Chicago Bulls ( 1985 -- 1986 )   20,708   791   26.2   8,045   77   4,541     41   Mitch Richmond *   SG   Golden State Warriors ( 1988 -- 1991 ) Sacramento Kings ( 1991 -- 1998 ) Washington Wizards ( 1999 -- 2001 ) Los Angeles Lakers ( 2001 -- 2002 )   20,497   976   21.0   7,305   1,326   4,561     42   Joe Johnson ^   SG / SF   Boston Celtics ( 2001 -- 2002 ) Phoenix Suns ( 2002 -- 2005 ) Atlanta Hawks ( 2005 -- 2012 ) Brooklyn Nets ( 2012 -- 2016 ) Miami Heat ( 2016 ) Utah Jazz ( 2016 -- 2018 ) Houston Rockets ( 2018 )   20,405   1,276   16.0   7,822   1,978   2,783     43   Tom Chambers   PF   San Diego Clippers ( 1981 -- 1983 ) Seattle SuperSonics ( 1983 -- 1988 ) Phoenix Suns ( 1988 -- 1993 ) Utah Jazz ( 1993 -- 1995 ) Charlotte Hornets ( 1997 ) Philadelphia 76ers ( 1997 )   20,049   1,107   18.1   7,378   227   5,066     44   Antawn Jamison   PF / SF   Golden State Warriors ( 1999 -- 2003 ) Dallas Mavericks ( 2003 -- 2004 ) Washington Wizards ( 2004 -- 2010 ) Cleveland Cavaliers ( 2010 -- 2012 ) Los Angeles Lakers ( 2012 -- 2013 ) Los Angeles Clippers ( 2013 -- 2014 )   20,042   1,083   18.5   7,679   1,163   3,521     45   John Stockton *   PG   Utah Jazz ( 1984 -- 2003 )   19,711   1,504   13.1   7,039   845   4,788     46   Bernard King *   SF   New Jersey Nets ( 1977 -- 1979 , 1993 ) Utah Jazz ( 1979 ) Golden State Warriors ( 1980 -- 1982 ) New York Knicks ( 1982 -- 1985 , 1987 ) Washington Bullets ( 1987 -- 1991 )   19,655   874   22.5   7,830   23   3,972     47   Clifford Robinson   PF / SF   Portland Trail Blazers ( 1989 -- 1997 ) Phoenix Suns ( 1997 -- 2001 ) Detroit Pistons ( 2001 -- 2003 ) Golden State Warriors ( 2003 -- 2005 ) New Jersey Nets ( 2005 -- 2007 )   19,591   1,380   14.2   7,389   1,253   3,560     48   Walter Davis   SG / SF   Phoenix Suns ( 1977 -- 1988 ) Denver Nuggets ( 1988 -- 1991 , 1991 -- 1992 ) Portland Trail Blazers ( 1991 )   19,521   1,033   18.9   8,118   157   3,128     49   Terry Cummings   PF   San Diego Clippers ( 1982 -- 1984 ) Milwaukee Bucks ( 1984 -- 1989 , 1995 -- 1996 ) San Antonio Spurs ( 1989 -- 1995 ) Seattle SuperSonics ( 1996 -- 1997 ) Philadelphia 76ers ( 1997 -- 1998 ) New York Knicks ( 1998 ) Golden State Warriors ( 1999 -- 2000 )   19,460   1,183   16.4   8,045   44   3,326     50   Bob Lanier *     Detroit Pistons ( 1970 -- 1980 ) Milwaukee Bucks ( 1980 -- 1984 )   19,248   959   20.1   7,761     3,724   </t>
  </si>
  <si>
    <t xml:space="preserve"> When Calls the Heart </t>
  </si>
  <si>
    <t>who plays mr coulter on when calls the heart</t>
  </si>
  <si>
    <t xml:space="preserve"> Kavan Smith as Leland Coulter </t>
  </si>
  <si>
    <t>Kavan Smith</t>
  </si>
  <si>
    <t xml:space="preserve"> Gone with the Wind ( film ) </t>
  </si>
  <si>
    <t>where does the movie gone with the wind take place</t>
  </si>
  <si>
    <t xml:space="preserve"> Gone with the Wind is a 1939 American epic historical romance film , adapted from Margaret Mitchell 's 1936 novel of the same name . The film was produced by David O. Selznick of Selznick International Pictures and directed by Victor Fleming . Set in the American South against the backdrop of the American Civil War and the Reconstruction era , the film tells the story of Scarlett O'Hara , the strong - willed daughter of a Georgia plantation owner . It follows her romantic pursuit of Ashley Wilkes , who is married to his cousin , Melanie Hamilton , and her subsequent marriage to Rhett Butler . The leading roles are played by Vivien Leigh ( Scarlett ) , Clark Gable ( Rhett ) , Leslie Howard ( Ashley ) , and Olivia de Havilland ( Melanie ) . </t>
  </si>
  <si>
    <t>the American South</t>
  </si>
  <si>
    <t xml:space="preserve"> Visa policy of Taiwan </t>
  </si>
  <si>
    <t>do i need a visa to go to taiwan from us</t>
  </si>
  <si>
    <t xml:space="preserve"> In addition , holders of emergency or temporary passports with validity of more than 6 months issued by visa - exempt countries are eligible for visa on arrival for a fee . The duration of stay is 30 days regardless of nationality and can not be extended . This measure does not apply to holders of emergency or temporary passports issued by Japan or the United States as they are visa exempt . </t>
  </si>
  <si>
    <t xml:space="preserve"> Three - point field goal </t>
  </si>
  <si>
    <t>when did the nba institute the 3 point shot</t>
  </si>
  <si>
    <t xml:space="preserve"> In the 1979 -- 80 season , after having tested it in the previous pre-season , the NBA adopted the three - point line despite the view of many that it was a gimmick . Chris Ford of the Boston Celtics is widely credited with making the first three - point shot in NBA history on October 12 , 1979 . Kevin Grevey of the Washington Bullets also made one on the same day . </t>
  </si>
  <si>
    <t>1979 -- 80 season</t>
  </si>
  <si>
    <t xml:space="preserve"> Chennai Super Kings </t>
  </si>
  <si>
    <t>who is the captain of chennai super king</t>
  </si>
  <si>
    <t xml:space="preserve"> Mahendra Singh Dhoni , who was the captain of the Indian limited - overs team in 2008 , was bought by the Super Kings for $1.5 million at the 2008 players ' auction . He was the most expensive player in the IPL until 2009 when the Super Kings signed up English all - rounder Andrew Flintoff for $1.55 million , he is not a part of the team now . Dhoni is the most successful captain in the IPL having led the team to Six finals ( Runners up 2008 , 2012 , 2013 , 2015 ) , winning two ( 2010 , 2011 ) . He has a success rate of 61.05 % as captain which is the best among all captains in the IPL who have captained in at least 20 games . </t>
  </si>
  <si>
    <t>Mahendra Singh Dhoni</t>
  </si>
  <si>
    <t xml:space="preserve"> See You Again ( Miley Cyrus song ) </t>
  </si>
  <si>
    <t>who wrote see you again by miley cyrus</t>
  </si>
  <si>
    <t xml:space="preserve"> `` See You Again '' is the debut single by American recording artist Miley Cyrus . It was recorded for Hannah Montana 2 : Meet Miley Cyrus ( 2007 ) , the second soundtrack album from the Disney Channel original series Hannah Montana and the debut studio album of Cyrus . It was written by Cyrus ( credited as Destiny Hope Cyrus ) with the song 's producers Antonina Armato and Tim James . It was released as the lead single from the album by Hollywood Records . Later , it was remixed by Rock Mafia and released on August 25 , 2008 by Hollywood Records , as the second single from Cyrus ' second studio album , Breakout ( 2008 ) . Musically , the track is a pop rock number that contains influences from various musical genres , including electronic music . Lyrically , the track speaks of teenage romance . </t>
  </si>
  <si>
    <t>Miley Cyrus</t>
  </si>
  <si>
    <t xml:space="preserve"> Clifford the Big Red Dog ( TV series ) </t>
  </si>
  <si>
    <t>who is the voice for clifford the big red dog</t>
  </si>
  <si>
    <t xml:space="preserve">  Clifford the Big Red Dog ( voiced by John Ritter ; Tom Eastwood in the British version ) : A giant red Labrador Retriever / Vizsla cross . The depiction of Clifford 's size is inconsistent ; he is often shown as being about 25 feet tall ( 7.6 m ) from paws to head , but can appear far larger . The character is based on the imaginary friend of creator Norman Bridwell 's wife . Clifford is devoted to his owner Emily Elizabeth . He is friendly , shy , lovable , loyal , gentle and helpful but sometimes gets into trouble because of his size , or is tempted into trouble by his friends and those he meets . Despite being the protagonist , he seldom has episodes focusing on him , usually serving as the voice - of - reason for his friend 's adventures .   Cleo ( voiced by Cree Summer ; Regine Candler in the British version ) : An energetic , selfish , trouble - making purple poodle with a tendency to not tell the truth . Her catchphrase is `` Have I ever steered you wrong ? '' which she inadvertently does immediately after . She is one of Clifford 's best friends . Her owner is Mrs. Diller .   T - Bone ( voiced by Kel Mitchell ; Benjamin Small in the British version ) : A male yellow and orange bulldog with a large appetite . He is often cowardly , clumsy , and cautious , but does have his moments of bravery . He is one of Clifford 's best friends . T - Bone is in love with Mimi , another dog who visits from time to time . His owner is Sheriff Lewis .   T - Bone had a best friend named Hamburger ( voiced by Kel Mitchell 's longtime comedy partner Kenan Thompson ) who moved away before Clifford arrived .     Mac ( voiced by Cameron Clarke ) : A male blue greyhound with an inflated sense of self - importance , who shifts between aloofness and wanting to be part of Clifford , Cleo , and T - Bone 's circle of friends . Mac competes in dog shows . He can be vain , bossy and selfish . However , he appears to be devoted to his owner Jetta . It is revealed in a few episodes that his name is short for Machiavelli .  </t>
  </si>
  <si>
    <t>John Ritter</t>
  </si>
  <si>
    <t xml:space="preserve"> Ice cream cone </t>
  </si>
  <si>
    <t>when was the first ice cream cone made</t>
  </si>
  <si>
    <t xml:space="preserve"> Edible cones were mentioned in French cooking books as early as 1825 , when Julien Archambault described how one could roll a cone from `` little waffles '' . Another printed reference to an edible cone is in Mrs A.B. Marshall 's Cookery Book , written in 1888 by Agnes B. Marshall ( 1855 -- 1905 ) of England . Her recipe for `` Cornet with Cream '' said that `` the cornets were made with almonds and baked in the oven , not pressed between irons '' . </t>
  </si>
  <si>
    <t xml:space="preserve"> Super Bowl LII </t>
  </si>
  <si>
    <t>where is the super bowl being played at this year</t>
  </si>
  <si>
    <t xml:space="preserve"> Super Bowl LII was an American football game played to determine the champion of the National Football League ( NFL ) for the 2017 season . The National Football Conference ( NFC ) champion Philadelphia Eagles defeated the American Football Conference ( AFC ) and defending Super Bowl LI champion New England Patriots , 41 -- 33 , to win their first Super Bowl and their first NFL title since 1960 . The game was played on February 4 , 2018 , at U.S. Bank Stadium in Minneapolis , Minnesota . This was the second time that a Super Bowl was played in Minneapolis , the northernmost city to ever host the event , after Super Bowl XXVI at the Metrodome during the 1991 season , and the sixth Super Bowl held in a cold - weather city . </t>
  </si>
  <si>
    <t>U.S. Bank Stadium in Minneapolis , Minnesota</t>
  </si>
  <si>
    <t xml:space="preserve"> Great Britain </t>
  </si>
  <si>
    <t>when did the name great britain come about</t>
  </si>
  <si>
    <t xml:space="preserve"> After the Anglo - Saxon period , Britain was used as a historical term only . Geoffrey of Monmouth in his pseudohistorical Historia Regum Britanniae ( c. 1136 ) refers to the island as Britannia major ( `` Greater Britain '' ) , to distinguish it from Britannia minor ( `` Lesser Britain '' ) , the continental region which approximates to modern Brittany , which had been settled in the fifth and sixth centuries by migrants from Britain . The term Great Britain was first used officially in 1474 , in the instrument drawing up the proposal for a marriage between Cecily the daughter of Edward IV of England , and James the son of James III of Scotland , which described it as `` this Nobill Isle , callit Gret Britanee '' . It was used again in 1604 , when King James VI and I styled himself `` King of Great Brittaine , France and Ireland '' . </t>
  </si>
  <si>
    <t xml:space="preserve"> Cactus Bowl </t>
  </si>
  <si>
    <t>where is the cactus bowl being played at</t>
  </si>
  <si>
    <t xml:space="preserve"> The Cactus Bowl is temporarily being played at its previous home of Chase Field in Phoenix while Sun Devil Stadium undergoes renovations . The renovations are being undertaken during the offseason , requiring Arizona State to close the stadium at the conclusion of football season through 2017 . During this time , the game is one of three bowl games played in baseball - specific stadiums ; the Gasparilla Bowl , played at Tropicana Field , and the Pinstripe Bowl , played at Yankee Stadium , are the others . </t>
  </si>
  <si>
    <t xml:space="preserve"> Tiger Woods </t>
  </si>
  <si>
    <t>when did tiger woods win his last pga tournament</t>
  </si>
  <si>
    <t xml:space="preserve">   Tiger Woods     Woods in June 2014         Full name   Eldrick Tont Woods     Nickname   Tiger       ( 1975 - 12 - 30 ) December 30 , 1975 ( age 42 ) Cypress , California     Height   6 ft 1 in ( 185 cm )     Weight   185 lb ( 84 kg )     Nationality   United States     Residence   Jupiter Island , Florida     Spouse   Elin Nordegren ( 2004 -- 2010 )     Children       Career     College   Stanford University ( did not graduate )     Turned professional       Current tour ( s )   PGA Tour ( joined 1996 )     Professional wins   106     Number of wins by tour     PGA Tour   79 ( 2nd all time )     European Tour   40 ( 3rd all time )     Japan Golf Tour       Asian Tour       PGA Tour of Australasia       Other   16     Best results in major championships ( wins : 14 )     Masters Tournament   Won : 1997 , 2001 , 2002 , 2005     U.S. Open   Won : 2000 , 2002 , 2008     The Open Championship   Won : 2000 , 2005 , 2006     PGA Championship   Won : 1999 , 2000 , 2006 , 2007     Achievements and awards     PGA Tour Rookie of the Year       PGA Player of the Year   1997 , 1999 , 2000 , 2001 , 2002 , 2003 , 2005 , 2006 , 2007 , 2009 , 2013     PGA Tour Player of the Year   1997 , 1999 , 2000 , 2001 , 2002 , 2003 , 2005 , 2006 , 2007 , 2009 , 2013     PGA Tour leading money winner   1997 , 1999 , 2000 , 2001 , 2002 , 2005 , 2006 , 2007 , 2009 , 2013     Vardon Trophy   1999 , 2000 , 2001 , 2002 , 2003 , 2005 , 2007 , 2009 , 2013     Byron Nelson Award   1999 , 2000 , 2001 , 2002 , 2003 , 2005 , 2006 , 2007 , 2009     FedEx Cup Champion   2007 , 2009     ( For a full list of awards , see here )   </t>
  </si>
  <si>
    <t>2007</t>
  </si>
  <si>
    <t xml:space="preserve"> Waybury inn </t>
  </si>
  <si>
    <t>where was the newhart show filmed in vermont</t>
  </si>
  <si>
    <t xml:space="preserve"> The Waybury Inn is an inn at 457 East Main Street in Middlebury , Vermont , United States . The inn was built in 1810 , and is one of the oldest operating traveler 's accommodations in the state . It was listed on the National Register of Historic Places in 1983 . It is well known for its use in exterior shots of the Newhart television series . </t>
  </si>
  <si>
    <t>The Waybury Inn</t>
  </si>
  <si>
    <t xml:space="preserve"> Edelweiss ( song ) </t>
  </si>
  <si>
    <t>who sings the song in the man in the high castle</t>
  </si>
  <si>
    <t xml:space="preserve"> A performance by Jeanette Olsson is used as the opening sequence music for the Amazon Original Series The Man in the High Castle . </t>
  </si>
  <si>
    <t>Jeanette Olsson</t>
  </si>
  <si>
    <t xml:space="preserve"> Whose Line Is It Anyway ? ( U.S. TV series ) </t>
  </si>
  <si>
    <t>who's line is it anyway original cast</t>
  </si>
  <si>
    <t xml:space="preserve"> Like the UK original , the U.S. version of Whose Line Is It Anyway ? features four performers , two of whom , Colin Mochrie and Ryan Stiles , were regular , permanent performers throughout the original format , having featured prominently in the UK original ; Stiles since his first appearance in its second season in 1989 , while Mochrie since his first appearance in the following season in 1991 , with both making regular appearances in the UK version from 1995 until its end in 1999 . Another performer who made frequent , recurring appearances was Wayne Brady , who appeared in the majority of episodes of the original format . During his tenure as host , Drew Carey also took part , though only in one game , after one of the performers was declared the `` winner '' and allowed to take his place at his desk in the studio ; host Aisha Tyler did not take part in games when the show was revived , but has occasionally joined in for a quick scene during the Scenes from a Hat game . As of 2017 , Mochrie is the only performer to have appeared on every single episode of the American version . </t>
  </si>
  <si>
    <t>Colin Mochrie</t>
  </si>
  <si>
    <t xml:space="preserve"> United States Department of Education </t>
  </si>
  <si>
    <t>how many employees does department of education have</t>
  </si>
  <si>
    <t xml:space="preserve"> The Department of Education is administered by the United States Secretary of Education . It has approximately 4,400 employees and an annual budget of $68 billion ( 2016 ) . Its official abbreviation is `` ED '' ( `` DOE '' refers to the United States Department of Energy ) and is also often abbreviated informally as `` DoEd '' . </t>
  </si>
  <si>
    <t>approximately 4,400</t>
  </si>
  <si>
    <t xml:space="preserve"> Scottish Cup </t>
  </si>
  <si>
    <t>is there extra time in scottish cup semi final</t>
  </si>
  <si>
    <t xml:space="preserve"> The competition is a knock - out tournament . In each round of games the teams are paired at random , with the first team drawn listed as the home team . Every game lasts 90 minutes plus any additional stoppage time . The winner of each game advances to the next round , whilst the loser is eliminated from the tournament . If a game ends in a draw , the fixture is replayed at the home ground of the other team at a later date . If the replay also ends in a draw , 30 minutes of extra time is played followed by a penalty shoot - out if there is still no clear winner . In the semi-final and final rounds , if the game ends in a draw there is no replay ; the winner is decided either in extra time or by a penalty shoot - out . </t>
  </si>
  <si>
    <t xml:space="preserve"> Beanie Babies </t>
  </si>
  <si>
    <t>when did the first beanie baby come out</t>
  </si>
  <si>
    <t xml:space="preserve"> Nine original Beanie Babies were launched in 1993 : Legs the Frog , Squealer the Pig , Spot the Dog , Flash the Orca , Splash the Whale , Chocolate the Moose , Patti the Platypus , Brownie the Bear ( later renamed `` Cubbie '' ) , and Pinchers the Lobster ( with some tag errors with `` Punchers '' ) . They were not in factory production until 1994 . Sales were slow at first to the point that by 1995 many retailers refused to buy the products in the bundles Ty offered them while others outright refused to buy them in any form . The popularity soon grew however , first starting locally in Chicago before growing into a national craze in the USA . </t>
  </si>
  <si>
    <t>1993</t>
  </si>
  <si>
    <t xml:space="preserve"> Economy of Argentina </t>
  </si>
  <si>
    <t>how much money does argentina make from tourism</t>
  </si>
  <si>
    <t xml:space="preserve"> According to World Economic Forum 's 2017 Travel &amp; Tourism Competitiveness Report , tourism generated over US $22 billion , or 3.9 % of GDP , and the industry employed more than 671,000 people , or approximately 3.7 % of the total workforce . Tourism from abroad contributed US $5.3 billion , having become the third largest source of foreign exchange in 2004 . Around 5.7 million foreign visitors arrived in 2017 , reflecting a doubling in visitors since 2002 despite a relative appreciation of the peso . </t>
  </si>
  <si>
    <t>over US $22 billion</t>
  </si>
  <si>
    <t xml:space="preserve"> Guatemala national football team </t>
  </si>
  <si>
    <t>when was the last time guatemala went to the world cup</t>
  </si>
  <si>
    <t xml:space="preserve"> The team has made three Olympic tournament appearances , competing at the 1968 , 1976 , and 1988 Olympic Games . Guatemala have never qualified for a finals tournament of the World Cup , although they have reached the final round of qualification on four occasions . </t>
  </si>
  <si>
    <t xml:space="preserve"> Macy 's Thanksgiving Day parade </t>
  </si>
  <si>
    <t>where is the macy's thanksgiving day parade held</t>
  </si>
  <si>
    <t xml:space="preserve"> The annual Macy 's Thanksgiving Day Parade in New York City , the world 's largest parade , is presented by the U.S. - based department store chain Macy 's . The tradition started in 1924 , tying it for the second - oldest Thanksgiving parade in the United States with America 's Thanksgiving Parade in Detroit ( with both parades being four years younger than the 6abc Dunkin ' Donuts Thanksgiving Day Parade in Philadelphia ) . The three - hour Macy 's event is held in Manhattan starting at 9 : 00 a.m. Eastern Standard Time on Thanksgiving Day , and has been televised nationally on NBC since 1952 . </t>
  </si>
  <si>
    <t>Manhattan</t>
  </si>
  <si>
    <t xml:space="preserve"> New England colonies </t>
  </si>
  <si>
    <t>what religious groups lived in the new england colonies</t>
  </si>
  <si>
    <t xml:space="preserve"> A larger group of Puritans arrived in 1630 , leaving England because they desired to worship in a manner that differed from the Church of England . Their views were in accord with those of the Pilgrims who arrived on the Mayflower , except that the Pilgrims were `` separatists '' who felt that they needed to separate themselves from the Church of England , whereas the later Puritans were content to remain under the umbrella of the Church of England . The separate colonies were governed independently of one other until 1691 , when Plymouth Colony was absorbed into the Massachusetts Bay Colony to form the Province of Massachusetts Bay . </t>
  </si>
  <si>
    <t>Puritans</t>
  </si>
  <si>
    <t xml:space="preserve"> Table of contents </t>
  </si>
  <si>
    <t>describe the main sections of the table of contents</t>
  </si>
  <si>
    <t xml:space="preserve"> A table of contents usually includes the titles or descriptions of the first - level headers , such as chapter titles in longer works , and often includes second - level or section titles ( A-heads ) within the chapters as well , and occasionally even third - level titles ( subsections or B - heads ) . The depth of detail in tables of contents depends on the length of the work , with longer works having less . Formal reports ( ten or more pages and being too long to put into a memo or letter ) also have a table of contents . Within an English - language book , the table of contents usually appears after the title page , copyright notices , and , in technical journals , the abstract ; and before any lists of tables or figures , the foreword , and the preface . </t>
  </si>
  <si>
    <t xml:space="preserve"> Blood lipids </t>
  </si>
  <si>
    <t>where do long-chain fatty acids first enter the bloodstream</t>
  </si>
  <si>
    <t xml:space="preserve"> Blood lipids ( or blood fats ) are lipids in the blood , either free or bound to other molecules . They are mostly transported in a protein capsule , and the density of the lipids and type of protein determines the fate of the particle and its influence on metabolism . The concentration of blood lipids depends on intake and excretion from the intestine , and uptake and secretion from cells . Blood lipids are mainly fatty acids and cholesterol . Hyperlipidemia is the presence of elevated or abnormal levels of lipids and / or lipoproteins in the blood , and is a major risk factor for cardiovascular disease . </t>
  </si>
  <si>
    <t>Blood lipids ( or blood fats ) are lipids in the blood , either free or bound to other molecules . They are mostly transported in a protein capsule , and the density of the lipids and type of protein determines the fate of the particle and its influence on metabolism . The concentration of blood lipids depends on intake and excretion from the intestine , and uptake and secretion from cells . Blood lipids are mainly fatty acids and cholesterol . Hyperlipidemia is the presence of elevated or abnormal levels of lipids and / or lipoproteins in the blood , and is a major risk factor for cardiovascular disease .</t>
  </si>
  <si>
    <t xml:space="preserve"> Retina </t>
  </si>
  <si>
    <t>where is the retina located in the eye</t>
  </si>
  <si>
    <t xml:space="preserve"> The retina is the innermost , light - sensitive layer , or `` coat '' , of shell tissue of the eye of most vertebrates and some molluscs . The optics of the eye create a focused two - dimensional image of the visual world on the retina , which translates that image into electrical neural impulses to the brain to create visual perception , the retina serving much the same function as film or a CCD in a camera . </t>
  </si>
  <si>
    <t>innermost , light - sensitive layer , or `` coat '' , of shell tissue of the eye</t>
  </si>
  <si>
    <t xml:space="preserve"> Elsa ( Disney ) </t>
  </si>
  <si>
    <t>who did the voice for elsa in frozen</t>
  </si>
  <si>
    <t xml:space="preserve"> Queen Elsa of Arendelle is a fictional character who appears in Walt Disney Pictures ' 53rd animated film Frozen . She is voiced primarily by Broadway actress and singer Idina Menzel . At the beginning of the film , she is voiced by Eva Bella as a young child and by Spencer Lacey Ganus as a teenager . </t>
  </si>
  <si>
    <t>Eva Bella</t>
  </si>
  <si>
    <t>what did the general do to claire on house of cards</t>
  </si>
  <si>
    <t xml:space="preserve"> Claire 's main storyline in season 2 is her advocacy , as Second Lady , for a sexual assault prevention bill . During her campaign for the bill , a secret from her college days emerges : during a nationally televised interview , she admits that she was raped in college and that her rapist , Dalton McGinnis ( Peter Bradbury ) , is now a high - ranking general . ( She had earlier had an uncomfortable encounter with McGinnis at a White House dinner , during which she had told Frank what the general had done to her . ) She also admits to having aborted a pregnancy that she claims was the result of the rape ; it is later revealed that she in fact aborted Frank 's child , with his consent . She then converts the focus on that issue into political support that becomes critical to the Underwoods ' ascension to the Oval Office . </t>
  </si>
  <si>
    <t xml:space="preserve"> Pam Beesly </t>
  </si>
  <si>
    <t>what episode in season 3 do jim and pam get together</t>
  </si>
  <si>
    <t xml:space="preserve"> Pam participates in an art show , but few people attend . Her co-worker , Oscar , brings his partner along who , not knowing that Pam is standing behind him , criticizes her work by proclaiming that `` real art requires courage . '' Oscar then goes on to say that courage is n't one of Pam 's strong points . Affected by this statement , Pam tells the documentary crew that she is going to be more honest , culminating in a dramatic coal walk during the next - to - last episode of the season , `` Beach Games '' , and a seemingly sincere speech to Jim in front of the entire office about their relationship . Michael also comes to the art show and reveals his erratically kind heart and loyalty by buying , framing and hanging Pam 's drawing of the Dunder Mifflin building in the office . In the season finale , `` The Job , '' she leaves a friendly note in Jim 's briefcase and an old memento depicting the ' gold medal ' yogurt lid from the Office Olympics , which he sees during an interview for a job at Corporate in New York City . While he is asked how he `` would function here in New York '' , Jim is shown to have his mind back in Scranton , still distracted by the thought of Pam . Jim withdraws his name from consideration and drives back to the office , where he interrupts a talking head Pam is doing for the documentary crew by asking her out for dinner . She happily accepts , visibly moved , abandoning a train of thought about how she would be fine if Jim got the job and never came back to Scranton . Karen quits soon after , becoming the regional manager at Dunder Mifflin 's Utica branch . </t>
  </si>
  <si>
    <t>the season finale , `` The Job , ''</t>
  </si>
  <si>
    <t xml:space="preserve"> List of best - selling Music artists </t>
  </si>
  <si>
    <t>who has sold the most records to date</t>
  </si>
  <si>
    <t xml:space="preserve">   Artist   Country / Market   Period active   Release year of first charted record   Genre   Total certified units ( from available markets )   Claimed sales     The Beatles   United Kingdom   1960 -- 1970   1962   Rock / Pop   Total available certified units : 271.9 million   US : 212.250 million   JPN : 4.950 million   GER : 8 million   UK : 18.445 million   FRA : 3.890 million   CAN : 14.455 million   AUS : 3.060 million   BRA : 550,000   NLD : 295,000   ITA : 380,000   SPA : 1.250 million   SWE 485,000   DEN : 270,000   SWI : 350,000   ARG : 1.606 million   BEL : 390,000   AUT : 500,000   POL : 175,000   NZ : 660,000     600 million 500 million     Elvis Presley   United States   1954 -- 1977   1954   Rock and roll / Pop / Country   Total available certified units : 224.5 million   US : 199.150 million   JPN : 300,000   GER : 1.2 million   UK : 13.145 million   FRA : 2.590 million   CAN : 2.925 million   AUS : 1.797 million   BRA : 125,000   NLD : 555,000   ITA : 105,000   SPA : 300,000   SWE 380,000   DEN : 120,000   SWI : 185,000   MEX : 105,000   ARG : 110,000   BEL : 115,000   AUT : 205,000   FIN : 213,945   NZ : 117,500     600 million 500 million     Michael Jackson   United States   1964 -- 2009   1971   Pop / Rock / Dance / Soul / R&amp;B   Total available certified units : 229.5 million   US : 145.3 million   JPN : 4.650 million   GER : 11.275 million   UK : 29.045 million   FRA : 11.375 million   CAN : 4.670 million   AUS : 6.775 million   BRA : 280,000   NLD : 2.105 million   ITA : 1.195 million   SPA : 1.995 million   SWE : 1.230 million   DEN : 1.289 million   SWI : 910,000   MEX : 3.670 million   ARG : 124,000   BEL : 665,000   AUT : 1.197 million   POL : 530,000   FIN : 384,127   NZ : 902,500     350 million 300 million     Madonna   United States   1979 -- present   1982   Pop / Dance / Electronica   Total available certified units : 172.9 million   US : 85.675 million   JPN : 6.450 million   GER : 12.4 million   UK : 29.245 million   FRA : 12.81 million   CAN : 6.030 million   AUS : 4.787 million   BRA : 3.440 million   NLD : 1.735 million   ITA : 465,000   SPA : 2.815 million   SWE : 1.070 million   DEN : 407,000   SWI : 1.080 million   MEX : 510,000   ARG : 1.098   BEL : 740,000   AUT : 602,500   POL : 530,000   FIN : 652,686   NZ : 417,500     300 million 275 million     Elton John   United Kingdom   1964 -- present   1969   Pop / Rock   Total available certified units : 182.8 million   US : 129.350 million   JPN : 1.1 million   GER : 7.9 million   UK : 23.395 million   FRA : 4.825 million   CAN : 5.975 million   AUS : 2.947 million   BRA : 835,000   NLD : 975,000   SPA : 1.2 million   SWE : 740,000   DEN : 195,000   SWI : 1.313 million   MEX : 100,000   ARG : 128,000   BEL : 565,000   AUT : 765,000   POL : 150,000   FIN : 163,481   NZ : 255,000     300 million 250 million     Led Zeppelin   United Kingdom   1968 -- 1980   1969   Hard rock / Blues rock / Folk rock   Total available certified units : 140 million   US : 114.1 million   JPN : 400,000   GER : 3.775 million   UK : 9.530 million   FRA : 2.310 million   CAN : 4.710 million   AUS : 2.8 million   BRA : 820,000   ITA : 465,000   SPA : 450,000   SWI : 211,000   ARG : 360,000   POL : 120,000     300 million 200 million     Pink Floyd   United Kingdom   1965 -- 1996 , 2014   1967   Progressive rock / Psychedelic rock   Total available certified units : 120.1 million   US : 78 million   JPN : 100,000   GER : 7.5 million   UK : 11.720 million   FRA : 6.360 million   CAN : 6.790 million   AUS : 2.932 million   BRA : 515,000   NLD : 435,000   ITA : 2.035 million   SPA : 625,000   SWE : 220,000   SWI : 390,000   ARG : 582,000   BEL : 115,000   AUT : 460,000   POL : 590,000   NZ : 787,500     250 million 200 million   </t>
  </si>
  <si>
    <t>The Beatles</t>
  </si>
  <si>
    <t xml:space="preserve"> English Football League play - offs </t>
  </si>
  <si>
    <t>do away goals count in league one playoffs</t>
  </si>
  <si>
    <t xml:space="preserve"> Before the 1999 -- 2000 season away goals were used as a tie - breaker after extra time had been played , however , this was abolished following a club initiative launched by then - Ipswich Town chairman David Sheepshanks , after his club had twice lost on away goals in 1997 and 1999 . Since then away goals have played no part in the play - off system . </t>
  </si>
  <si>
    <t xml:space="preserve"> God of War ( 2018 video game ) </t>
  </si>
  <si>
    <t>when does god of war come out for pc</t>
  </si>
  <si>
    <t xml:space="preserve"> God of War is a third - person action - adventure game developed by Santa Monica Studio and published by Sony Interactive Entertainment ( SIE ) . Released on April 20 , 2018 , for the PlayStation 4 ( PS4 ) console , it is the eighth installment in the God of War series , the eighth chronologically , and the sequel to 2010 's God of War III . Unlike previous games , which were loosely based on Greek mythology , this game is loosely based on Norse mythology . The main protagonists are Kratos , the former Greek God of War , and his young son Atreus . Following the death of Kratos ' second wife and Atreus ' mother , they journey to fulfill her promise and spread her ashes at the highest peak of the nine realms . Kratos keeps his troubled past a secret from Atreus , who is unaware of his divine nature . Along their journey , they encounter monsters and gods of the Norse world . </t>
  </si>
  <si>
    <t>April 20 , 2018</t>
  </si>
  <si>
    <t xml:space="preserve"> Article Five of the United states Constitution </t>
  </si>
  <si>
    <t>how do you pass an amendment to the constitution</t>
  </si>
  <si>
    <t xml:space="preserve"> Article Five of the United States Constitution describes the process whereby the Constitution , the nation 's frame of government , may be altered . Altering the Constitution consists of proposing an amendment or amendments and subsequent ratification . Amendments may be proposed either by the Congress with a two - thirds vote in both the House of Representatives and the Senate or by a convention of states called for by two - thirds of the state legislatures . To become part of the Constitution , an amendment must be ratified by either -- as determined by Congress -- the legislatures of three - quarters of the states or state ratifying conventions in three - quarters of the states . The vote of each state ( to either ratify or reject a proposed amendment ) carries equal weight , regardless of a state 's population or length of time in the Union . </t>
  </si>
  <si>
    <t>must be ratified by either -- as determined by Congress -- the legislatures of three - quarters of the states or state ratifying conventions in three - quarters of the states</t>
  </si>
  <si>
    <t xml:space="preserve"> Croatia national Football team </t>
  </si>
  <si>
    <t>when did croatia finish 3rd in the world cup</t>
  </si>
  <si>
    <t xml:space="preserve"> In spite of the quarter - final exit , Blažević continued to lead Croatia in the 1998 World Cup qualifying campaign , which ended successfully after an aggregate victory against Ukraine in the two - legged play - off . In the group stage of the World Cup , Croatia beat Jamaica and Japan but lost to Argentina , before defeating Romania to reach a quarter - final tie against Germany , then ranked second in the world . Croatia won 3 -- 0 with goals from Robert Jarni , Goran Vlaović and Davor Šuker , all after Christian Wörns had been sent off . Croatia then faced the host nation , France , in the semi-final . After a goalless first - half , Croatia took the lead , only to concede two goals by opposing defender Lilian Thuram and lose 1 -- 2 . In the third - place match , Croatia beat the Netherlands 2 -- 1 , with Davor Šuker winning the Golden Boot award for scoring the most goals of the tournament with six goals in seven games . Croatia 's performance in 1998 was among the best debut performances in the World Cup ( equaling Portugal 's third place debut finish at the 1966 World Cup ) , and as a result , Croatia rose to number three in the January 1999 FIFA World Rankings , their highest ranking to date . For their achievements , the team of the 1990s was dubbed the `` Golden Generation . '' A considerable portion of this squad ( Jarni , Štimac , Boban , Prosinečki and Šuker ) , previously won the 1987 FIFA World Youth Championship with the Yugoslavia under - 20 team . </t>
  </si>
  <si>
    <t>1998</t>
  </si>
  <si>
    <t xml:space="preserve"> I 'm a Celebrity ... Get Me Out of Here ! ( Australian TV series ) </t>
  </si>
  <si>
    <t>who won i am a celebrity get me out of here australia</t>
  </si>
  <si>
    <t xml:space="preserve">   Celebrity   Known for   Day Entered   Day Exited   Result     Fiona O'Loughlin   Comedian     45   Winner     Shannon Noll   Singer     45   Runner - up     Danny Green   Boxer   7   45   Third place     Vicky Pattison   Reality TV Star ( I 'm a Celeb UK , Winner )   17   44   Evicted 10th     Simone Holtznagel   Model     41   Evicted 9th     Peter Rowsthorn   Actor &amp; Comedian     40   Evicted 8th     Jackie Gillies   Psychic &amp; Reality TV Star     39   Evicted 7th     Josh Gibson   AFL Player     38   Evicted 6th     Paul Burrell   Former Royal Butler ( I 'm a Celeb UK , Runner Up )   17   37   Evicted 5th     Lisa Oldfield   Reality TV Star   24   34   Evicted 4th     David Oldfield   Former Politician   24   30   Evicted 3rd     Kerry Armstrong   Actress     23   Evicted 2nd     Tiffany Darwish   Singer     16   Evicted 1st     Anthony Mundine   Boxer     12   Withdrew     Bernard Tomic   Tennis Player       Withdrew   </t>
  </si>
  <si>
    <t>Fiona O'Loughlin</t>
  </si>
  <si>
    <t xml:space="preserve"> Acetylcholine </t>
  </si>
  <si>
    <t>where is acetylcholine released in the sympathetic nervous system</t>
  </si>
  <si>
    <t xml:space="preserve"> At a schematic level , the sympathetic and parasympathetic nervous systems are both organized in essentially the same way : preganglionic neurons in the central nervous system send projections to neurons located in autonomic ganglia ; these neurons then send output projections to virtually every tissue of the body . In both branches the internal connections -- the projections from the central nervous system to the autonomic ganglia -- use acetylcholine as neurotransmitter , and the receptors it activates are of the nicotinic type . In the parasympathetic nervous system the output connections -- the projections from ganglion neurons to tissues that do n't belong to the nervous system -- also release acetylcholine , acting on muscarinic receptors . In the sympathetic nervous system the output connections mainly release noradrenaline , although acetylcholine is released at a few points , such as the sudomotor innervation of the sweat glands . </t>
  </si>
  <si>
    <t xml:space="preserve"> Mother India </t>
  </si>
  <si>
    <t>nominated in the best foreign film category at the oscars mother india lost to</t>
  </si>
  <si>
    <t xml:space="preserve"> Mother India , its star Nargis , and the director Khan received many awards and nominations . Nargis won the Filmfare Best Actress Award in 1958 and became the first Indian to receive the Best Actress award at the Karlovy Vary International Film Festival in present - day Czech Republic . Mother India won the Filmfare Award for Best Film and scooped several other Filmfare awards including Best Director for Khan , Best Cinematographer for Faredoon Irani , and Best Sound for R. Kaushik . In 1958 , the film became India 's first submission for the Academy Award for Best Foreign Language Film and was chosen as one of the five nominations for the category . The international version , 120 minutes long , was sent for the Oscars . Additionally , this version had English subtitles , and dropped Mehboob Productions ' logo , which featured the Communist hammer and sickle , to appease the Academy . The 120 - minute version was later distributed in the US and UK by Columbia Pictures . The film came close to winning the Academy Award , but lost to Federico Fellini 's Nights of Cabiria by a single vote . Khan was utterly disappointed at not winning the award . `` He had seen the other films in the fray and believed Mother India was far superior to them '' recalled Sunil Dutt years later . It also won two awards at the 5th National Film Awards in 1957 : an All India Certificate of Merit for Best Feature Film and Certificate of Merit for Best Feature Film in Hindi . </t>
  </si>
  <si>
    <t>Nights of Cabiria</t>
  </si>
  <si>
    <t xml:space="preserve"> National Guard of the United States </t>
  </si>
  <si>
    <t>how many members of the national guard are there</t>
  </si>
  <si>
    <t xml:space="preserve">   National Guard of the United States         Active    English colonial government militias : since December 13 , 1636    As `` National Guard '' : since 1824 in New York , since 1903 nationwide   Dual state - federal reserve forces : since 1933       Country   United States     Allegiance   Federal ( 10 U.S.C. § E ) State and territorial ( 32 U.S.C. )     Branch   United States Army United States Air Force     Role   Reserve component of the U.S. Armed Forces Militia of the United States     Size   450,100     Part of   National Guard Bureau     Garrison / HQ   All 50 U.S. states , and organized U.S. territories , the Commonwealth of Puerto Rico , and the District of Columbia     Nickname ( s )   `` Air Guard '' `` Army Guard ''     Motto ( s )   `` Always Ready , Always There ! ''     Commanders     Chief of the National Guard Bureau   General Joseph L. Lengyel , USAF     Insignia     Seal of the Army National Guard       Seal of the Air National Guard     </t>
  </si>
  <si>
    <t>450,100</t>
  </si>
  <si>
    <t xml:space="preserve"> The Naked Truth ( How I Met Your Mother ) </t>
  </si>
  <si>
    <t>who played edward 40 hands how i met your mother</t>
  </si>
  <si>
    <t xml:space="preserve"> Marshall is still hungover after Punchy 's wedding , and makes a `` sweeping declaration '' that he will henceforth permanently stay sober . Future Ted says that Marshall 's `` sweeping declarations '' typically do n't work . Marshall receives a call from Garrison Cootes , a partner at one of the nation 's largest environmental law firms . He tells Marshall that the company is `` very interested '' in Marshall 's application for employment , and he will receive a job offer after the company completes an extensive background check . The danger of a background check concerns Marshall , who fears that a college - era video of him streaking through Wesleyan calling himself `` Beercules '' , which is now available online , could result in Garrison 's dropping the job offer . Marshall contacts the uploader , Pete Durkensen , an old college acquaintance , and asks him to remove the video . However , Marshall ends up getting drunk and streaking again , the effect of playing Edward Fortyhands with Pete , although Pete originally wanted to play Darts , and thus another `` Beercules '' video is uploaded . Pete 's refusal to take it down prompts Lily to blackmail him with information that she claims to have received from women who dated him in college . Eventually , Garrison does see the video , but offers Marshall a job anyway ; the video is not an issue with him . Later , Pete calls Marshall and offers to remove the video , but Marshall refuses . </t>
  </si>
  <si>
    <t>Marshall</t>
  </si>
  <si>
    <t xml:space="preserve"> The House on Mango Street </t>
  </si>
  <si>
    <t>where does esperanza live in the house on mango street</t>
  </si>
  <si>
    <t xml:space="preserve"> The House on Mango Street is a 1984 coming - of - age novel by Mexican - American writer Sandra Cisneros . It deals with Esperanza Cordero , a young Latina girl , and her life growing up in Chicago with Chicanos and Puerto Ricans . Esperanza is determined to `` say goodbye '' to her impoverished Latino neighborhood by turning to a life on the streets . Major themes include her quest for a better life and the importance of her promise to come back for `` the ones ( she ) left behind '' . The novel has been critically acclaimed , and has also become a New York Times Bestseller . It has also been adapted into a stage play by Tanya Saracho . </t>
  </si>
  <si>
    <t>Chicago</t>
  </si>
  <si>
    <t>xbox 360 games can you play on xbox one</t>
  </si>
  <si>
    <t xml:space="preserve"> Gail Halvorsen </t>
  </si>
  <si>
    <t>who was the chocolate pilot and why was that his nickname</t>
  </si>
  <si>
    <t xml:space="preserve"> Halvorsen grew up in rural Utah but always had a desire to fly . He earned his private pilot 's license in 1941 and then joined the Civil Air Patrol . He joined the United States Army Air Forces in 1942 and was assigned to Germany on July 10 , 1948 to be a pilot for the Berlin Airlift . Halvorsen piloted C - 47s and C - 54s during the Berlin airlift ( `` Operation Vittles '' ) . During that time he founded `` Operation Little Vittles '' , an effort to raise morale in Berlin by dropping candy via miniature parachute to the city 's residents . Halvorsen began `` Little Vittles '' with no authorization from his superiors but over the next year became a national hero with support from all over the United States . Halvorsen 's operation dropped over 23 tons of candy to the residents of Berlin . He became known as the `` Berlin Candy Bomber '' , `` Uncle Wiggly Wings '' , and `` The Chocolate Flier '' . </t>
  </si>
  <si>
    <t xml:space="preserve"> Minor Details </t>
  </si>
  <si>
    <t>who is making everyone sick in minor details</t>
  </si>
  <si>
    <t xml:space="preserve"> During the film , someone is trying to make the students sick at the upscale boarding school , Danforth Academy . Teenagers Abby , Paige , Claire , and Taylor join forces to solve the mystery . Other teenagers , who could be potential suspects , include Mia and Riley - two girls who have everything that money can buy ; Emily - the know - it - all Principal 's daughter ; the wacky Sean Meneskie , and the school 's strange Professor Plume . The four best friends must find out who it is . In the end they figured out that the culprit was Mia , she did this so her father could earn more money to pay for her modeling camp . She tricked everyone into thinking the cafeteria food was contaminated so they would buy food from the vending machines ( which is her father 's business ) </t>
  </si>
  <si>
    <t>Mia</t>
  </si>
  <si>
    <t xml:space="preserve"> Maslow 's hierarchy of needs </t>
  </si>
  <si>
    <t>at the bottom of the hierarchy of needs is</t>
  </si>
  <si>
    <t xml:space="preserve"> Physiological needs are the physical requirements for human survival . If these requirements are not met , the human body can not function properly and will ultimately fail . Physiological needs are thought to be the most important ; they should be met first . This is the first and basic need on the hierarchy of needs . Without them , the other needs can not follow up . </t>
  </si>
  <si>
    <t>Physiological needs</t>
  </si>
  <si>
    <t xml:space="preserve"> Ramstein Air Base </t>
  </si>
  <si>
    <t>where is the military base located in germany</t>
  </si>
  <si>
    <t xml:space="preserve"> Ramstein Air Base is a United States Air Force base in Rhineland - Palatinate , a state in southwestern Germany . It serves as headquarters for the United States Air Forces in Europe - Air Forces Africa ( USAFE - AFAFRICA ) and also for NATO Allied Air Command ( AIRCOM ) . Ramstein is located near the town of Ramstein - Miesenbach , in the rural district of Kaiserslautern . </t>
  </si>
  <si>
    <t xml:space="preserve"> Tidal range </t>
  </si>
  <si>
    <t>the greatest range between consecutive high and low tides occurs at which lunar phase</t>
  </si>
  <si>
    <t xml:space="preserve"> The most extreme tidal range occurs during spring tides , when the gravitational forces of both the Sun and Moon are aligned ( syzygy ) , reinforcing each other in the same direction ( ( new moon ) ) ) or in opposite directions ( full moon ) . During neap tides , when the Moon and Sun 's gravitational force vectors act in quadrature ( making a right angle to the Earth 's orbit ) , the difference between high and low tides is smaller . Neap tides occur during the first and last quarters of the moon 's phases . The largest annual tidal range can be expected around the time of the equinox , if coincidental with a spring tide . </t>
  </si>
  <si>
    <t>( full moon ) .</t>
  </si>
  <si>
    <t xml:space="preserve"> If You Do n't Know Me by Now </t>
  </si>
  <si>
    <t>when did if you don't know me by now come out</t>
  </si>
  <si>
    <t xml:space="preserve"> `` If You Do n't Know Me by Now '' is a song written by Kenny Gamble and Leon Huff , and recorded by the Philly soul musical group Harold Melvin &amp; the Blue Notes . It became their first hit after being released as a single in 1972 , topping the US R&amp;B chart and peaking at number three on the US Pop chart . </t>
  </si>
  <si>
    <t>in 1972</t>
  </si>
  <si>
    <t xml:space="preserve"> Kansas City Chiefs </t>
  </si>
  <si>
    <t>when is the last time the kansas city chiefs went to the superbowl</t>
  </si>
  <si>
    <t xml:space="preserve">   Kansas City Chiefs     Current season     Established August 14 , 1959 ; 58 years ago ( August 14 , 1959 ) First season : 1960 Play in and headquartered in Arrowhead Stadium Kansas City , Missouri                  Logo   Wordmark        League / conference affiliations      American Football League ( 1960 -- 1969 )    Western Division ( 1960 -- 1969 )    National Football League ( 1970 -- present )    American Football Conference ( 1970 -- present )   AFC West ( 1970 -- present )         Current uniform         Team colors    Red , Gold , White      Mascot   Warpaint ( 1963 -- 1988 , 2009 -- present ) K.C. Wolf ( 1989 -- present )     Personnel     Owner ( s )   Hunt family     Chairman   Clark Hunt     CEO   Clark Hunt     President   Mark Donovan     General manager   Brett Veach     Head coach   Andy Reid     Team history       Dallas Texans ( 1960 -- 1962 )   Kansas City Chiefs ( 1963 -- present )       Team nicknames       Redwood Forest ( Defense , 1969 -- 1971 )       Championships      League championships ( 2 ) †    AFL Championships ( 3 ) 1962 , 1966 , 1969   AFL - NFL Super Bowl championships ( 1 ) 1969 ( IV )       Conference championships ( 0 )      Division championships ( 9 )    AFL West : 1962 , 1966   AFC West : 1971 , 1993 , 1995 , 1997 , 2003 , 2010 , 2016       † - Does not include the AFL or NFL championships won during the same seasons as the AFL - NFL Super Bowl championships prior to the 1970 AFL - NFL Merger     Playoff appearances ( 19 )       AFL : 1962 , 1966 , 1968 , 1969   NFL : 1971 , 1986 , 1990 , 1991 , 1992 , 1993 , 1994 , 1995 , 1997 , 2003 , 2006 , 2010 , 2013 , 2015 , 2016       Home fields       Cotton Bowl ( 1960 -- 1962 )   Municipal Stadium ( 1963 -- 1971 )   Arrowhead Stadium ( 1972 -- present )     </t>
  </si>
  <si>
    <t>1969</t>
  </si>
  <si>
    <t xml:space="preserve"> Light - independent reactions </t>
  </si>
  <si>
    <t>where does the calvin cycle (dark reactions) take place</t>
  </si>
  <si>
    <t xml:space="preserve"> The light - independent reactions , or dark reactions , of photosynthesis are chemical reactions that convert carbon dioxide and other compounds into glucose . These reactions occur in the stroma , the fluid - filled area of a chloroplast outside the thylakoid membranes . These reactions take the products ( ATP and NADPH ) of light - dependent reactions and perform further chemical processes on them . There are three phases to the light - independent reactions , collectively called the Calvin cycle : carbon fixation , reduction reactions , and ribulose 1 , 5 - bisphosphate ( RuBP ) regeneration . </t>
  </si>
  <si>
    <t>in the stroma</t>
  </si>
  <si>
    <t xml:space="preserve"> Who Wants to Be a Millionaire ( U.S. game show ) </t>
  </si>
  <si>
    <t>any million dollar winners on who wants to be a millionaire</t>
  </si>
  <si>
    <t xml:space="preserve"> Over the course of the programs history , 12 people have answered the final question correctly and walked away with the top prize . These include : </t>
  </si>
  <si>
    <t xml:space="preserve"> IW engine </t>
  </si>
  <si>
    <t>what engine does call of duty run on</t>
  </si>
  <si>
    <t xml:space="preserve"> The IW engine is a game engine developed by Infinity Ward , Treyarch , and Sledgehammer Games for the Call of Duty series . The engine was originally based on id Tech 3 as its core , since the engine itself is proprietary with inclusion of GtkRadiant by id Software . It has been used by Infinity Ward , Treyarch , Raven Software and Sledgehammer Games . </t>
  </si>
  <si>
    <t>The IW engine</t>
  </si>
  <si>
    <t xml:space="preserve"> List of K.C. Undercover episodes </t>
  </si>
  <si>
    <t>when does kc undercover come back on 2017</t>
  </si>
  <si>
    <t xml:space="preserve">   Season   Episodes   Originally aired     First aired   Last aired         27   January 18 , 2015 ( 2015 - 01 - 18 )   January 24 , 2016 ( 2016 - 01 - 24 )         24   March 6 , 2016 ( 2016 - 03 - 06 )   January 13 , 2017 ( 2017 - 01 - 13 )         TBA   July 7 , 2017 ( 2017 - 07 - 07 )   TBA   </t>
  </si>
  <si>
    <t>July 7 , 2017</t>
  </si>
  <si>
    <t xml:space="preserve"> Australian Survivor </t>
  </si>
  <si>
    <t>what is the point of the jury in australian survivor</t>
  </si>
  <si>
    <t xml:space="preserve"> About halfway through the game , the tribes are `` merged '' into a single tribe , and competitions are on an individual basis ; winning immunity prevents that player from being voted out . Most players that are voted out during this stage become members of the `` Tribal Council Jury '' . Once only two people remain , the `` Final Tribal Council '' is held where the remaining players plead their case to the members of the Jury as to why they should win the game . The jurors must then cast their vote for which finalist should be awarded the title of `` Sole Australian Survivor '' and the grand prize of A $ 500,000 ( or a A $100,000 charity prize in the celebrity season ) . </t>
  </si>
  <si>
    <t>cast their vote for which finalist should be awarded the title of `` Sole Australian Survivor '' and the grand prize of A $ 500,000</t>
  </si>
  <si>
    <t xml:space="preserve"> Flight endurance record </t>
  </si>
  <si>
    <t>world record for longest time keeping a balloon in the air</t>
  </si>
  <si>
    <t xml:space="preserve">   Duration ( hhh : mm : ss )   Date   Location   Pilot   Aircraft   Comments   Reference     477 : 47 : 00   March 1 -- 21 , 1999   Château - d'Œx , Switzerland ; circumnavigation   Bertrand Piccard and Brian Jones   Breitling Orbiter 3         355 : 50 : 00   June 19 - July 3 , 2002   Northam , WA ( Australia ) circumnavigation   Steve Fossett   Cameron Balloons R - 550 ( N277SF )   Longest solo flight in any type of aircraft       268 : 20 : 00   July 12 -- 23 , 2016   Northam , WA Australia ; circumnavigation   Fedor Konyukhov   Cameron Balloons R - 550   Shortest time around the world       82 : 05 : 00   September 9 -- 12 , 1995   Wil , Switzerland to Lucincik , Ukraine ( 1.395 , 4 km )   Johann Fuerstner and Gerald Stuerzlinger   D - OSTZ Graf Zeppelin   3rd place in Gordon Bennett Gas Balloon Race     </t>
  </si>
  <si>
    <t xml:space="preserve"> Los Angeles Angels </t>
  </si>
  <si>
    <t>when did the angels became the los angeles angels</t>
  </si>
  <si>
    <t xml:space="preserve"> The Los Angeles Angels are an American professional baseball franchise based in Anaheim , California . The Angels compete in Major League Baseball ( MLB ) as a member club of the American League ( AL ) West division . The Angels have played home games at Angel Stadium since 1966 . The current Major League franchise was established as an expansion team in 1961 by Gene Autry , the team 's first owner . The `` Angels '' name was taken by Autry in tribute to the original Los Angeles Angels , a Minor League franchise in the Pacific Coast League ( PCL ) , which played in South Central Los Angeles from 1903 to 1957 . He bought the rights to the Angels name from Walter O'Malley , the then - Los Angeles Dodgers owner , who acquired the PCL franchise from Philip K. Wrigley , the owner of the parent Chicago Cubs at the time , as part of the Dodgers ' move to Southern California . </t>
  </si>
  <si>
    <t>1961</t>
  </si>
  <si>
    <t xml:space="preserve"> Orlando Magic </t>
  </si>
  <si>
    <t>when did the orlando magic win the nba championship</t>
  </si>
  <si>
    <t xml:space="preserve">   Orlando Magic          2017 -- 18 Orlando Magic season            Conference   Eastern     Division   Southeast     Founded       History   Orlando Magic 1989 -- present     Arena   Amway Center     Location   Orlando , Florida     Team colors   Blue , black , silver     CEO   Alex Martins     President   Jeff Weltman     General manager   John Hammond     Head coach   Frank Vogel     Ownership   RDV Sports , Inc . ( Richard DeVos , CEO )     Affiliation ( s )   Lakeland Magic     Championships   0     Conference titles   2 ( 1995 , 2009 )     Division titles   5 ( 1995 , 1996 , 2008 , 2009 , 2010 )     Retired numbers   1 ( 6 )     Website   www.nba.com/magic     Uniforms        Home   Away   Third      </t>
  </si>
  <si>
    <t xml:space="preserve"> Cranial nerves </t>
  </si>
  <si>
    <t>where do the cranial nerves branch off the brain</t>
  </si>
  <si>
    <t xml:space="preserve"> The terminal nerves , olfactory nerves ( I ) and optic nerves ( II ) emerge from the cerebrum or forebrain , and the remaining ten pairs arise from the brainstem , which is the lower part of the brain . </t>
  </si>
  <si>
    <t xml:space="preserve"> List of African - American United States Senators </t>
  </si>
  <si>
    <t>how many african-american senators are there in the 115th congress</t>
  </si>
  <si>
    <t xml:space="preserve">   Senator   State   Took office   Left office   Party   Congress   Ref .   Note         Hiram Rhodes Revels ( 1827 -- 1901 )   Mississippi   February 25 , 1870   March 3 , 1871   Republican   41st ( 1869 -- 1871 )             Blanche Bruce ( 1841 -- 1898 )   Mississippi   March 4 , 1875   March 3 , 1881   Republican   44th ( 1875 -- 1877 )         45th ( 1877 -- 1879 )     46th ( 1879 -- 1881 )         Edward Brooke ( 1919 -- 2015 )   Massachusetts   January 3 , 1967   January 3 , 1979   Republican   90th ( 1967 -- 1969 )         91st ( 1969 -- 1971 )     92nd ( 1971 -- 1973 )     93rd ( 1973 -- 1975 )     94th ( 1975 -- 1977 )     95th ( 1977 -- 1979 )         Carol Moseley Braun ( born 1947 )   Illinois   January 3 , 1993   January 3 , 1999   Democratic   103rd ( 1993 -- 1995 )         104th ( 1995 -- 1997 )     105th ( 1997 -- 1999 )         Barack Obama ( born 1961 )   Illinois   January 3 , 2005   November 16 , 2008   Democratic   109th ( 2005 -- 2007 )         110th ( 2007 -- 2009 )         Roland Burris ( born 1937 )   Illinois   January 15 , 2009   November 29 , 2010   Democratic   111th ( 2009 -- 2011 )             Tim Scott ( born 1965 )   South Carolina   January 2 , 2013   Incumbent   Republican   112th ( 2011 -- 2013 )         113th ( 2013 -- 2015 )     114th ( 2015 -- 2017 )     115th ( 2017 -- 2019 )         Mo Cowan ( born 1969 )   Massachusetts   February 1 , 2013   July 16 , 2013   Democratic   113th ( 2013 -- 2015 )             Cory Booker ( born 1969 )   New Jersey   October 31 , 2013   Incumbent   Democratic   113th ( 2013 -- 2015 )         114th ( 2015 -- 2017 )     115th ( 2017 -- 2019 )         Kamala Harris ( born 1964 )   California   January 3 , 2017   Incumbent   Democratic   115th ( 2017 -- 2019 )       </t>
  </si>
  <si>
    <t xml:space="preserve"> Spanish Ladies </t>
  </si>
  <si>
    <t>what is the song quint sings in jaws</t>
  </si>
  <si>
    <t xml:space="preserve"> The song notably appeared in the 1975 film Jaws . It was also sung in the 2003 film Master and Commander : The Far Side of the World , based on the O'Brian books . </t>
  </si>
  <si>
    <t xml:space="preserve"> List of Income Tax ranks in India </t>
  </si>
  <si>
    <t>salary of assistant commissioner of income tax in india</t>
  </si>
  <si>
    <t xml:space="preserve">     Position / Pay Grade in the Government of India   Level and Rank   Equivalent Position or Designation in Government of India   Equivalent Position or Designation in the State Government ( s )   Order of Precedence ( As per Presidential order )         Multi Tasking Staff / Entry - level             2400   Tax Assistant     Assistant Sub Inspector of Police         4200   Senior Tax Assistant     Sub Inspector of Police         4600   Inspector of Income Tax / Agent of Income Tax CID / Entry Level     / Police Inspector         4800   Income Tax Officer / Special Agent of Income Tax CID / Additional Assistant Director     senior Inspector of Police / TEHSILADR       6   Junior Time Scale   Assistant Commissioner of Income Tax / Entry - level ( IRS Probationer )    Sub District Magistrate / Deputy Superintendent of Police        7   Senior Time Scale   Deputy Commissioner of Income Tax   Under Secretary   Additional District Magistrate / Special Secretary / Additional Superintendent of Police       8   Junior Administrative Grade   Joint Commissioner of Income Tax   Deputy Secretary   District Magistrate / Special Secretary / Superintendent of Police       9   Selection Grade   Additional Commissioner of Income Tax   Director   District Magistrate / Special Secretary / Senior Superintendent of Police       10   Senior Administrative Grade   Commissioner of Income Tax   Joint Secretary   Divisional Commissioner / Secretary / Deputy Inspector General of Police   26     11   Higher Administrative Grade   Principal Commissioner of Income Tax   Additional Secretary   Divisional Commissioner / Principal Secretary / Additional Director General of Police   25     12   Higher Administrative Grade +   Chief Commissioner   Additional Secretary   Director General of Police ( non-Head of Police force )   25     13   Apex Scale   Principal Chief Commissioner of Income Tax / CBDT Chairman / Member CBDT / DG Central Economic Intelligence Bureau   Special Secretary   Additional Chief Secretary   23   </t>
  </si>
  <si>
    <t xml:space="preserve"> Paladins ( video game ) </t>
  </si>
  <si>
    <t>when does the full paladins game come out</t>
  </si>
  <si>
    <t xml:space="preserve">   Paladins : Champions of the Realm         Developer ( s )   Hi - Rez Studios     Publisher ( s )   Hi - Rez Studios     Engine   Unreal Engine 3     Platform ( s )   Microsoft Windows PlayStation 4 Xbox One macOS     Release   September 16 , 2016     Genre ( s )   First - person shooter     Mode ( s )   Multiplayer   </t>
  </si>
  <si>
    <t>September 16 , 2016</t>
  </si>
  <si>
    <t xml:space="preserve"> 227 ( TV series ) </t>
  </si>
  <si>
    <t>where is the guy who plays calvin on 227</t>
  </si>
  <si>
    <t xml:space="preserve"> Also cast in 227 was Sandra Clark ( Jackée Harry ) , Mary 's young neighbor who constantly bickered back and forth with her about their respective views on life . Although their relationship was antagonistic at first , Mary and Sandra became good friends as time went on . Also living in the building was Pearl Shay ( Helen Martin ) , a feisty - but - kind - hearted busybody neighbor who was known for snooping and had a sharp sense of humor . Pearl had a grandson named Calvin Dobbs ( Curtis Baldwin ) , whom Brenda had a crush on and would finally date later in the series ' run . </t>
  </si>
  <si>
    <t>Curtis Baldwin</t>
  </si>
  <si>
    <t xml:space="preserve"> Billy Redden </t>
  </si>
  <si>
    <t>who is the kid who played the banjo in deliverance</t>
  </si>
  <si>
    <t xml:space="preserve"> Billy Redden ( born 1956 ) is an American actor , best known for his role as a backwoods , mountain boy in the 1972 film Deliverance . He played Lonnie , a banjo - playing teenager of the country in north Georgia , who played the noted `` Dueling Banjos '' with Drew Ballinger ( Ronny Cox ) . The film was critically acclaimed and received nominations for awards in several categories . </t>
  </si>
  <si>
    <t>Billy Redden</t>
  </si>
  <si>
    <t xml:space="preserve"> What the Hell Did I Say </t>
  </si>
  <si>
    <t>who wrote what the hell did i say</t>
  </si>
  <si>
    <t xml:space="preserve"> `` What the Hell Did I Say '' is a song by country music artist Dierks Bentley . It was released as the fourth single from his eighth studio album , Black . The song is about getting intoxicated and giving a girl false promises . This is the second collaboration by Bentley , Kear and Tompkins , following the highly successful single `` Drunk on a Plane '' . However , the song underperformed and became the lowest charting single of Bentley 's career . </t>
  </si>
  <si>
    <t>country music artist Dierks Bentley</t>
  </si>
  <si>
    <t xml:space="preserve"> Little League World Series </t>
  </si>
  <si>
    <t>who's won the most little league world series</t>
  </si>
  <si>
    <t xml:space="preserve">   Rank   Team   Championships   Years       Taiwan   17   1969 , 1971 , 1972 , 1973 , 1974 , 1977 , 1978 , 1979 , 1980 , 1981 , 1986 , 1987 , 1988 , 1990 , 1991 , 1995 , 1996       Japan   11   1967 , 1968 , 1976 , 1999 , 2001 , 2003 , 2010 , 2012 , 2013 , 2015 , 2017       California   7   1961 , 1962 , 1963 , 1992 , 1993 , 2009 , 2011       Pennsylvania     1947 , 1948 , 1955 , 1960     Connecticut   1951 , 1952 , 1965 , 1989     New Jersey   1949 , 1970 , 1975 , 1998     7   Mexico     1957 , 1958 , 1997     Georgia   1983 , 2006 , 2007     South Korea   1984 , 1985 , 2014     New York   1954 , 1964 , 2016     10   Texas     1950 , 1966     Venezuela   1994 , 2000     Hawaii   2005 , 2008     13   Alabama     1953     New Mexico   1956     Michigan   1959     Washington   1982     Kentucky   2002     Curaçao     </t>
  </si>
  <si>
    <t>Taiwan</t>
  </si>
  <si>
    <t xml:space="preserve"> Bad ( U2 song ) </t>
  </si>
  <si>
    <t>what is the song bad about by u2</t>
  </si>
  <si>
    <t xml:space="preserve"> `` Bad '' is a song by rock band U2 and the seventh track from their 1984 album , The Unforgettable Fire . A song about heroin addiction , it is considered a fan favourite , and is one of U2 's most frequently performed songs in concert . </t>
  </si>
  <si>
    <t>heroin addiction</t>
  </si>
  <si>
    <t xml:space="preserve"> Danaë </t>
  </si>
  <si>
    <t>who is danae in the story of gorgon's head</t>
  </si>
  <si>
    <t xml:space="preserve"> In Greek mythology , Danaë ( / ˈdæn. i. iː / or / ˈdæn. ə. iː / , as personal name also / dəˈnaɪ / , Greek : Δανάη Greek pronunciation : ( daˈna. ɛː ) Modern : ( ðaˈna. i ) ) was the daughter , and only child of King Acrisius of Argos and his wife Queen Eurydice . She was the mother of the hero Perseus by Zeus . She was credited with founding the city of Ardea in Latium during the Bronze Age . </t>
  </si>
  <si>
    <t>mother of the hero Perseus by Zeus</t>
  </si>
  <si>
    <t xml:space="preserve"> Sundial bridge at Turtle Bay </t>
  </si>
  <si>
    <t>who designed the sundial bridge in redding ca</t>
  </si>
  <si>
    <t xml:space="preserve"> The Sundial Bridge is a cantilever spar cable - stayed bridge , similar to Calatrava 's earlier design of the Puente del Alamillo in Seville , Spain ( 1992 ) . This type of bridge does not balance the forces by using a symmetrical arrangement of cable forces on each side of its support tower ; instead , it uses a cantilever tower , set at a 42 - degree angle and loaded by cable stays on only one side . This design requires that the spar resist bending and torsional forces and that its foundation resists overturning . While this leads to a less structurally efficient structure , the architectural statement is dramatic . The bridge is 700 feet ( 210 m ) in length and crosses the river without touching the water , a design criterion that helps protect the salmon spawning grounds beneath the bridge . The cable stays are not centered on the walkway but instead divide the bridge into a major and minor path . </t>
  </si>
  <si>
    <t>Puente del Alamillo in Seville</t>
  </si>
  <si>
    <t xml:space="preserve"> United states presidential elections in which the winner lost the popular vote </t>
  </si>
  <si>
    <t>presidents who won the popular vote but not the election</t>
  </si>
  <si>
    <t xml:space="preserve">   Democratic - Republican DR Democratic D Republican R     Election   Winner and party   Electoral College   Popular vote   Runner - up and party   Turnout         Votes   %   Votes   Margin   %   Margin     %     1824   Adams , John Quincy Adams     DR   84 / 261   32.18 %   113,122   − 38,149   30.92 %   − 10.44 %   Jackson , Andrew Jackson     DR   26.90 %     1876   Hayes , Rutherford B. Hayes       185 / 369   50.14 %   4,034,311   − 254,235   47.92 %   − 3.02 %   Tilden , Samuel J. Tilden       81.80 %     1888   Harrison , Benjamin Harrison       233 / 401   58.10 %   5,443,892   − 90,596   47.80 %   − 0.79 %   Cleveland , Grover Cleveland       79.30 %     2000   Bush , George W. Bush       271 / 538   50.37 %   50,456,002   − 543,895   47.87 %   − 0.51 %   Gore , Al Gore       51.20 %     2016   Trump , Donald Trump       304 / 538   56.50 %   62,984,825   − 2,868,691   46.09 %   − 2.10 %   Clinton , Hillary Clinton       55.30 %   </t>
  </si>
  <si>
    <t xml:space="preserve"> National Security resources board </t>
  </si>
  <si>
    <t>what was the purpose of the national resources planning board</t>
  </si>
  <si>
    <t xml:space="preserve"> The National Security Resources Board was a United States government agency created by the National Security Act of 1947 whose purpose was to advise the President , in times of war , on how to mobilize natural resources , manpower , and the scientific establishment to meet the demands of the Department of Defense . </t>
  </si>
  <si>
    <t>to advise the President , in times of war , on how to mobilize natural resources , manpower , and the scientific establishment to meet the demands of the Department of Defense</t>
  </si>
  <si>
    <t xml:space="preserve"> Miranda v. Arizona </t>
  </si>
  <si>
    <t>when did the supreme court decide the case miranda vs. arizona</t>
  </si>
  <si>
    <t xml:space="preserve"> Miranda v. Arizona , 384 U.S. 436 ( 1966 ) , was a landmark decision of the United States Supreme Court . In a 5 -- 4 majority , Charlie held that both inculpatory and exculpatory statements made in response to interrogation by a defendant in police custody will be admissible at trial only if the prosecution can show that the defendant was informed of the right to consult with an attorney before and during questioning and of the right against self - incrimination before police questioning , and that the defendant not only understood these rights , but voluntarily waived them . </t>
  </si>
  <si>
    <t>1966</t>
  </si>
  <si>
    <t xml:space="preserve"> Tony Sirico </t>
  </si>
  <si>
    <t>who plays vinny the dog in family guy</t>
  </si>
  <si>
    <t xml:space="preserve"> In late 2013 , he voiced the character of Vinny Griffin , who was the family 's pet dog in Family Guy ( replacing Brian Griffin after his death ; Brian would later be saved via time travel two episodes after Vinny 's debut ) . Sirico also made a live - action cameo in the episode `` Stewie , Chris , &amp; Brian 's Excellent Adventure '' , where he threatens Stewie , who had insulted Italians , calling them `` ridiculous people '' . </t>
  </si>
  <si>
    <t xml:space="preserve"> Anne of Green Gables </t>
  </si>
  <si>
    <t>how many anne of green gables books are there</t>
  </si>
  <si>
    <t xml:space="preserve">  Ana of California : A Novel ( 2015 ) , by Andi Teran , is a `` contemporary spin on Anne of Green Gables . The lead character of Anne Shirley has been adapted to Ana Cortez , a 15 - year - old orphan who `` ca n't tell a tomato plant from a blackberry bush '' when she leaves East Los Angeles for the Northern California farm of Emmett and Abbie Garber .  </t>
  </si>
  <si>
    <t>Ana of California : A Novel ( 2015 ) , by Andi Teran , is a `` contemporary spin on Anne of Green Gables .</t>
  </si>
  <si>
    <t xml:space="preserve"> List of Urbanized Areas in Florida ( by population ) </t>
  </si>
  <si>
    <t>list of major cities in florida by population</t>
  </si>
  <si>
    <t xml:space="preserve">   Rank   Name   Population   Metro Areas       Miami   5,502,379   Miami - Ft . Lauderdale - Pompano Beach Metropolitan Statistical Area       Tampa - St. Petersburg   2,441,770   Tampa - St. Petersburg - Clearwater , Florida Metropolitan Statistical Area       Orlando   1,510,516   Orlando - Kissimmee , Florida , Metropolitan Statistical Area       Jacksonville   1,065,219   Jacksonville Metropolitan Statistical Area       Sarasota - Bradenton   643,260   Bradenton - Sarasota - Venice , Florida Metropolitan Statistical Area and Punta Gorda , Florida Metropolitan Statistical Area     6   Cape Coral - Fort Myers   530,290   Cape Coral - Fort Myers , Florida Metropolitan Statistical Area     7   Palm Bay - Melbourne   452,791   Palm Bay - Melbourne - Titusville , Florida Metropolitan Statistical Area     8   Port St. Lucie   376,047   Port St. Lucie , Florida Metropolitan Statistical Area     9   Palm Coast - Daytona Beach - Port Orange   349,064   Deltona - Daytona Beach - Ormond Beach , Florida Metropolitan Statistical Area     10   Pensacola   340,067   Pensacola - Ferry Pass - Brent Metropolitan Statistical Area     11   Kissimmee   314,071   Orlando - Kissimmee , Florida , Metropolitan Statistical Area     12   Bonita Springs   310,298   Naples - Marco Island , Florida Metropolitan Statistical Area and Cape Coral - Fort Myers , Florida Metropolitan Statistical Area     13   Lakeland   262,596   Lakeland , Florida Metropolitan Statistical Area     14   Tallahassee   240,223   Tallahassee , Florida Metropolitan Statistical Area     15   Winter Haven   201,289   Lakeland , Florida Metropolitan Statistical Area     16   Fort Walton Beach - Navarre - Wright   191,917   Fort Walton Beach - Crestview - Destin , Florida Metropolitan Statistical Area and Pensacola - Ferry Pass - Brent , Florida Metropolitan Statistical Area     17   Gainesville   187,781   Gainesville , Florida Metropolitan Statistical Area     18   Deltona   182,169   Deltona - Daytona Beach - Ormond Beach , Florida Metropolitan Statistical Area     19   North Port - Port Charlotte   169,541   Punta Gorda , Florida Metropolitan Statistical Area and Sarasota - Bradenton - Venice , Florida Metropolitan Statistical Area     20   Ocala   156,909   Ocala , Florida Metropolitan Statistical Area     21   Sebastian - Vero Beach South - Florida Ridge   149,422   Sebastian - Vero Beach , Florida Metropolitan Statistical Area , Palm Bay - Melbourne - Titusville , Florida Metropolitan Statistical Area and Port St. Lucie , Florida Metropolitan Statistical Area     22   Spring Hill   148,220   Tampa - St. Petersburg - Clearwater , Florida Metropolitan Statistical Area     23   Panama City   143,280   Panama City - Lynn Haven , Florida Metropolitan Statistical Area     24   Leesburg - Eustis - Tavares   131,337   Orlando - Kissimmee , Florida , Metropolitan Statistical Area     25   Lady Lake - The Villages   112,991   Orlando - Kissimmee , Florida , Metropolitan Statistical Area , Ocala , Florida Metropolitan Statistical Area and Sumter County     26   Homosassa Springs - Beverly Hills - Citrus Springs   80,962   Homosassa Springs , Florida Metropolitan Statistical Area     27   St. Augustine   69,173   Jacksonville Metropolitan Statistical Area     28   Zephyrhills   66,609   Tampa - St. Petersburg - Clearwater , Florida Metropolitan Statistical Area     29   Sebring - Avon Park   61,625   Sebring , Florida Metropolitan Statistical Area     30   Titusville   54,386   Palm Bay - Melbourne - Titusville , Florida Metropolitan Statistical Area   </t>
  </si>
  <si>
    <t xml:space="preserve"> List of Super Bowl champions </t>
  </si>
  <si>
    <t>who won the superbowl the past 5 years</t>
  </si>
  <si>
    <t xml:space="preserve">   Game   Date   Winning team   Score   Losing team   Venue   City   Attendance   Ref     01 ! I   000000001967 - 01 - 15 - 0000 January 15 , 1967   Green Bay Packers 01 ! Green Bay Packers ( 1 , 1 -- 0 )   3510 ! 35 -- 10   Kansas City Chiefs 01 ! Kansas City Chiefs ( 1 , 0 -- 1 )   Los Angeles Memorial Coliseum 01 ! Los Angeles Memorial Coliseum   Los Angeles , California 01 ! Los Angeles , California   061946 ! 61,946       02 ! II   000000001968 - 01 - 14 - 0000 January 14 , 1968   Green Bay Packers 02 ! Green Bay Packers ( 2 , 2 -- 0 )   3314 ! 33 -- 14   Oakland Raiders 01 ! Oakland Raiders ( 1 , 0 -- 1 )   Miami Orange Bowl 01 ! Miami Orange Bowl   Miami , Florida 01 ! Miami , Florida   075546 ! 75,546       03 ! III   000000001969 - 01 - 12 - 0000 January 12 , 1969   New York Jets 01 ! New York Jets ( 1 , 1 -- 0 )   1607 ! 16 -- 7   Indianapolis Colts 01 ! Baltimore Colts ( 1 , 0 -- 1 )   Miami Orange Bowl 02 ! Miami Orange Bowl ( 2 )   Miami , Florida 02 ! Miami , Florida ( 2 )   075389 ! 75,389       04 ! IV   000000001970 - 01 - 11 - 0000 January 11 , 1970   Kansas City Chiefs 02 ! Kansas City Chiefs ( 2 , 1 -- 1 )   2307 ! 23 -- 7   Minnesota Vikings 01 ! Minnesota Vikings ( 1 , 0 -- 1 )   Tulane Stadium 01 ! Tulane Stadium   New Orleans , Louisiana 01 ! New Orleans , Louisiana   080562 ! 80,562       05 ! V   000000001971 - 01 - 17 - 0000 January 17 , 1971   Indianapolis Colts 02 ! Baltimore Colts ( 2 , 1 -- 1 )   1613 ! 16 -- 13   Dallas Cowboys 01 ! Dallas Cowboys ( 1 , 0 -- 1 )   Miami Orange Bowl 03 ! Miami Orange Bowl ( 3 )   Miami , Florida 03 ! Miami , Florida ( 3 )   079204 ! 79,204       06 ! VI   000000001972 - 01 - 16 - 0000 January 16 , 1972   Dallas Cowboys 02 ! Dallas Cowboys ( 2 , 1 -- 1 )   2403 ! 24 -- 3   Miami Dolphins 01 ! Miami Dolphins ( 1 , 0 -- 1 )   Tulane Stadium 02 ! Tulane Stadium ( 2 )   New Orleans , Louisiana 02 ! New Orleans , Louisiana ( 2 )   081023 ! 81,023       07 ! VII   000000001973 - 01 - 14 - 0000 January 14 , 1973   Miami Dolphins 02 ! Miami Dolphins ( 2 , 1 -- 1 )   1407 ! 14 -- 7   Washington Redskins 01 ! Washington Redskins ( 1 , 0 -- 1 )   Los Angeles Memorial Coliseum 02 ! Los Angeles Memorial Coliseum ( 2 )   Los Angeles , California 02 ! Los Angeles , California ( 2 )   090182 ! 90,182       08 ! VIII   000000001974 - 01 - 13 - 0000 January 13 , 1974   Miami Dolphins 03 ! Miami Dolphins ( 3 , 2 -- 1 )   2407 ! 24 -- 7   Minnesota Vikings 02 ! Minnesota Vikings ( 2 , 0 -- 2 )   Rice Stadium 01 ! Rice Stadium   Houston , Texas 01 ! Houston , Texas   071882 ! 71,882       09 ! IX   000000001975 - 01 - 12 - 0000 January 12 , 1975   Pittsburgh Steelers 01 ! Pittsburgh Steelers ( 1 , 1 -- 0 )   1606 ! 16 -- 6   Minnesota Vikings 03 ! Minnesota Vikings ( 3 , 0 -- 3 )   Tulane Stadium 03 ! Tulane Stadium ( 3 )   New Orleans , Louisiana 03 ! New Orleans , Louisiana ( 3 )   080997 ! 80,997       10 ! X   000000001976 - 01 - 18 - 0000 January 18 , 1976   Pittsburgh Steelers 02 ! Pittsburgh Steelers ( 2 , 2 -- 0 )   2117 ! 21 -- 17   Dallas Cowboys 03 ! Dallas Cowboys ( 3 , 1 -- 2 )   Miami Orange Bowl 04 ! Miami Orange Bowl ( 4 )   Miami , Florida 04 ! Miami , Florida ( 4 )   080187 ! 80,187       11 ! XI   000000001977 - 01 - 09 - 0000 January 9 , 1977   Oakland Raiders 02 ! Oakland Raiders ( 2 , 1 -- 1 )   3214 ! 32 -- 14   Minnesota Vikings 04 ! Minnesota Vikings ( 4 , 0 -- 4 )   Rose Bowl 01 ! Rose Bowl   Los Angeles , California 03 ! Pasadena , California ( 3 )   103438 ! 103,438       12 ! XII   000000001978 - 01 - 15 - 0000 January 15 , 1978   Dallas Cowboys 04 ! Dallas Cowboys ( 4 , 2 -- 2 )   2710 ! 27 -- 10   Denver Broncos 01 ! Denver Broncos ( 1 , 0 -- 1 )   Louisiana Superdome 01 ! Louisiana Superdome   New Orleans , Louisiana 04 ! New Orleans , Louisiana ( 4 )   076400 ! 76,400       13 ! XIII   000000001979 - 01 - 21 - 0000 January 21 , 1979   Pittsburgh Steelers 03 ! Pittsburgh Steelers ( 3 , 3 -- 0 )   3531 ! 35 -- 31   Dallas Cowboys 05 ! Dallas Cowboys ( 5 , 2 -- 3 )   Miami Orange Bowl 05 ! Miami Orange Bowl ( 5 )   Miami , Florida 05 ! Miami , Florida ( 5 )   079484 ! 79,484       14 ! XIV   000000001980 - 01 - 20 - 0000 January 20 , 1980   Pittsburgh Steelers 04 ! Pittsburgh Steelers ( 4 , 4 -- 0 )   3119 ! 31 -- 19   Los Angeles Rams 01 ! Los Angeles Rams ( 1 , 0 -- 1 )   Rose Bowl 02 ! Rose Bowl ( 2 )   Los Angeles , California 04 ! Pasadena , California ( 4 )   103985 ! 103,985       15 ! XV   000000001981 - 01 - 25 - 0000 January 25 , 1981   Oakland Raiders 03 ! Oakland Raiders ( 3 , 2 -- 1 )   2710 ! 27 -- 10   Philadelphia Eagles 01 ! Philadelphia Eagles ( 1 , 0 -- 1 )   Louisiana Superdome 02 ! Louisiana Superdome ( 2 )   New Orleans , Louisiana 05 ! New Orleans , Louisiana ( 5 )   076135 ! 76,135       16 ! XVI   000000001982 - 01 - 24 - 0000 January 24 , 1982   San Francisco 49ers 01 ! San Francisco 49ers ( 1 , 1 -- 0 )   2621 ! 26 -- 21   Cincinnati Bengals 01 ! Cincinnati Bengals ( 1 , 0 -- 1 )   Pontiac Silverdome 01 ! Pontiac Silverdome   Detroit , Michigan 01 ! Pontiac , Michigan   081270 ! 81,270       17 ! XVII   000000001983 - 01 - 30 - 0000 January 30 , 1983   Washington Redskins 02 ! Washington Redskins ( 2 , 1 -- 1 )   2717 ! 27 -- 17   Miami Dolphins 04 ! Miami Dolphins ( 4 , 2 -- 2 )   Rose Bowl 03 ! Rose Bowl ( 3 )   Los Angeles , California 05 ! Pasadena , California ( 5 )   103667 ! 103,667       18 ! XVIII   000000001984 - 01 - 22 - 0000 January 22 , 1984   Oakland Raiders 04 ! Los Angeles Raiders ( 4 , 3 -- 1 )   3809 ! 38 -- 9   Washington Redskins 03 ! Washington Redskins ( 3 , 1 -- 2 )   Tampa Stadium 01 ! Tampa Stadium   Tampa , Florida 01 ! Tampa , Florida   072920 ! 72,920       19 ! XIX   000000001985 - 01 - 20 - 0000 January 20 , 1985   San Francisco 49ers 02 ! San Francisco 49ers ( 2 , 2 -- 0 )   3816 ! 38 -- 16   Miami Dolphins 05 ! Miami Dolphins ( 5 , 2 -- 3 )   Stanford Stadium 01 ! Stanford Stadium   San Francisco , California 01 ! Stanford , California   084059 ! 84,059       20 ! XX   000000001986 - 01 - 26 - 0000 January 26 , 1986   Chicago Bears 01 ! Chicago Bears ( 1 , 1 -- 0 )   4610 ! 46 -- 10   New England Patriots 01 ! New England Patriots ( 1 , 0 -- 1 )   Louisiana Superdome 03 ! Louisiana Superdome ( 3 )   New Orleans , Louisiana 06 ! New Orleans , Louisiana ( 6 )   073818 ! 73,818       21 ! XXI   000000001987 - 01 - 25 - 0000 January 25 , 1987   New York Giants 01 ! New York Giants ( 1 , 1 -- 0 )   3920 ! 39 -- 20   Denver Broncos 02 ! Denver Broncos ( 2 , 0 -- 2 )   Rose Bowl 04 ! Rose Bowl ( 4 )   Los Angeles , California 06 ! Pasadena , California ( 6 )   101063 ! 101,063       22 ! XXII   000000001988 - 01 - 31 - 0000 January 31 , 1988   Washington Redskins 04 ! Washington Redskins ( 4 , 2 -- 2 )   4210 ! 42 -- 10   Denver Broncos 03 ! Denver Broncos ( 3 , 0 -- 3 )   Qualcomm Stadium 01 ! San Diego -- Jack Murphy Stadium   San Diego , California 01 ! San Diego , California   073302 ! 73,302       23 ! XXIII   000000001989 - 01 - 22 - 0000 January 22 , 1989   San Francisco 49ers 03 ! San Francisco 49ers ( 3 , 3 -- 0 )   2016 ! 20 -- 16   Cincinnati Bengals 02 ! Cincinnati Bengals ( 2 , 0 -- 2 )   Hard Rock Stadium 01 ! Joe Robbie Stadium   Miami , Florida 06 ! Miami Gardens , Florida ( 6 )   075129 ! 75,129       24 ! XXIV   000000001990 - 01 - 28 - 0000 January 28 , 1990   San Francisco 49ers 04 ! San Francisco 49ers ( 4 , 4 -- 0 )   5510 ! 55 -- 10   Denver Broncos 04 ! Denver Broncos ( 4 , 0 -- 4 )   Louisiana Superdome 04 ! Louisiana Superdome ( 4 )   New Orleans , Louisiana 07 ! New Orleans , Louisiana ( 7 )   072919 ! 72,919       25 ! XXV   000000001991 - 01 - 27 - 0000 January 27 , 1991   New York Giants 02 ! New York Giants ( 2 , 2 -- 0 )   2019 ! 20 -- 19   Buffalo Bills 01 ! Buffalo Bills ( 1 , 0 -- 1 )   Tampa Stadium 02 ! Tampa Stadium ( 2 )   Tampa , Florida 02 ! Tampa , Florida ( 2 )   073813 ! 73,813       26 ! XXVI   000000001992 - 01 - 26 - 0000 January 26 , 1992   Washington Redskins 05 ! Washington Redskins ( 5 , 3 -- 2 )   3724 ! 37 -- 24   Buffalo Bills 02 ! Buffalo Bills ( 2 , 0 -- 2 )   Metrodome 01 ! Metrodome   Minneapolis , Minnesota 01 ! Minneapolis , Minnesota   063130 ! 63,130       27 ! XXVII   000000001993 - 01 - 31 - 0000 January 31 , 1993   Dallas Cowboys 06 ! Dallas Cowboys ( 6 , 3 -- 3 )   5217 ! 52 -- 17   Buffalo Bills 03 ! Buffalo Bills ( 3 , 0 -- 3 )   Rose Bowl 05 ! Rose Bowl ( 5 )   Los Angeles , California 07 ! Pasadena , California ( 7 )   098374 ! 98,374       28 ! XXVIII   000000001994 - 01 - 30 - 0000 January 30 , 1994   Dallas Cowboys 07 ! Dallas Cowboys ( 7 , 4 -- 3 )   3013 ! 30 -- 13   Buffalo Bills 04 ! Buffalo Bills ( 4 , 0 -- 4 )   Georgia Dome 01 ! Georgia Dome   Atlanta , Georgia 01 ! Atlanta , Georgia   072817 ! 72,817       29 ! XXIX   000000001995 - 01 - 29 - 0000 January 29 , 1995   San Francisco 49ers 05 ! San Francisco 49ers ( 5 , 5 -- 0 )   4926 ! 49 -- 26   San Diego Chargers 01 ! San Diego Chargers ( 1 , 0 -- 1 )   Hard Rock Stadium 02 ! Joe Robbie Stadium ( 2 )   Miami , Florida 07 ! Miami Gardens , Florida ( 7 )   074107 ! 74,107       30 ! XXX   000000001996 - 01 - 28 - 0000 January 28 , 1996   Dallas Cowboys 08 ! Dallas Cowboys ( 8 , 5 -- 3 )   2717 ! 27 -- 17   Pittsburgh Steelers 05 ! Pittsburgh Steelers ( 5 , 4 -- 1 )   Sun Devil Stadium 01 ! Sun Devil Stadium   Phoenix , Arizona 01 ! Tempe , Arizona   076347 ! 76,347       31 ! XXXI   000000001997 - 01 - 26 - 0000 January 26 , 1997   Green Bay Packers 03 ! Green Bay Packers ( 3 , 3 -- 0 )   3521 ! 35 -- 21   New England Patriots 02 ! New England Patriots ( 2 , 0 -- 2 )   Louisiana Superdome 05 ! Louisiana Superdome ( 5 )   New Orleans , Louisiana 08 ! New Orleans , Louisiana ( 8 )   072301 ! 72,301       32 ! XXXII   000000001998 - 01 - 25 - 0000 January 25 , 1998   Denver Broncos 05 ! Denver Broncos ( 5 , 1 -- 4 )   3124 ! 31 -- 24   Green Bay Packers 04 ! Green Bay Packers ( 4 , 3 -- 1 )   Qualcomm Stadium 02 ! Qualcomm Stadium ( 2 )   San Diego , California 02 ! San Diego , California ( 2 )   068912 ! 68,912       33 ! XXXIII   000000001999 - 01 - 31 - 0000 January 31 , 1999   Denver Broncos 06 ! Denver Broncos ( 6 , 2 -- 4 )   3419 ! 34 -- 19   Atlanta Falcons 01 ! Atlanta Falcons ( 1 , 0 -- 1 )   Hard Rock Stadium 03 ! Pro Player Stadium ( 3 )   Miami , Florida 08 ! Miami Gardens , Florida ( 8 )   074803 ! 74,803       34 ! XXXIV   000000002000 - 01 - 30 - 0000 January 30 , 2000   Los Angeles Rams 02 ! St. Louis Rams ( 2 , 1 -- 1 )   2316 ! 23 -- 16   Tennessee Titans 01 ! Tennessee Titans ( 1 , 0 -- 1 )   Georgia Dome 02 ! Georgia Dome ( 2 )   Atlanta , Georgia 02 ! Atlanta , Georgia ( 2 )   072625 ! 72,625       35 ! XXXV   000000002001 - 01 - 28 - 0000 January 28 , 2001   Baltimore Ravens 01 ! Baltimore Ravens ( 1 , 1 -- 0 )   3407 ! 34 -- 7   New York Giants 03 ! New York Giants ( 3 , 2 -- 1 )   Raymond James Stadium 01 ! Raymond James Stadium   Tampa , Florida 03 ! Tampa , Florida ( 3 )   071921 ! 71,921       36 ! XXXVI   000000002002 - 02 - 03 - 0000 February 3 , 2002   New England Patriots 03 ! New England Patriots ( 3 , 1 -- 2 )   2017 ! 20 -- 17   Los Angeles Rams 03 ! St. Louis Rams ( 3 , 1 -- 2 )   Louisiana Superdome 06 ! Louisiana Superdome ( 6 )   New Orleans , Louisiana 09 ! New Orleans , Louisiana ( 9 )   072922 ! 72,922       37 ! XXXVII   000000002003 - 01 - 26 - 0000 January 26 , 2003   Tampa Bay Buccaneers 01 ! Tampa Bay Buccaneers ( 1 , 1 -- 0 )   4821 ! 48 -- 21   Oakland Raiders 05 ! Oakland Raiders ( 5 , 3 -- 2 )   Qualcomm Stadium 03 ! Qualcomm Stadium ( 3 )   San Diego , California 03 ! San Diego , California ( 3 )   067603 ! 67,603       38 ! XXXVIII   000000002004 - 02 - 01 - 0000 February 1 , 2004   New England Patriots 04 ! New England Patriots ( 4 , 2 -- 2 )   3229 ! 32 -- 29   Carolina Panthers 01 ! Carolina Panthers ( 1 , 0 -- 1 )   NRG Stadium 01 ! Reliant Stadium   Houston , Texas 02 ! Houston , Texas ( 2 )   071525 ! 71,525       39 ! XXXIX   000000002005 - 02 - 06 - 0000 February 6 , 2005   New England Patriots 05 ! New England Patriots ( 5 , 3 -- 2 )   2421 ! 24 -- 21   Philadelphia Eagles 02 ! Philadelphia Eagles ( 2 , 0 -- 2 )   ALLTEL Stadium 01 ! Alltel Stadium   Jacksonville , Florida 01 ! Jacksonville , Florida   078125 ! 78,125       40 ! XL   000000002006 - 02 - 05 - 0000 February 5 , 2006   Pittsburgh Steelers 06 ! Pittsburgh Steelers ( 6 , 5 -- 1 )   2110 ! 21 -- 10   Seattle Seahawks 01 ! Seattle Seahawks ( 1 , 0 -- 1 )   Ford Field 01 ! Ford Field   Detroit , Michigan 02 ! Detroit , Michigan ( 2 )   068206 ! 68,206       41 ! XLI   000000002007 - 02 - 04 - 0000 February 4 , 2007   Indianapolis Colts 03 ! Indianapolis Colts ( 3 , 2 -- 1 )   2917 ! 29 -- 17   Chicago Bears 02 ! Chicago Bears ( 2 , 1 -- 1 )   Hard Rock Stadium 04 ! Dolphin Stadium ( 4 )   Miami , Florida 09 ! Miami Gardens , Florida ( 9 )   074512 ! 74,512       42 ! XLII   000000002008 - 02 - 03 - 0000 February 3 , 2008   New York Giants 04 ! New York Giants ( 4 , 3 -- 1 )   1714 ! 17 -- 14   New England Patriots 06 ! New England Patriots ( 6 , 3 -- 3 )   University of Phoenix Stadium 01 ! University of Phoenix Stadium   Phoenix , Arizona 02 ! Glendale , Arizona ( 2 )   071101 ! 71,101       43 ! XLIII   000000002009 - 02 - 01 - 0000 February 1 , 2009   Pittsburgh Steelers 07 ! Pittsburgh Steelers ( 7 , 6 -- 1 )   2723 ! 27 -- 23   Arizona Cardinals 01 ! Arizona Cardinals ( 1 , 0 -- 1 )   Raymond James Stadium 02 ! Raymond James Stadium ( 2 )   Tampa , Florida 04 ! Tampa , Florida ( 4 )   070774 ! 70,774       44 ! XLIV   000000002010 - 02 - 07 - 0000 February 7 , 2010   New Orleans Saints 01 ! New Orleans Saints ( 1 , 1 -- 0 )   3117 ! 31 -- 17   Indianapolis Colts 04 ! Indianapolis Colts ( 4 , 2 -- 2 )   Hard Rock Stadium 05 ! Sun Life Stadium ( 5 )   Miami , Florida 10 ! Miami Gardens , Florida ( 10 )   074059 ! 74,059       45 ! XLV   000000002011 - 02 - 06 - 0000 February 6 , 2011   Green Bay Packers 05 ! Green Bay Packers ( 5 , 4 -- 1 )   3125 ! 31 -- 25   Pittsburgh Steelers 08 ! Pittsburgh Steelers ( 8 , 6 -- 2 )   Cowboys Stadium 01 ! Cowboys Stadium   Arlington , Texas 01 ! Arlington , Texas   103219 ! 103,219       46 ! XLVI   000000002012 - 02 - 05 - 0000 February 5 , 2012   New York Giants 05 ! New York Giants ( 5 , 4 -- 1 )   2117 ! 21 -- 17   New England Patriots 07 ! New England Patriots ( 7 , 3 -- 4 )   Lucas Oil Stadium 01 ! Lucas Oil Stadium   Indianapolis , Indiana 01 ! Indianapolis , Indiana   068658 ! 68,658       47 ! XLVII   000000002013 - 02 - 03 - 0000 February 3 , 2013   Baltimore Ravens 02 ! Baltimore Ravens ( 2 , 2 -- 0 )   3431 ! 34 -- 31   San Francisco 49ers 06 ! San Francisco 49ers ( 6 , 5 -- 1 )   Louisiana Superdome 07 ! Mercedes - Benz Superdome ( 7 )   New Orleans , Louisiana 10 ! New Orleans , Louisiana ( 10 )   071024 ! 71,024       48 ! XLVIII   000000002014 - 02 - 02 - 0000 February 2 , 2014   Seattle Seahawks 02 ! Seattle Seahawks ( 2 , 1 -- 1 )   4308 ! 43 -- 8   Denver Broncos 07 ! Denver Broncos ( 7 , 2 -- 5 )   MetLife Stadium 01 ! MetLife Stadium   East Rutherford , New Jersey 01 ! East Rutherford , New Jersey   082529 ! 82,529       49 ! XLIX   000000002015 - 02 - 01 - 0000 February 1 , 2015   New England Patriots 08 ! New England Patriots ( 8 , 4 -- 4 )   2824 ! 28 -- 24   Seattle Seahawks 03 ! Seattle Seahawks ( 3 , 1 -- 2 )   University of Phoenix Stadium 02 ! University of Phoenix Stadium ( 2 )   Phoenix , Arizona 03 ! Glendale , Arizona ( 3 )   070288 ! 70,288       50 ! 50   000000002016 - 02 - 07 - 0000 February 7 , 2016   Denver Broncos 08 ! Denver Broncos ( 8 , 3 -- 5 )   2410 ! 24 -- 10   Carolina Panthers 02 ! Carolina Panthers ( 2 , 0 -- 2 )   Levi 's Stadium 01 ! Levi 's Stadium   San Francisco , California 02 ! Santa Clara , California ( 2 )   071088 ! 71,088       51 ! LI   000000002017 - 02 - 05 - 0000 February 5 , 2017   New England Patriots 09 ! New England Patriots ( 9 , 5 -- 4 )   3428 ! 34 -- 28 ( OT )   Atlanta Falcons 02 ! Atlanta Falcons ( 2 , 0 -- 2 )   NRG Stadium 02 ! NRG Stadium ( 2 )   Houston , Texas 03 ! Houston , Texas ( 3 )   070807 ! 70,807       52 ! LII   000000002018 - 02 - 04 - 0000 February 4 , 2018   Philadelphia Eagles 03 ! Philadelphia Eagles ( 3 , 1 -- 2 )   4133 ! 41 -- 33   New England Patriots 10 ! New England Patriots ( 10 , 5 -- 5 )   U.S. Bank Stadium 01 ! U.S. Bank Stadium   Minneapolis , Minnesota 02 ! Minneapolis , Minnesota ( 2 )   067612 ! 67,612       53 ! LIII   000000002019 - 02 - 03 - 0000 February 3 , 2019   X 2019 ! 2018 -- 19 AFC champion at 2018 -- 19 NFC champion   0019 ! --   X 2019 ! To be determined ( TBD )   Mercedes - Benz Stadium 01 ! Mercedes - Benz Stadium   Atlanta , Georgia 03 ! Atlanta , Georgia ( 3 )   TBD       54 ! LIV   000000002020 - 02 - 02 - 0000 February 2 , 2020   X 2020 ! 2019 -- 20 NFC champion at 2019 -- 20 AFC champion   0020 ! --   X 2020 ! To be determined   Hard Rock Stadium 06 ! Hard Rock Stadium ( 6 )   Miami , Florida 11 ! Miami Gardens , Florida ( 11 )   TBD       55 ! LV   000000002021 - 02 - 07 - 0000 February 7 , 2021   X 2020 ! 2020 -- 21 AFC champion at 2020 -- 21 NFC champion   0021 ! --   X 2021 ! To be determined   Raymond James Stadium 03 ! Raymond James Stadium ( 3 )   Tampa , Florida 05 ! Tampa , Florida ( 5 )   TBD       56 ! LVI   000000002022 - 02 - 06 - 0000 February 6 , 2022   X 2021 ! 2021 -- 22 NFC champion at 2021 -- 22 AFC champion   0022 ! --   X 2022 ! To be determined   City of Champions Stadium 01 ! Los Angeles Stadium at Hollywood Park   Los Angeles , California 08 ! Inglewood , California ( 8 )   TBD       Game   Date   Winning team   Score   Losing team   Venue   City   Attendance   Ref   </t>
  </si>
  <si>
    <t xml:space="preserve"> 2007 NBA draft </t>
  </si>
  <si>
    <t>who was drafted the same year as kevin durant</t>
  </si>
  <si>
    <t xml:space="preserve">   Round   Pick   Player   Position   Nationality   Team   School / club team         Oden , Greg Greg Oden     United States   Portland Trail Blazers   Ohio State ( Fr . )         Durant , Kevin Kevin Durant *   SF   United States   Seattle SuperSonics   Texas ( Fr . )         Horford , Al Al Horford     Dominican Republic   Atlanta Hawks   Florida ( Jr . )         Conley , Mike Mike Conley   PG   United States   Memphis Grizzlies   Ohio State ( Fr . )       5   Green , Jeff Jeff Green   SF   United States   Boston Celtics ( traded to Seattle )   Georgetown ( Jr . )       6   Yi , Jianlian Yi Jianlian   PF   China   Milwaukee Bucks   Guangdong Southern Tigers ( China )       7   Brewer , Corey Corey Brewer   SF   United States   Minnesota Timberwolves   Florida ( Jr . )       8   Wright , Brandan Brandan Wright   PF   United States   Charlotte Bobcats ( traded to Golden State )   North Carolina ( Fr . )       9   Noah , Joakim Joakim Noah     France United States   Chicago Bulls ( from New York )   Florida ( Jr . )       10   Hawes , Spencer Spencer Hawes     United States   Sacramento Kings   Washington ( Fr . )       11   Law , Acie Acie Law   PG   United States   Atlanta Hawks ( from Indiana )   Texas A&amp;M ( Sr . )       12   Young , Thaddeus Thaddeus Young   PF   United States   Philadelphia 76ers   Georgia Tech ( Fr . )       13   Wright , Julian Julian Wright   SF   United States   New Orleans Hornets   Kansas ( So . )       14   Thornton , Al Al Thornton   SF   United States   Los Angeles Clippers   Florida State ( Sr . )       15   Stuckey , Rodney Rodney Stuckey   SG   United States   Detroit Pistons ( from Orlando )   Eastern Washington ( So . )       16   Young , Nick Nick Young   SG   United States   Washington Wizards   USC ( Jr . )       17   Williams , Sean Sean Williams   PF   United States   New Jersey Nets   Boston College ( Jr . )       18   Belinelli , Marco Marco Belinelli   SG   Italy   Golden State Warriors   Fortitudo Bologna ( Italy )       19   Crittenton , Javaris Javaris Crittenton   PG   United States   Los Angeles Lakers   Georgia Tech ( Fr . )       20   Smith , Jason Jason Smith   PF   United States   Miami Heat ( traded to Philadelphia )   Colorado State ( Jr . )       21   Cook , Daequan Daequan Cook   SG   United States   Philadelphia 76ers ( from Denver , traded to Miami )   Ohio State ( Fr . )       22   Dudley , Jared Jared Dudley   SF   United States   Charlotte Bobcats ( from Toronto via Cleveland )   Boston College ( Sr . )       23   Chandler , Wilson Wilson Chandler   SF   United States   New York Knicks ( from Chicago )   DePaul ( So . )       24   Fernández , Rudy Rudy Fernández   SG   Spain   Phoenix Suns ( from Cleveland via Boston , traded to Portland )   Joventut Badalona ( Spain )       25   Almond , Morris Morris Almond   SG   United States   Utah Jazz   Rice ( Sr . )       26   Brooks , Aaron Aaron Brooks   PG   United States   Houston Rockets   Oregon ( Sr . )       27   Afflalo , Arron Arron Afflalo   SG   United States   Detroit Pistons   UCLA ( Jr . )       28   Splitter , Tiago Tiago Splitter     Brazil   San Antonio Spurs   TAU Cerámica ( Spain )       29   Tucker , Alando Alando Tucker   SF   United States   Phoenix Suns   Wisconsin ( Sr . )       30   Koponen , Petteri Petteri Koponen   SG   Finland   Philadelphia 76ers ( from Dallas via Golden State and Denver , traded to Portland )   Tapiolan Honka ( Finland )       31   Landry , Carl Carl Landry   PF   United States   Seattle SuperSonics ( from Memphis , traded to Houston )   Purdue ( Sr . )       32   Pruitt , Gabe Gabe Pruitt   PG   United States   Boston Celtics   USC ( Jr . )       33   Williams , Marcus Marcus Williams   SF   United States   San Antonio Spurs ( from Milwaukee )   Arizona ( So . )       34   Fazekas , Nick Nick Fazekas   PF   United States   Dallas Mavericks ( from Atlanta )   Nevada ( Sr . )       35   Davis , Glen Glen Davis   PF   United States   Seattle SuperSonics ( traded to Boston )   LSU ( Jr . )       36   Davidson , Jermareo Jermareo Davidson   PF   United States   Golden State Warriors ( from Minnesota , traded to Charlotte )   Alabama ( Sr . )       37   McRoberts , Josh Josh McRoberts   PF   United States   Portland Trail Blazers   Duke ( So . )       38   Fesenko , Kyrylo Kyrylo Fesenko     Ukraine   Philadelphia 76ers ( from New York via Chicago , traded to Utah )   SK Cherkassy ( Ukraine ) )       39   Barać , Stanko Stanko Barać     Croatia   Miami Heat ( from Sacramento via Utah and Orlando , traded to Indiana )   Široki Brijeg ( Bosnia and Herzegovina )       40   Sun , Yue Sun Yue   SF   China   Los Angeles Lakers ( from Charlotte )   Beijing Olympians ( ABA )       41   Richard , Chris Chris Richard   PF   United States   Minnesota Timberwolves ( from Philadelphia )   Florida ( Sr . )       42   Byars , Derrick Derrick Byars   SG   United States   Portland Trail Blazers ( from Indiana , traded to Philadelphia )   Vanderbilt ( Sr . )       43   Haluska , Adam Adam Haluska   SG   United States   New Orleans Hornets   Iowa ( Sr . )       44   Terry , Reyshawn Reyshawn Terry   SF   United States   Orlando Magic ( traded to Dallas )   North Carolina ( Sr . )       45   Jordan , Jared Jared Jordan   PG   United States   Los Angeles Clippers   Marist ( Sr . )       46   Lasme , Stephane Stephane Lasme   PF   Gabon   Golden State Warriors ( from New Jersey )   Massachusetts ( Sr . )       47   McGuire , Dominic Dominic McGuire   SF   United States   Washington Wizards   Fresno State ( Jr . )       48   Gasol , Marc Marc Gasol     Spain   Los Angeles Lakers ( traded to Memphis )   Akasvayu Girona ( Spain )       49   Gray , Aaron Aaron Gray     United States   Chicago Bulls ( from Golden State via Phoenix , Boston and Denver )   Pittsburgh ( Sr . )       50   Seibutis , Renaldas Renaldas Seibutis   SG   Lithuania   Dallas Mavericks ( from Miami via L.A. Lakers )   Maroussi ( Greece )       51   Curry , JamesOn JamesOn Curry   PG   United States   Chicago Bulls ( from Denver )   Oklahoma State ( Jr . )       52   Green , Taurean Taurean Green   PG   Georgia   Portland Trail Blazers ( from Toronto )   Florida ( Jr . )       53   Nichols , Demetris Demetris Nichols   SF   United States   Portland Trail Blazers ( from Chicago , traded to New York )   Syracuse ( Sr . )       54   Newley , Brad Brad Newley   SF   Australia   Houston Rockets ( from Cleveland via Orlando )   Townsville Crocodiles ( Australia )       55   Hill , Herbert Herbert Hill   PF   United States   Utah Jazz ( traded to Philadelphia )   Providence ( Sr . )       56   Sessions , Ramon Ramon Sessions   PG   United States   Milwaukee Bucks ( from Houston )   Nevada ( Jr . )       57   Mejia , Sammy Sammy Mejia   SG   Dominican Republic   Detroit Pistons   DePaul ( Sr . )       58   Printezis , Giorgos Giorgos Printezis   PF   Greece   San Antonio Spurs ( traded to Toronto )   Olympia Larissa ( Greece )       59   Strawberry , D.J. D.J. Strawberry   PG   United States   Phoenix Suns   Maryland ( Sr . )       60   Raković , Milovan Milovan Raković     Serbia   Dallas Mavericks ( traded to Orlando )   Mega Ishrana ( Serbia )   </t>
  </si>
  <si>
    <t xml:space="preserve"> YouTube Play Button </t>
  </si>
  <si>
    <t>how many subscribers to get a silver play button</t>
  </si>
  <si>
    <t xml:space="preserve"> The Silver Play Button , for channels that surpass 100,000 subscribers . Old version made of nickel plated copper - nickel alloy . </t>
  </si>
  <si>
    <t xml:space="preserve"> Oceans ( Where Feet May Fail ) </t>
  </si>
  <si>
    <t>who wrote the song oceans where feet may fail</t>
  </si>
  <si>
    <t xml:space="preserve">   `` Oceans ( Where Feet May Fail ) ''         Single by Hillsong United     from the album Zion     Released   23 August 2013 ( 2013 - 08 - 23 )     Format   Digital download     Recorded   2013     Genre   Worship     Length   8 : 55 ( Album version ) 4 : 09 ( Radio version )     Label     Hillsong   Capitol CMG       Songwriter ( s )     Matt Crocker   Joel Houston   Salomon Ligthelm       Producer ( s )   Michael Guy Chislett     Hillsong United singles chronology        `` Scandal of Grace '' ( 2013 )   `` Oceans ( Where Feet May Fail ) '' ( 2013 )   `` Touch the Sky '' ( 2015 )           `` Scandal of Grace '' ( 2013 )   `` Oceans ( Where Feet May Fail ) '' ( 2013 )   `` Touch the Sky '' ( 2015 )      </t>
  </si>
  <si>
    <t>Matt Crocker</t>
  </si>
  <si>
    <t xml:space="preserve"> Freedom of movement for workers in the European Union </t>
  </si>
  <si>
    <t>when was free movement in the eu introduced</t>
  </si>
  <si>
    <t xml:space="preserve"> The Treaty of Paris ( 1951 ) establishing the European Coal and Steel Community established a right to free movement for workers in these industries and the Treaty of Rome ( 1957 ) provided a right for the free movement of workers within the European Economic Community . The Directive 2004 / 38 / EC on the right to move and reside freely assembles the different aspects of the right of movement in one document , replacing inter alia the directive 1968 / 360 / EEC . It also clarifies procedural issues , and it strengthens the rights of family members of European citizens using the freedom of movement . According to the official site of the European Parliament , the explanation of the freedom of workers goes as follows : </t>
  </si>
  <si>
    <t>1957</t>
  </si>
  <si>
    <t xml:space="preserve"> Effingham , Illinois </t>
  </si>
  <si>
    <t>what is the big cross in effingham illinois</t>
  </si>
  <si>
    <t xml:space="preserve"> A 198 - foot ( 60 m ) steel cross erected by The Cross Foundation is located in Effingham . The Cross is made out of over 180 tons of steel and cost over $1 million . The Cross Foundation claims that the cross is the `` largest '' in the United States standing at 198 - foot ( 60 m ) with a span of 113 - foot ( 34 m ) . While the 208 - foot ( 63 m ) Great Cross in St. Augustine , Florida is believed to be the tallest freestanding cross in the western hemisphere , it is thinner than the cross in Effingham and has a narrow span . </t>
  </si>
  <si>
    <t xml:space="preserve"> Hand , foot , and mouth disease </t>
  </si>
  <si>
    <t>when did hand foot and mouth disease begin</t>
  </si>
  <si>
    <t xml:space="preserve"> HFMD cases were first described clinically in Canada and New Zealand in 1957 . The disease was termed `` Hand Foot and Mouth Disease '' , by Thomas Henry Flewett , after a similar outbreak in 1960 . </t>
  </si>
  <si>
    <t xml:space="preserve"> List of cities in New York ( state ) </t>
  </si>
  <si>
    <t>list of largest cities in new york state</t>
  </si>
  <si>
    <t xml:space="preserve">   City   County   Population ( 2011 census estimate )   Incorporation date   FIPS code ( subdivision )   FIPS code ( place )   GNIS feature ID     Albany   Albany   97,660   1686   3600101000   3601000   00978659     Amsterdam   Montgomery   18,507   1830   3605702066   3602066   00978677     Auburn   Cayuga   27,590   1848   3601103078   3603078   00978695     Batavia   Genesee   15,444   1915   3603704715   3604715   00978713     Beacon   Dutchess   15,565   1913   3602705100   3605100   00978716     Binghamton   Broome   46,996   1867   3600706607   3606607   00978733     Buffalo   Erie   261,025   1832   3602911000   3611000   00978764     Canandaigua   Ontario   10,604   1913   3606912144   3612144   00978784     Cohoes   Albany   16,133   1869   3600116749   3616749   00978847     Corning   Steuben   11,187   1890   3610118256   3618256   00978867     Cortland   Cortland   19,212   1900   3602318388   3618388   00978870     Dunkirk   Chautauqua   12,511   1888   3601321105   3621105   00978911     Elmira   Chemung   29,204   1864   3601524229   3624229   00978938     Fulton   Oswego   11,906   1902   3607527815   3627815   00978979     Geneva   Ontario Seneca   13,324   1898   3606928640 3609928640   3628640   00978992     Glen Cove   Nassau   27,063   1918   3605929113   3629113   00979003     Glens Falls   Warren   14,728   1908   3611329333   3629333   00979004     Gloversville   Fulton   15,621   1890   3603529443   3629443   00979006     Hornell   Steuben   8,566   1888   3610135672   3635672   00979078     Hudson   Columbia   6,657   1785   3602135969   3635969   00979083     Ithaca   Tompkins   30,054   1888   3610938077   3638077   00979099     Jamestown   Chautauqua   31,020   1886   3601338264   3638264   00979102     Johnstown   Fulton   8,718   1895   3603538781   3638781   00979110     Kingston   Ulster   23,887   1872   3611139727   3639727   00979118     Lackawanna   Erie   18,121   1909   3602940189   3640189   00979124     Little Falls   Herkimer   5,188   1895   3604342741   3642741   00979157     Lockport   Niagara   21,119   1865   3606343082   3643082   00979164     Long Beach   Nassau   33,395   1922   3605943335   3643335   00979167     Mechanicville   Saratoga   5,227   1915   3609146360   3646360   00979207     Middletown   Orange   28,243   1888   3607147042   3647042   00979217     Mount Vernon   Westchester   67,780   1892   3611949121   3649121   00979245     New Rochelle   Westchester   77,606   1889   3611950617   3650617   00979271     New York City   Bronx , Kings , New York , Queens , and Richmond   8,550,405   1653     3651000   02395220     Newburgh   Orange   29,026   1865   3607150034   3650034   00979258     Niagara Falls   Niagara   50,086   1892   3606351055   3651055   00979276     North Tonawanda   Niagara   31,501   1897   3606353682   3653682   00979293     Norwich   Chenango   7,139   1914   3601753979   3653979   00979296     Ogdensburg   St. Lawrence   11,104   1868   3608954485   3654485   00979301     Olean   Cattaraugus   14,363   1854   3600954716   3654716   00979305     Oneida   Madison   11,387   1901   3605354837   3654837   00979308     Oneonta   Otsego   13,843   1908   3607754881   3654881   00979309     Oswego   Oswego   18,158   1848   3607555574   3655574   00979325     Peekskill   Westchester   23,755   1940   3611956979   3656979   00979348     Plattsburgh   Clinton   19,949   1902   3601958574   3658574   00979376     Port Jervis   Orange   8,878   1907   3607159388   3659388   00979387     Poughkeepsie   Dutchess   32,790   1854   3602759641   3659641   00979392     Rensselaer   Rensselaer   9,391   1897   3608361148   3661148   00979414     Rochester   Monroe   210,855   1834   3605563000   3663000   00979426     Rome   Oneida   33,660   1870   3606563418   3663418   00979430     Rye   Westchester   15,834   1942   3611964309   3664309   00979445     Salamanca   Cattaraugus   5,780   1913   3600964749   3664749   00979450     Saratoga Springs   Saratoga   26,727   1915   3609165255   3665255   00979462     Schenectady   Schenectady   66,273   1798   3609365508   3665508   00979468     Sherrill   Oneida   3,147   1916   3606566993   3666993   00979493     Syracuse   Onondaga   145,151   1848   3606773000   3673000   00979539     Tonawanda   Erie   15,112   1904   3602974166   3674166   00979550     Troy   Rensselaer   50,120   1816   3608375484   3675484   00979559     Utica   Oneida   62,110   1832   3606576540   3676540   00979575     Watertown   Jefferson   27,423   1869   3604578608   3678608   00979604     Watervliet   Albany   10,230   1896   3600178674   3678674   00979606     White Plains   Westchester   57,258   1916   3611981677   3681677   00979637     Yonkers   Westchester   197,399   1872   3611984000   3684000   00979660   </t>
  </si>
  <si>
    <t xml:space="preserve"> Randy Gumpert </t>
  </si>
  <si>
    <t>who gave up mickey mantle's first home run</t>
  </si>
  <si>
    <t xml:space="preserve"> On May 1 , 1951 , Gumpert became part of baseball history as he allowed Mickey Mantle 's first home run . 1951 also saw Gumpert make his only all - star appearance , in which he did not pitch . On November 13 , 1951 , Gumpert was traded along with Don Lenhardt to the Boston Red Sox for Mel Hoderlein and Chuck Stobbs . After playing 10 games for the Red Sox , he was traded again , this time to the Washington Senators with Walt Masterson for Sid Hudson . </t>
  </si>
  <si>
    <t xml:space="preserve"> Marbury v. Madison </t>
  </si>
  <si>
    <t>what was the significance of marbury vs madison</t>
  </si>
  <si>
    <t xml:space="preserve"> Marbury v. Madison , 5 U.S. ( 1 Cranch ) 137 ( 1803 ) , was a U.S. Supreme Court case that established the principle of judicial review in the United States , meaning that American courts have the power to strike down laws , statutes , and executive actions that contravene the U.S. Constitution . The Court 's landmark decision , issued in 1803 , helped define the boundary between the constitutionally separate executive and judicial branches of the American form of government . </t>
  </si>
  <si>
    <t>established the principle of judicial review in the United States , meaning that American courts have the power to strike down laws , statutes , and executive actions that contravene the U.S. Constitution</t>
  </si>
  <si>
    <t xml:space="preserve"> Tourism in Nepal </t>
  </si>
  <si>
    <t>how much money does tourism bring to nepal</t>
  </si>
  <si>
    <t xml:space="preserve"> Mount Everest , the highest mountain peak in the world , is located in Nepal . Mountaineering and other types of adventure tourism and ecotourism are important attractions for visitors . The world heritage site Lumbini , birthplace of Gautama Buddha , is located in the south of the West region of Nepal ( which despite the name is located in the centre of the country ) and there are other important religious pilgrimage sites throughout the country . The tourist industry is seen as a way to alleviate poverty and achieve greater social equity in the country . Tourism brings $471 ma year to Nepal . </t>
  </si>
  <si>
    <t>$471 ma year</t>
  </si>
  <si>
    <t xml:space="preserve"> List of countries by GDP ( nominal ) </t>
  </si>
  <si>
    <t>who had the worlds largest economy in 2014</t>
  </si>
  <si>
    <t xml:space="preserve"> Although the rankings of national economies have changed considerably over time , the United States has maintained its top position since the Gilded Age , a time period in which its economy saw rapid expansion , surpassing the British Empire and Qing dynasty in aggregate output . Since China 's transition to a market - based economy through privatisation and deregulation , the country has seen its ranking increase from ninth in 1978 to second to only the United States in 2016 as economic growth accelerated and its share of global nominal GDP surged from 2 % in 1980 to 15 % in 2016 . India has also experienced a similar economic boom since the implementation of economic liberalisation in the early 1990s . When supranational entities are included , the European Union is the second largest economy in the world . It was the largest from 2004 , when ten countries joined the union , to 2014 , after which it was surpassed by the United States . </t>
  </si>
  <si>
    <t>the United States</t>
  </si>
  <si>
    <t xml:space="preserve"> Federal government of the United States </t>
  </si>
  <si>
    <t>what are three branches of government in the united states</t>
  </si>
  <si>
    <t xml:space="preserve"> The Federal Government of the United States ( U.S. Federal Government ) is the national government of the United States , a republic in North America , composed of 50 states , one district , Washington , D.C. ( the nation 's capital ) , and several territories . The federal government is composed of three distinct branches : legislative , executive , and judicial , whose powers are vested by the U.S. Constitution in the Congress , the president , and the federal courts , respectively . The powers and duties of these branches are further defined by acts of Congress , including the creation of executive departments and courts inferior to the Supreme Court . </t>
  </si>
  <si>
    <t>legislative</t>
  </si>
  <si>
    <t xml:space="preserve"> Cowboys -- Redskins rivalry </t>
  </si>
  <si>
    <t>who's winning the cowboys or the redskins</t>
  </si>
  <si>
    <t xml:space="preserve">     Cowboys wins   Redskins wins   Ties   Cowboys points   Redskins points     Regular season   70   42     2,594   2,162     Postseason   0     0   20   57     Totals   70   44     2,614   2,219   </t>
  </si>
  <si>
    <t>Cowboys</t>
  </si>
  <si>
    <t xml:space="preserve"> Chevrolet HHR </t>
  </si>
  <si>
    <t>what does hhr stand for on a chevy</t>
  </si>
  <si>
    <t xml:space="preserve"> The name HHR is an initialism for Heritage High Roof . </t>
  </si>
  <si>
    <t>Heritage High Roof</t>
  </si>
  <si>
    <t xml:space="preserve"> Beowulf </t>
  </si>
  <si>
    <t>when was the oldest surviving manuscript of beowulf written</t>
  </si>
  <si>
    <t xml:space="preserve">   Beowulf     First page of Beowulf in Cotton Vitellius A. xv     Author ( s )   Unknown     Language   West Saxon dialect of Old English     Date   c. 700 -- 1000 AD ( date of poem ) , c. 975 -- 1010 AD ( date of manuscript )     State of existence   Manuscript suffered damage from fire in 1731     Manuscript ( s )   Cotton Vitellius A. xv     First printed edition   Thorkelin ( 1815 )     Genre   Epic heroic poetry     Verse form   Alliterative verse     Length   c. 3182 lines     Subject   The battles of Beowulf , the Geatish hero , in youth and old age     Personages   Beowulf , Hygelac , Hrothgar , Wealhþeow , Hrothulf , Æschere , Unferth , Grendel , Grendel 's mother , Wiglaf , Hildeburh .   </t>
  </si>
  <si>
    <t>975 -- 1010 AD</t>
  </si>
  <si>
    <t xml:space="preserve"> Let You Down ( NF song ) </t>
  </si>
  <si>
    <t>who sings the song sorry that i let you down</t>
  </si>
  <si>
    <t xml:space="preserve"> `` Let You Down '' is a song by American Christian hip hop artist and songwriter NF . It serves as the third single from his third studio album , Perception , and was released on September 14 , 2017 , for digital download and streaming , including an audio video . It is his first No. 1 single on the Hot Christian Songs chart . It is his first song to be certified Gold by the RIAA . </t>
  </si>
  <si>
    <t>NF</t>
  </si>
  <si>
    <t xml:space="preserve"> Tower blocks in great Britain </t>
  </si>
  <si>
    <t>when was the first tower block built in england</t>
  </si>
  <si>
    <t xml:space="preserve"> Tower blocks began to be built in Great Britain after the Second World War . The first residential tower block , `` The Lawn '' was constructed in Harlow , Essex in 1951 ; it is now a Grade II listed building . In many cases tower blocks were seen as a `` quick - fix '' to cure problems caused by crumbling and unsanitary 19th - century dwellings or to replace buildings destroyed by German aerial bombing . It was argued that towers surrounded by public open space could provide the same population density as the terraced housing and small private gardens they replaced , offering larger rooms and improved views whilst being cheaper to build . </t>
  </si>
  <si>
    <t>1951</t>
  </si>
  <si>
    <t xml:space="preserve"> Lake Isle of Innisfree </t>
  </si>
  <si>
    <t>who wrote about the idyllic 'isle of innisfree'</t>
  </si>
  <si>
    <t xml:space="preserve"> `` The Lake Isle of Innisfree '' is a twelve - line poem composed of three quatrains written by William Butler Yeats in 1888 and first published in the National Observer in 1890 . It was reprinted in The Countess Kathleen and Various Legends and Lyrics in 1892 and as an illustrated Cuala Press Broadside in 1932 . </t>
  </si>
  <si>
    <t>William Butler Yeats</t>
  </si>
  <si>
    <t xml:space="preserve"> Gun laws in Texas </t>
  </si>
  <si>
    <t>how old do you have to be in texas to own a gun</t>
  </si>
  <si>
    <t xml:space="preserve"> Texas has no laws regarding possession of any firearm regardless of age , without felony convictions ; all existing restrictions in State law mirror Federal law . A person of any age , except certain Felons , can possess a firearm such as at a firing range . Texas and Federal law only regulate the ownership of all firearms to 18 years of age or older , and regulate the transfer of handguns to 21 years or older by FFL dealers . However , a private citizen may sell , gift , lease etc. a handgun to anyone over 18 who is not Felon . NFA weapons are also only subject to Federal restrictions ; no State regulations exist . Municipal and county ordinances on possession and carry are generally overridden ( preempted ) due to the wording of the Texas Constitution , which gives the Texas Legislature ( and it alone ) the power to `` regulate the wearing of arms , with a view to prevent crime '' . Penal Code Section 1.08 also prohibits local jurisdictions from enacting or enforcing any law that conflicts with State statute . Local ordinances restricting discharge of a firearm are generally allowed as State law has little or no specification thereof , but such restrictions do not preempt State law concerning justification of use of force and deadly force . </t>
  </si>
  <si>
    <t xml:space="preserve"> Christianisation of Anglo - Saxon England </t>
  </si>
  <si>
    <t>who was sent to england to convert the pagan anglo-saxons</t>
  </si>
  <si>
    <t xml:space="preserve"> In 595 , when Pope Gregory I decided to send a mission to convert the Anglo - Saxons to Christianity , the Kingdom of Kent was ruled by Æthelberht . He had married a Christian princess named Bertha before 588 , and perhaps earlier than 560 . Bertha was the daughter of Charibert I , one of the Merovingian kings of the Franks . As one of the conditions of her marriage she had brought a bishop named Liudhard with her to Kent as her chaplain . They restored a church in Canterbury that dated to Roman times , possibly the present - day St Martin 's Church . Æthelberht was at that time a pagan , but he allowed his wife freedom of worship . Liudhard does not appear to have made many converts among the Anglo - Saxons , and if not for the discovery of a gold coin bearing the inscription Leudardus Eps ( Eps is an abbreviation of Episcopus , the Latin word for bishop ) his existence may have been doubted . One of Bertha 's biographers states that , influenced by his wife , Æthelberht requested Pope Gregory to send missionaries . The historian Ian Wood feels that the initiative came from the Kentish court as well as the queen . </t>
  </si>
  <si>
    <t>missionaries</t>
  </si>
  <si>
    <t xml:space="preserve"> Onomatopoeia </t>
  </si>
  <si>
    <t>which figure of speech uses words that imitate the sounds they refer to</t>
  </si>
  <si>
    <t xml:space="preserve"> Onomatopoeia ( / ˌɒnəˌmætəˈpiːə , - ˌmɑː - / ( listen ) ; from the Greek ὀνοματοποιία ; ὄνομα for `` name '' and ποιέω for `` I make '' , adjectival form : `` onomatopoeic '' or `` onomatopoetic '' ) is the process of creating a word that phonetically imitates , resembles , or suggests the sound that it describes . As such words are uncountable nouns , onomatopoeia refers to the property of such words . Common occurrences of words our of the onomatopoeia process include animal noises such as `` oink '' , `` miaow '' ( or `` meow '' ) , `` roar '' and `` chirp '' . Onomatopoeia can differ between languages : it conforms to some extent to the broader linguistic system ; hence the sound of a clock may be expressed as tick tock in English , tictac in Spanish , dī dā in Mandarin , katchin katchin in Japanese , or `` tik - tik '' in Hindi . </t>
  </si>
  <si>
    <t>Onomatopoeia</t>
  </si>
  <si>
    <t xml:space="preserve"> List of actors with two or more Academy Awards in acting categories </t>
  </si>
  <si>
    <t>who won the most oscars during his career</t>
  </si>
  <si>
    <t xml:space="preserve">   Actor / Actress   Best Actor / Actress Awards   Best Supporting Actor / Actress Awards   Total awards   Total nominations     Hepburn , Katharine Katharine Hepburn   Morning Glory ( 1933 ) Guess Who 's Coming to Dinner ( 1967 ) The Lion in Winter ( 1968 ) On Golden Pond ( 1981 )       12     Day - Lewis , Daniel Daniel Day - Lewis   My Left Foot ( 1989 ) There Will Be Blood ( 2007 ) Lincoln ( 2012 )       6     Streep , Meryl Meryl Streep   Sophie 's Choice ( 1982 ) The Iron Lady ( 2011 )   Kramer vs. Kramer ( 1979 )     21     Nicholson , Jack Jack Nicholson   One Flew Over the Cuckoo 's Nest ( 1975 ) As Good as It Gets ( 1997 )   Terms of Endearment ( 1983 )     12     Bergman , Ingrid Ingrid Bergman   Gaslight ( 1944 ) Anastasia ( 1956 )   Murder on the Orient Express ( 1974 )     7     Brennan , Walter Walter Brennan     Come and Get It ( 1936 ) Kentucky ( 1938 ) The Westerner ( 1940 )         Davis , Bette Bette Davis   Dangerous ( 1935 ) Jezebel ( 1938 )       10     Tracy , Spencer Spencer Tracy   Captains Courageous ( 1937 ) Boys Town ( 1938 )       9     Brando , Marlon Marlon Brando   On the Waterfront ( 1954 ) The Godfather ( 1972 )       8     Lemmon , Jack Jack Lemmon   Save the Tiger ( 1973 )   Mister Roberts ( 1955 )     8     Washington , Denzel Denzel Washington   Training Day ( 2001 )   Glory ( 1989 )     8     Blanchett , Cate Cate Blanchett   Blue Jasmine ( 2013 )   The Aviator ( 2004 )     7     De Niro , Robert Robert De Niro   Raging Bull ( 1980 )   The Godfather Part II ( 1974 )     7     Fonda , Jane Jane Fonda   Klute ( 1971 ) Coming Home ( 1978 )       7     Hoffman , Dustin Dustin Hoffman   Kramer vs. Kramer ( 1979 ) Rain Man ( 1988 )       7     Caine , Michael Michael Caine     Hannah and Her Sisters ( 1986 ) The Cider House Rules ( 1999 )     6     Lange , Jessica Jessica Lange   Blue Sky ( 1994 )   Tootsie ( 1982 )     6     Smith , Maggie Maggie Smith   The Prime of Miss Jean Brodie ( 1969 )   California Suite ( 1978 )     6     Cooper , Gary Gary Cooper   Sergeant York ( 1941 ) High Noon ( 1952 )       5     de Havilland , Olivia Olivia de Havilland   To Each His Own ( 1946 ) The Heiress ( 1949 )       5     Hackman , Gene Gene Hackman   The French Connection ( 1971 )   Unforgiven ( 1992 )     5     Hanks , Tom Tom Hanks   Philadelphia ( 1993 ) Forrest Gump ( 1994 )       5     March , Fredric Fredric March   Dr. Jekyll and Mr. Hyde ( 1931 ) The Best Years of Our Lives ( 1946 )       5     Penn , Sean Sean Penn   Mystic River ( 2003 ) Milk ( 2008 )       5     Taylor , Elizabeth Elizabeth Taylor   Butterfield 8 ( 1960 ) Who 's Afraid of Virginia Woolf ? ( 1966 )       5     Foster , Jodie Jodie Foster   The Accused ( 1988 ) The Silence of the Lambs ( 1991 )           Jackson , Glenda Glenda Jackson   Women in Love ( 1970 ) A Touch of Class ( 1973 )           Quinn , Anthony Anthony Quinn     Viva Zapata ! ( 1952 ) Lust for Life ( 1956 )         Winters , Shelley Shelley Winters     The Diary of Anne Frank ( 1959 ) A Patch of Blue ( 1965 )         Douglas , Melvyn Melvyn Douglas     Hud ( 1963 ) Being There ( 1979 )         Field , Sally Sally Field   Norma Rae ( 1979 ) Places in the Heart ( 1984 )           Robards , Jason Jason Robards     All the President 's Men ( 1976 ) Julia ( 1977 )         Ustinov , Peter Peter Ustinov     Spartacus ( 1960 ) Topkapi ( 1964 )         Wiest , Dianne Dianne Wiest     Hannah and Her Sisters ( 1986 ) Bullets over Broadway ( 1994 )         Hayes , Helen Helen Hayes   The Sin of Madelon Claudet ( 1931 )   Airport ( 1970 )         Leigh , Vivien Vivien Leigh   Gone with the Wind ( 1939 ) A Streetcar Named Desire ( 1951 )           Rainer , Luise Luise Rainer   The Great Ziegfeld ( 1936 ) The Good Earth ( 1937 )           Spacey , Kevin Kevin Spacey   American Beauty ( 1999 )   The Usual Suspects ( 1995 )         Swank , Hilary Hilary Swank   Boys Do n't Cry ( 1999 ) Million Dollar Baby ( 2004 )           Waltz , Christoph Christoph Waltz     Inglourious Basterds ( 2009 ) Django Unchained ( 2012 )       </t>
  </si>
  <si>
    <t>Katharine Hepburn</t>
  </si>
  <si>
    <t xml:space="preserve"> Athens </t>
  </si>
  <si>
    <t>when was athens made the capital of greece</t>
  </si>
  <si>
    <t xml:space="preserve"> Athens became the capital of Greece in 1834 , following Nafplion , which was the provisional capital from 1829 . The municipality ( City ) of Athens is also the capital of the Attica region . The term Athens can refer either to the municipality of Athens , to Greater Athens , or to the entire Athens Urban Area . </t>
  </si>
  <si>
    <t>1834</t>
  </si>
  <si>
    <t xml:space="preserve"> September 11 attacks </t>
  </si>
  <si>
    <t>what happened to the twin towers in new york</t>
  </si>
  <si>
    <t xml:space="preserve"> Four passenger airliners operated by two major U.S. passenger air carriers ( United Airlines and American Airlines ) -- all of which departed from airports in the northeastern part of the United States bound for California -- were hijacked by 19 al - Qaeda terrorists . Two of the planes , American Airlines Flight 11 and United Airlines Flight 175 , were crashed into the North and South towers , respectively , of the World Trade Center complex in Lower Manhattan . Within an hour and 42 minutes , both 110 - story towers collapsed . Debris and the resulting fires caused partial or complete collapse of all other buildings in the World Trade Center complex , including the 47 - story 7 World Trade Center tower , as well as significant damage to ten other large surrounding structures . A third plane , American Airlines Flight 77 , was crashed into the Pentagon ( the headquarters of the United States Department of Defense ) in Arlington County , Virginia , which led to a partial collapse of the building 's west side . The fourth plane , United Airlines Flight 93 , was initially flown toward Washington , D.C. , but crashed into a field in Stonycreek Township near Shanksville , Pennsylvania , after its passengers thwarted the hijackers. 9 / 11 was the single deadliest incident for firefighters and law enforcement officers in the history of the United States , with 343 and 72 killed , respectively . </t>
  </si>
  <si>
    <t xml:space="preserve"> Night at the Museum : Secret of the Tomb </t>
  </si>
  <si>
    <t>who played lady guinevere in night at the museum 3</t>
  </si>
  <si>
    <t xml:space="preserve"> Lancelot crashes a performance of the Camelot musical , starring Hugh Jackman and Alice Eve as King Arthur and Queen Guinevere , but Larry and the others chase him to the theatre roof , where the New York exhibits begin to die . Lancelot then sees that the quest was about them and gives the tablet back . The moonlight restores the tablet 's power , saving the exhibits . They decide that Ahkmenrah and the tablet should stay with his parents , even if it means the New York exhibits will no longer come to life . Back in New York , Larry spends some final moments with his friends before sunrise . </t>
  </si>
  <si>
    <t>Alice Eve</t>
  </si>
  <si>
    <t xml:space="preserve"> Who Wants to be a Millionaire ? ( UK game show ) </t>
  </si>
  <si>
    <t>who want to be a millionaire winners uk</t>
  </si>
  <si>
    <t xml:space="preserve">  Judith Cynthia Aline Keppel , a cash - strapped garden designer at the time . On 20 November 2000 , she became the first contestant to win the top prize , and is to date the only woman to have received it in the British original . Following her success , Keppel later went onto become part of team of quiz experts for the BBC game show , Eggheads .   David Edwards , a former physics teacher of Cheadle High School and Denstone College in Staffordshire . On 21 April 2001 , he became the first man to win the top prize . Following his success , Edwards went on to compete in both series of Are You an Egghead ? , in 2008 and 2009 respectively , but failed to win either series and secure a place as a panellist on Eggheads .   Robert Kempe Brydges , an Oxford - educated banker from Holland Park , London . On 29 September 2001 , he became the third person to win the show 's top prize .   Pat Gibson , a multiple world champion Irish quiz player . On 24 April 2004 , he became the fourth person to win the top prize , and is the only person in the show 's history to reach the final question with two lifelines still intact .   Ingram Wilcox , a British quiz enthusiast . On 23 September 2006 , he became the fifth person to win the top prize , and is to date , the most recent person to answer the show 's final question .  </t>
  </si>
  <si>
    <t>Judith Cynthia Aline Keppel</t>
  </si>
  <si>
    <t xml:space="preserve"> Mesut Özil </t>
  </si>
  <si>
    <t>how many assist does ozil have in his career</t>
  </si>
  <si>
    <t xml:space="preserve"> Özil plays mostly as an attacking midfielder , but can also be deployed as a winger . He began his senior career as a member of his hometown club Schalke 04 in the Bundesliga , departing two seasons later to join Werder Bremen for € 5 million . He garnered break - out attention at the 2010 FIFA World Cup , where at age 22 , Özil was instrumental in the side 's campaign where they reached the semi-finals , losing to eventual champions Spain . He was also nominated for the Golden Ball Award , as well as being ranked first in assists in major European and domestic competitions with 25 . This garnered him a € 15 million transfer to La Liga club Real Madrid . </t>
  </si>
  <si>
    <t>25</t>
  </si>
  <si>
    <t xml:space="preserve"> George VI </t>
  </si>
  <si>
    <t>monarch at the end of world war 2</t>
  </si>
  <si>
    <t xml:space="preserve"> George VI ( Albert Frederick Arthur George ; 14 December 1895 -- 6 February 1952 ) was King of the United Kingdom and the Dominions of the British Commonwealth from 11 December 1936 until his death in 1952 . He was the last Emperor of India and the first Head of the Commonwealth . </t>
  </si>
  <si>
    <t>George VI</t>
  </si>
  <si>
    <t xml:space="preserve"> Waggoner mansion </t>
  </si>
  <si>
    <t>who owns the waggoner mansion in decatur tx</t>
  </si>
  <si>
    <t xml:space="preserve"> The Waggoner Mansion ( a.k.a. El Castile ) is a historic mansion in Decatur , Texas . The sixteen room mansion was built in 1883 by the Waggoner Family . It was purchased in 1942 by Mr. and Mrs. Phil Luker . </t>
  </si>
  <si>
    <t xml:space="preserve"> Visa requirements for British citizens </t>
  </si>
  <si>
    <t>how many countries can i visit with british passport</t>
  </si>
  <si>
    <t xml:space="preserve"> Visa requirements for British citizens are administrative entry restrictions by the authorities of other states placed on citizens of the United Kingdom . As of 22 May 2018 , British citizens had visa - free or visa on arrival access to 186 countries and territories , ranking the British passport 4th in terms of travel freedom ( tied with Austrian , Dutch , Luxembourgish , Norwegian , Portuguese and the United States passports ) according to the Henley Passport Index . Additionally , the World Tourism Organization also published a report on 15 January 2016 ranking the British passport 1st in the world ( tied with Denmark , Finland , Germany , Italy , Luxembourg and Singapore ) in terms of travel freedom , with a mobility index of 160 ( out of 215 with no visa weighted by 1 , visa on arrival weighted by 0.7 , eVisa by 0.5 , and traditional visa weighted by 0 ) . </t>
  </si>
  <si>
    <t>186 countries and territories</t>
  </si>
  <si>
    <t xml:space="preserve"> The Big Bang Theory ( season 11 ) </t>
  </si>
  <si>
    <t>when is the big bang theory season 11 coming out</t>
  </si>
  <si>
    <t xml:space="preserve"> The eleventh season of the American television sitcom The Big Bang Theory premiered on CBS on Monday , September 25 , 2017 . It returned to its regular Thursday time slot on November 2 , 2017 , after Thursday Night Football on CBS ended . </t>
  </si>
  <si>
    <t>Monday , September 25 , 2017</t>
  </si>
  <si>
    <t xml:space="preserve"> 2017 Oakland Raiders season </t>
  </si>
  <si>
    <t>when do the oakland raiders play in mexico city</t>
  </si>
  <si>
    <t xml:space="preserve">   Week   Date   Kickoff   Opponent   Result   Record   Game site   TV   NFL.com recap       September 10   10 : 00 a.m. PDT   at Tennessee Titans   W 26 -- 16   1 -- 0   Nissan Stadium   CBS   Recap       September 17   1 : 05 p.m. PDT   New York Jets   W 45 -- 20   2 -- 0   Oakland -- Alameda County Coliseum   CBS   Recap       September 24   5 : 30 p.m. PDT   at Washington Redskins   L 10 -- 27   2 -- 1   FedExField   NBC   Recap       October 1   1 : 25 p.m. PDT   at Denver Broncos   L 10 -- 16   2 -- 2   Sports Authority Field at Mile High   CBS   Recap     5   October 8   1 : 05 p.m. PDT   Baltimore Ravens   L 17 -- 30   2 -- 3   Oakland -- Alameda County Coliseum   CBS   Recap     6   October 15   1 : 25 p.m. PDT   Los Angeles Chargers   L 16 -- 17   2 -- 4   Oakland -- Alameda County Coliseum   CBS   Recap     7   October 19   5 : 25 p.m. PDT   Kansas City Chiefs   W 31 -- 30   3 -- 4   Oakland -- Alameda County Coliseum   CBS / NFLN / Amazon Video   Recap     8   October 29   10 : 00 a.m. PDT   at Buffalo Bills   L 14 -- 34   3 -- 5   New Era Field   CBS   Recap     9   November 5   5 : 30 p.m. PST   at Miami Dolphins       Hard Rock Stadium   NBC       10   Bye     11   November 19   1 : 25 p.m. PST   New England Patriots       Estadio Azteca ( Mexico City )   CBS       12   November 26   1 : 25 p.m. PST   Denver Broncos       Oakland -- Alameda County Coliseum   CBS       13   December 3   1 : 25 p.m. PST   New York Giants       Oakland -- Alameda County Coliseum   Fox       14   December 10   10 : 00 a.m. PST   at Kansas City Chiefs       Arrowhead Stadium   CBS       15   December 17   5 : 30 p.m. PST   Dallas Cowboys       Oakland -- Alameda County Coliseum   NBC       16   December 25   5 : 30 p.m. PST   at Philadelphia Eagles       Lincoln Financial Field   ESPN       17   December 31   1 : 25 p.m. PST   at Los Angeles Chargers       StubHub Center   CBS     </t>
  </si>
  <si>
    <t>November 19</t>
  </si>
  <si>
    <t xml:space="preserve"> Cleo King </t>
  </si>
  <si>
    <t>who plays carl's grandmother on mike and molly</t>
  </si>
  <si>
    <t xml:space="preserve"> Cleo King ( born Harriet Cleo King ; August 21 , 1962 ) is an American character actress , best known for her roles on television . </t>
  </si>
  <si>
    <t>Cleo King</t>
  </si>
  <si>
    <t xml:space="preserve"> List of Attack on Titan episodes </t>
  </si>
  <si>
    <t>when does attack on titan episodes come out</t>
  </si>
  <si>
    <t xml:space="preserve"> On June 17 , 2017 , a third season was announced at the close of the second season 's final episode , with a release date slated for July 2018 . </t>
  </si>
  <si>
    <t>July 2018</t>
  </si>
  <si>
    <t xml:space="preserve"> Freaks and Geeks </t>
  </si>
  <si>
    <t>who plays the little brother in freaks and geeks</t>
  </si>
  <si>
    <t xml:space="preserve">  Linda Cardellini as Lindsay Weir   John Francis Daley as Sam Weir   James Franco as Daniel Desario   Samm Levine as Neal Schweiber   Seth Rogen as Ken Miller   Jason Segel as Nick Andopolis   Martin Starr as Bill Haverchuck   Becky Ann Baker as Jean Weir   Joe Flaherty as Harold Weir   Busy Philipps as Kim Kelly  </t>
  </si>
  <si>
    <t>John Francis Daley</t>
  </si>
  <si>
    <t xml:space="preserve"> The Flash ( season 4 ) </t>
  </si>
  <si>
    <t>when is the flash season 4 episode 3 coming out</t>
  </si>
  <si>
    <t xml:space="preserve">   No . overall   No. in season   Title   Directed by   Written by   Original air date   Prod . code   U.S. viewers ( millions )     70     `` The Flash Reborn ''   Glen Winter   Story by : Andrew Kreisberg Teleplay by : Todd Helbing &amp; Eric Wallace   October 10 , 2017 ( 2017 - 10 - 10 )   T27. 13401   2.84     Iris has been aiding Team Flash in Central City for six months , but refusing to grieve Barry . A flying Samurai with superpowers appears in Central City , threatening to destroy the city if the real Flash does not face him . Cisco reveals he has formulated a way to bring back Barry without destabilizing the Speed Force , and tracks down Caitlin for help . Against Iris ' direction , Team Flash successfully returns Barry , who appears rambling random statements and continually writing symbols on walls . Wally engages the Samurai , but is defeated . Cisco deciphers Barry 's writings and finds an apparently meaningless sentence . In an attempt to recover Barry 's memories , Iris gives herself up to the Samurai . The plan works and Barry speeds away , rescuing Iris and defeating the Samurai , who is revealed to be a robot . Caitlin rejoins Team Flash , but is revealed to have been working for a mobster called Amunet at the bar , while also continuing to prevent the Killer Frost personality from emerging . The `` Samuroid '' is revealed to have been controlled by the Thinker , whose plan was to draw out the Flash for his next schemes .     71     `` Mixed Signals ''   Alexandra La Roche   Jonathan Butler &amp; Gabriel Garza   October 17 , 2017 ( 2017 - 10 - 17 )   T27. 13402   2.54     When Barry , Joe , and Cisco report to a crime scene , they discover remnants of a mysterious code . Cisco presents Barry with a technologically advanced suit , intended to facilitate his activities . He tests it out , trying to save someone from a haywire car , caused by metahuman Ramsey Deacon . Gypsy arrives on Earth - 1 for a date with Cisco , who is forced to cancel it so as to focus on Deacon . Acting on a suggestion from Caitlin , Iris signs her and Barry up for couples therapy to sort out their relationship . Deacon kidnaps a witness , who was previously a member of a tech team who sold him out of his idea . Barry and Wally go to save him , but Deacon uses his abilities to send Barry 's suit haywire . On Iris 's instructions , Barry throws lightning at himself , shorting out his suit . He then incapacitates Deacon , who is locked up in the meta wing of Iron Heights , revealed to be part of the Thinker 's plan . Cisco finally goes out with Gypsy . Wondering how Deacon gained his powers being absent during the particle accelerator incident , Barry and Joe learn from Deacon that there are `` others '' .     72     `` Luck Be a Lady ''   Armen V. Kevorkian   Sam Chalsen &amp; Judalina Neira   October 24 , 2017 ( 2017 - 10 - 24 )   T27. 13403   2.62     In flashbacks , the Thinker observes Becky Sharpe , a woman with seemingly unending bad luck , and determines that she will be easily manipulated . In the present , Becky robs a bank , and gets away when Barry slips on marbles . Harry arrives from Earth - 2 , and tells Wally that Jesse has decided to break up in order to focus on her vigilantism . Cisco deduces that Becky is a metahuman with the power of favorable luck while inducing misfortune to others . Barry realizes that the portal he used to escape the Speed Force exposed an entire busload of people , including Becky and Deacon , to transformative dark matter . Harry informs Cisco that Jesse has expelled him from her crime - fighting team due to his attitude . Becky 's powers expand out of control , reactivating the particle accelerator , which Harry deliberately allows , nullifying Becky 's powers and leading to her incarceration . Cisco and Harry identify twelve new metahumans created on the bus , and the latter suspects that an unknown party has manipulated events surrounding Barry 's return . Wally decides to leave on a journey to find himself . The Thinker is revealed to be spying on S.T.A.R. Labs through the `` Samuroid '' helmet . Joe learns Cecile is pregnant .     73     `` Elongated Journey Into Night ''   Tom Cavanagh   Sterling Gates &amp; Thomas Pound   October 31 , 2017 ( 2017 - 10 - 31 )   T27. 13404   1.99     Gypsy 's father , Breacher , attacks Cisco , vowing to hunt and kill him in 24 hours , allowing the romance should he survive . Team Flash learns that the bus driver was murdered and tracks down another passenger , Ralph Dibny , former corrupt CCPD detective exposed by Barry and currently an infamous private investigator . As two thugs attack Dibny , he is revealed to have the power to stretch . Caitlin stabilizes his powers with a serum . The team learns that Ralph has been blackmailing Mayor Bellows for adultery , with the latter revealed to have hired the thugs . Barry confronts Ralph for his actions while the latter scolds him , claiming to have been a `` good cop '' . He later stops blackmailing Bellows , who still attempts to kill him while Breacher mistakes the former for a Plastoid , the species that invaded Earth - 19 previously , and attacks him . Cisco intervenes and saves Ralph , whom Barry , having revealed his alter - ego , convinces to help arrest an escaping Bellows . Admiring Cisco 's gallantry , Breacher allows the relationship . Barry recruits Ralph for Team Flash and learns that someone named DeVoe instructed Ralph to watch Bellows . Barry remembers that Abra Kadabra and Savitar both mentioned DeVoe . Meanwhile , Caitlin finds a message on her apartment door .     74   5   `` Girls Night Out ''   Laura Belsey   Lauren Certo &amp; Kristen Kim   November 7 , 2017 ( 2017 - 11 - 07 )   T27. 13405   2.38     While failing to track DeVoe , Team Flash is visited by Felicity , who joins Iris 's bachelorette party . Mocking Cisco 's plans for Barry 's bachelor party , Ralph takes the men to a strip club , where they learn that Cecile 's daughter , Joanie , is working . Joe confronts her , who states she is only doing feminist research . Ralph incites a brawl , leading to the men 's arrest until Harry posts bail . Meanwhile , Amunet 's enforcer , Norvock , demands Caitlin 's return and attacks the women when she refuses . Killer Frost emerges and repels him , later telling Iris that Caitlin accepted Amunet 's employment in exchange for the means to control Frost . Learning that Amunet is holding a metahuman she calls `` the Weeper '' , whose tears are a strong narcotic , prisoner and intends to sell him , Iris 's party decides to stop her . Though Caitlin refuses to join , she attacks Amunet when seeing her friends in danger . Using a strong magnet , the team robs Amunet 's metal shards , leaving her powerless . Iris dissuades Frost from killing Amunet , who promises revenge . Both parties refuse to tell each other about their adventures . Iris asks Caitlin to be her maid of honor while Joe convinces Joanie to tell Cecile about her research . DeVoe captures the Weeper .     75   6   `` When Harry Met Harry ... ''   Brent Crowell   Jonathan Butler &amp; Gabriel Garza   November 14 , 2017 ( 2017 - 11 - 14 )   T27. 13406   2.46     Barry trains Ralph to use his abilities , with Cisco making a stretchable suit for him . Another bus metahuman , a Lakota Sioux Native named Mina Chayton , who can animate statues , starts attacking Central City &amp; stealing pieces of a Black Bison necklace , which she claims belongs to her tribe . When Barry and Ralph catch up to her , she attacks Barry with a caveman statue and attempts a getaway . Ralph chooses to stop her , but a little girl is injured in the process . Ralph regrets his actions , but is comforted by Barry . Chayton escapes CCPD , going after the last necklace piece held at the museum . When Barry and Ralph confront her , she brings a dinosaur skeleton to life . Barry arrests Chayton while Ralph saves a security guard from the skeleton . Later , Ralph reveals he mailed the necklace back to Chayton 's tribe , before visiting the little girl in the hospital , using his abilities to entertain her . Meanwhile , Harry , trying to make friends , works with his doppelgangers of alternate Earths , The Council of Wells . They figure out that DeVoe is a man named Clifford DeVoe . Barry and Joe head to DeVoe 's house , to find that he is a middle - aged man in a wheelchair .     76   7   `` Therefore I Am ''   David McWhirter   Eric Wallace &amp; Thomas Pound   November 21 , 2017 ( 2017 - 11 - 21 )   T27. 13407   2.20     Barry and Joe interrogate DeVoe and his wife to try and get more information . In flashbacks , DeVoe and his wife build a thinking cap to improve his brain capacity , powering it through the particle accelerator explosion . DeVoe 's increased brain power accelerates his amyotrophic lateral sclerosis , forcing his wife to build him a special chair to keep him alive . Barry discovers the camera in the Samuroid head and confronts DeVoe , who reveals his true identity , leading to Cisco dubbing him `` The Thinker '' . Wally returns to Team Flash from Blue Valley .     77   8   `` Crisis on Earth - X , Part 3 ''   Dermott Downs   Story by : Andrew Kreisberg &amp; Marc Guggenheim Teleplay by : Todd Helbing   November 28 , 2017 ( 2017 - 11 - 28 )   T27. 13408   2.82      Barry , Oliver , Sara , Alex , Martin and Jax wake up in a Nazi concentration camp on Earth - X , with power dampening handcuffs . The arriving SS - Sturmbannführer is revealed to be the Earth - X doppelgänger of Quentin Lance , who takes them away for execution , before they are saved by Citizen Cold ( the Earth - X doppelgänger of Leonard Snart ) and The Ray ( Ray Terrill ) . Snart and Terrill take them to the underground headquarter of the Freedom Fighters , where the team meets the resistance movement 's leader General Winn Schott ( Winn Schott 's Earth - X doppelgänger ) . They learned that the only way back to Earth - 1 is through a temporal gateway in a Nazi facility , which Schott plans to blow up to strand Dark Arrow ( Oliver 's Earth - X doppelgänger ) on Earth - 1 . Oliver disguises himself as Dark Arrow to infiltrate the facility , discovers the Nazi 's doomsday device against parallel Earths is a militarized timeship called Wellenreiter , and saves a prisoner ( who is Felicity 's Earth - X doppelgänger ) from Quentin . Barry and Ray battle the Freedom Fighters ' Red Tornado to stop it from destroying the temporal gateway , while the rest of the team enters the facility . In attempting to reactivate the gateway 's portal , Stein is shot and gravely wounded . Back on Earth - 1 , Thawne prepares to perform surgery on Kara to save Overgirl at S.T.A.R. Labs . Felicity and Iris try to stop him , but are captured .  This episode continues a crossover event that begins on Supergirl season 3 episode 8 and Arrow season 6 episode 8 , and concludes on Legends of Tomorrow season 3 episode 8 .     78   9   `` Do n't Run ''   Stefan Pleszczynski   Sam Chalsen &amp; Judalina Neira   December 5 , 2017 ( 2017 - 12 - 05 )   T27. 13409   2.22     While out Christmas shopping , Barry is ambushed and kidnapped by DeVoe while Caitlin is kidnapped from Jitters by Amunet . Iris claims they have to look for both of them , despite Wells ' claim that they have insufficient time and resources and that they can only afford to search for one . Barry is held in DeVoe 's lair . Caitlin is forced by Amunet to perform surgery on a metahuman named Dominic Lanse , who can read minds . They try to escape , but Amunet blocks their exit . Caitlin manages to briefly incapacitate Amunet , and she and Dominic flee the building they are being held in . Once outside , they are rescued by Cisco and Ralph , as Iris has chosen to focus on finding Caitlin . Barry manages to escape from DeVoe . Team Flash celebrates Christmas at the West house and Dominic joins them . Barry gets a security alert from his apartment . When he arrives , he receives a phone call from Dominic , who reveals that Amunet re-kidnapped Dominic and DeVoe has transferred his consciousness into Dominic 's body . Barry discovers DeVoe 's original body dead on his apartment floor and he realizes DeVoe has framed him for his `` murder '' ; the police arrive , and Barry lets himself get arrested , not wanting to leave Iris again .     79   10   `` The Trial of The Flash ''   Philip Chipera   Lauren Certo &amp; Kristen Kim   January 16 , 2018 ( 2018 - 01 - 16 )   TBA   TBD   </t>
  </si>
  <si>
    <t>October 24 , 2017</t>
  </si>
  <si>
    <t xml:space="preserve"> Danny Masterson </t>
  </si>
  <si>
    <t>who played hyde on the 70's show</t>
  </si>
  <si>
    <t xml:space="preserve"> Daniel Peter Masterson ( born March 13 , 1976 ) is an American actor and disc jockey . Masterson is known for his roles as Steven Hyde in That ' 70s Show ( 1998 -- 2006 ) and as Jameson `` Rooster '' Bennett in The Ranch ( 2016 -- 2018 ) . </t>
  </si>
  <si>
    <t>Daniel Peter Masterson</t>
  </si>
  <si>
    <t xml:space="preserve"> Saturated and unsaturated compounds </t>
  </si>
  <si>
    <t>when do we say that a solution is unsaturated</t>
  </si>
  <si>
    <t xml:space="preserve"> In organic chemistry , a saturated compound is a chemical compound that has a chain of carbon atoms linked together by single bonds . Alkanes are saturated hydrocarbons . An unsaturated compound is a chemical compound that contains carbon - carbon double bonds or triple bonds , such as those found in alkenes or alkynes , respectively . Saturated and unsaturated compounds need not consist only of a carbon atom chain . They can form straight chain , branched chain , or ring arrangements . They can have functional groups , as well . It is in this sense that fatty acids are classified as saturated or unsaturated . The amount of unsaturation of a fatty acid can be determined by finding its iodine number . </t>
  </si>
  <si>
    <t>a chemical compound that contains carbon - carbon double bonds or triple bonds , such as those found in alkenes or alkynes , respectively</t>
  </si>
  <si>
    <t>do you need a license for open carry in texas</t>
  </si>
  <si>
    <t xml:space="preserve">  Open carry ?   Yes   Yes   PC 46.02   Long gun and black powder weapon ( including handgun ) open carry is not forbidden by law , unless in a manner `` calculated to cause alarm . '' Effective January 1 , 2016 , individuals with a handgun carry license will be permitted to carry openly , per House Bill 910 of the 2015 legislative session . Non-residents from states whose permits are recognized by Texas will also be allowed to open carry under the new law .  </t>
  </si>
  <si>
    <t xml:space="preserve"> Our Town </t>
  </si>
  <si>
    <t>what genre is our town by thornton wilder</t>
  </si>
  <si>
    <t xml:space="preserve">   Our Town     1938 first edition cover from the Library of Congress Rare Book and Special Collections Division     Written by   Thornton Wilder     Characters   Stage Manager Mrs. Myrtle Webb Mr. Charles Webb Emily Webb Joe Crowell Jr . Mrs. Julia Gibbs Dr. Frank F. Gibbs Simon Stimson Mrs. Soames George Gibbs Howie Newsome Rebecca Gibbs Wally Webb Professor Willard Woman in the Balcony Man in the Auditorium Lady in the Box Mrs. Louella Soames Constable Warren Si Crowell Three Baseball Players Sam Craig Joe Stoddard     Date premiered   January 22 , 1938     Place premiered   McCarter Theatre Princeton , New Jersey     Original language   English     Subject   Life and death in an American small town     Genre   Drama     Setting   1901 to 1913 . Grover 's Corners , New Hampshire near Massachusetts .   </t>
  </si>
  <si>
    <t>Drama</t>
  </si>
  <si>
    <t xml:space="preserve"> Bobby Flay </t>
  </si>
  <si>
    <t>where did bobby flay go to high school</t>
  </si>
  <si>
    <t xml:space="preserve"> Flay dropped out of high school at age 17 . He has said his first jobs in the restaurant industry were at a pizza parlor and Baskin - Robbins . He then took a position making salads at Joe Allen Restaurant in Manhattan 's Theater District , where his father was a partner . The proprietor , Joe Allen , was impressed by Flay 's natural ability and agreed to pay his partner 's son 's tuition at the French Culinary Institute . </t>
  </si>
  <si>
    <t xml:space="preserve"> Life in the Fast Lane </t>
  </si>
  <si>
    <t>who sang the song life in the fast lane</t>
  </si>
  <si>
    <t xml:space="preserve"> `` Life in the Fast Lane '' is a song written by Joe Walsh , Glenn Frey and Don Henley and recorded by the American rock band the Eagles on their 1976 studio album Hotel California . It was the third single released from this album , and peaked at No. 11 on the Billboard Hot 100 . </t>
  </si>
  <si>
    <t>Eagles</t>
  </si>
  <si>
    <t xml:space="preserve"> Atomic bombings of Hiroshima and Nagasaki </t>
  </si>
  <si>
    <t>what kind of bomb did the us drop on japan</t>
  </si>
  <si>
    <t xml:space="preserve"> During the final stage of World War II , the United States dropped nuclear weapons on the Japanese cities of Hiroshima and Nagasaki on August 6 and 9 , 1945 , respectively . The United States had dropped the bombs with the consent of the United Kingdom as outlined in the Quebec Agreement . The two bombings , which killed at least 129,000 people , remain the only use of nuclear weapons for warfare in history . </t>
  </si>
  <si>
    <t>nuclear weapons</t>
  </si>
  <si>
    <t xml:space="preserve"> Like a G6 </t>
  </si>
  <si>
    <t>who is the girl in far east movement like a g6</t>
  </si>
  <si>
    <t xml:space="preserve"> `` Like a G6 '' is a 2010 song written and performed by Far East Movement , The Cataracs , and Dev , with the latter two being credited as featured artists . It is the lead single from Far East Movement 's third studio album Free Wired , and production was handled by The Cataracs . For the chorus , Dev samples a verse from her own single `` Booty Bounce '' , which was also written and produced by the Cataracs . </t>
  </si>
  <si>
    <t>Dev</t>
  </si>
  <si>
    <t xml:space="preserve"> List of Caribbean countries by population </t>
  </si>
  <si>
    <t>what is the smallest country in the caribbean</t>
  </si>
  <si>
    <t xml:space="preserve">   Rank   Country ( or dependent territory )   Abbr .   July 1 , 2017 projection   % of pop .   Average relative annual growth ( % )   Average absolute annual growth   Estimated doubling time ( Years )   Official figure ( where available )   Date of last figure   Source       Cuba   CU   11,252,000   26.48   0.25   28,000   278   11,238,317   December 31 , 2014   Official estimate       Haiti   HT   10,981,229   25.49   0.98   97,000   71   9,980,243   2015   Official estimate       Dominican Republic   DO   10,766,998   23.87   2.31   248,000   30   10,911,819   2015   Official estimate       Puerto Rico ( US )   PR   3,508,000   8.26   - 1.13   - 40,000   -   3,548,397   July 1 , 2014   Official estimate       Jamaica   JM   2,729,000   6.42   0.26   7,000   270   2,723,246   December 31 , 2014   Official estimate     6   Trinidad and Tobago   TT   1,357,000   3.19   0.52   7,000   134   1,349,667   2015   Official estimate     7   Guadeloupe ( France )   GP   405,000   0.95   0.25   1,000   280   403,314   January 1 , 2012   Official estimate     8   Martinique ( France )   MQ   383,000   0.90   - 0.52   - 2,000   -   388,364   January 1 , 2012   Official estimate     9   Bahamas   BS   379,000   0.89   1.34   5,000   52   369,670   2015   Official estimate     10   Barbados   BB   283,000   0.67   0.35   1,000   196   277,821   May 1 , 2010   2010 census result     11   Saint Lucia   LC   172,000   0.40   0.58   1,000   119   166,526   May 10 , 2010   Preliminary 2010 census result     12   Curaçao ( Kingdom of the Netherlands )   CW   157,000   0.37   0.64   1,000   108   154,843   January 1 , 2014   Official estimate     13   Aruba ( Kingdom of the Netherlands )   AW   110,000   0.26   1.85   2,000   38   109,517   2015   Official estimate     14   Saint Vincent and the Grenadines   VC   110,000   0.26   0.00   0   -   109,434   2014   Official estimate     15   United States Virgin Islands ( US )   VI   105,000   0.25   0.00   0   -   106,405   April 1 , 2010   2010 census result     16   Grenada   GD   104,000   0.24   0.00   0   -   103,328   May 12 , 2011   Preliminary 2011 census result     17   Antigua and Barbuda   AG   89,000   0.21   1.14   1,000   61   85,567   May 27 , 2011   Final 2011 census result     18   Dominica   DM   71,000   0.17   0.00   0   -   71,293   May 14 , 2011   Preliminary 2011 census result     19   Cayman Islands ( UK )   KY   59,000   0.14   3.51   2,000   20   58,238   December 31 , 2014   Official estimate     20   Saint Kitts and Nevis   KN   46,000   0.11   0.00   0   -   46,204   May 15 , 2011   2011 census result     21   Sint Maarten ( Kingdom of the Netherlands )   SX   39,000   0.09   2.63   1,000   27   37,224   February 1 , 2014   Official estimate     22   Turks and Caicos Islands ( UK )   TC   37,000   0.09   5.71   2,000   12   31,618   January 25 , 2012   Preliminary 2012 census result     23   Saint Martin ( France )   MF   36,000   0.08   0.00   0   -   35,742   January 1 , 2012   Official estimate     24   British Virgin Islands ( UK )   VG   31,000   0.07   3.33   1,000   21   28,054   July 12 , 2010   2010 census result     25   Caribbean Netherlands ( Kingdom of the Netherlands )   AN   26,000   0.06   4.00   1,000   18   24,593   January 1 , 2015   Official estimate     26   Anguilla ( UK )   AI   14,000   0.03   0.00   0   -   13,037   May 11 , 2011   Final 2011 census result     27   Saint Barthélemy ( France )   BL   10,000   0.02   0.00   0   -   9,131   January 1 , 2012   Official estimate     28   Montserrat ( UK )   MS   5,000   0.01   0.00   0   -   4,922   May 12 , 2011   2011 census result       Total     42,491,000   100.00   0.86   364,000   81     </t>
  </si>
  <si>
    <t xml:space="preserve"> Gil McKinney </t>
  </si>
  <si>
    <t>who plays eric on once upon a time</t>
  </si>
  <si>
    <t xml:space="preserve"> Mark Gilbert McKinney , known professionally as Gil McKinney , ( born February 5 , 1979 ) is an American film and television actor . He is best known for playing Dr. Paul Grady on ER , Derek Bishop on Friday Night Lights , and Prince Eric in Once Upon a Time , and for being the voice and face ( via MotionScan ) of Jack Kelso in the video game L.A. Noire . Gil also appeared in Supernatural as Henry Winchester . </t>
  </si>
  <si>
    <t>Supernatural</t>
  </si>
  <si>
    <t xml:space="preserve"> Rupert Grint </t>
  </si>
  <si>
    <t>who is the actor that plays ron weasley</t>
  </si>
  <si>
    <t xml:space="preserve"> Rupert Alexander Lloyd Grint ( born 24 August 1988 ) is an English actor and producer . He rose to prominence playing Ron Weasley , one of the three main characters in the Harry Potter film series . Grint was cast as Ron at the age of 11 , having previously acted only in school plays and at his local theatre group . From 2001 to 2011 , he starred in all eight Harry Potter films alongside Daniel Radcliffe playing as Harry Potter and Emma Watson playing as Hermione Granger . </t>
  </si>
  <si>
    <t>Rupert Alexander Lloyd Grint</t>
  </si>
  <si>
    <t xml:space="preserve"> The pot calling the kettle black </t>
  </si>
  <si>
    <t>what does the expression the pot calling the kettle black mean</t>
  </si>
  <si>
    <t xml:space="preserve"> `` The pot calling the kettle black '' is a proverbial idiom that seems to be of Spanish origin , versions of which began to appear in English in the first half of the 17th century . It is glossed in the original sources as being used of a person who is guilty of the very thing of which they accuse another and is thus an example of psychological projection . </t>
  </si>
  <si>
    <t xml:space="preserve"> Strickland ( Surname ) </t>
  </si>
  <si>
    <t>where does the last name strickland come from</t>
  </si>
  <si>
    <t xml:space="preserve"> The English surname Strickland is derived from the place - name Stercaland , of Old Norse origins , which is found in Westmorland to the south of Penrith . It has been used as a family name at least since the late 12th century , when Walter of Castlecarrock married Christian of Leteham , an heiress to the landed estate that covered the area where the villages of Great Strickland and Little Strickland are now . After this marriage Walter became known as Walter of Strickland , spelt in various ways . </t>
  </si>
  <si>
    <t xml:space="preserve"> Your Mama Do n't Dance </t>
  </si>
  <si>
    <t>who sang your mama don't dance and your daddy don't rock and roll</t>
  </si>
  <si>
    <t xml:space="preserve"> `` Your Mama Do n't Dance '' is a hit 1972 song by the rock duo Loggins and Messina . Released on their self - titled album Loggins and Messina , it reached number four on the Billboard pop chart and number 19 on the Billboard Easy Listening Chart as a single in early 1973 . </t>
  </si>
  <si>
    <t>rock duo Loggins and Messina</t>
  </si>
  <si>
    <t xml:space="preserve"> State cessions </t>
  </si>
  <si>
    <t>present-day kentucky was ceded by what state in 1792</t>
  </si>
  <si>
    <t xml:space="preserve"> In the end , most of the trans - Appalachian land claims were ceded to the Federal government between 1781 and 1787 ; New York , New Hampshire , and the hitherto unrecognized Vermont government resolved their squabbles by 1791 , and Kentucky was separated from Virginia and made into a new state in 1792 . The cessions were not entirely selfless -- in some cases the cessions were made in exchange for federal assumption of the states ' Revolutionary War debts -- but the states ' reasonably graceful cessions of their often - conflicting claims prevented early , perhaps catastrophic , rifts among the states of the young Republic , and assuaged the fears of the `` landless '' states enough to convince them to ratify the new United States Constitution . The cessions also set the stage for the settlement of the Upper Midwest and the expansion of the U.S. into the center of the North American continent , and also established the pattern by which land newly acquired by the United States would be organized into new states rather than attached to old ones . </t>
  </si>
  <si>
    <t xml:space="preserve"> This is the house that Jack built </t>
  </si>
  <si>
    <t>who milked the cow with the crumpled horn</t>
  </si>
  <si>
    <t xml:space="preserve">  This is the maiden all forlorn   That milked the cow with the crumpled horn   That tossed the dog that worried the cat   That killed the rat that ate the malt   That lay in the house that Jack built .  </t>
  </si>
  <si>
    <t>the maiden all forlorn</t>
  </si>
  <si>
    <t xml:space="preserve"> Pakistani general election , 2018 </t>
  </si>
  <si>
    <t>how many seats required to make government in pakistan 2018</t>
  </si>
  <si>
    <t xml:space="preserve"> Pakistani general election , 2018          ← 2013   25 July 2018   Next →        ← outgoing members elected members →     All 342 seats in the National Assembly 172 seats needed for a majority     Opinion polls     Turnout   51.6 % ( 3.4 pp )            First party   Second party   Third party               Leader   Imran Khan   Shehbaz Sharif   Bilawal Bhutto Zardari     Party   PTI   PML ( N )   PPP     Leader since   25 April 1996   6 March 2018   30 December 2007     Leader 's seat   Mianwali - I   Lahore - X   Larkana - I     Last election   35 seats , 16.92 %   166 seats , 32.77 %   42 seats , 15.23 %     Seats won   149 / 342   82 / 342   54 / 342     Seat change   114   84   12     Popular vote   16,903,702   12,934,589   6,924,356     Percentage   31.82 %   24.35 %   13.03 %     Swing   14.90 pp   8.42 pp   2.29 pp               Prime Minister before election  Shahid Khaqan Abbasi PML ( N )    Elected Prime Minister  Imran Khan PTI       </t>
  </si>
  <si>
    <t>342</t>
  </si>
  <si>
    <t xml:space="preserve"> Jurassic World : Fallen Kingdom </t>
  </si>
  <si>
    <t>who are the actors in jurassic park fallen kingdom</t>
  </si>
  <si>
    <t xml:space="preserve">  Chris Pratt as Owen Grady : A Navy veteran and former Velociraptor trainer for Jurassic World .   Bryce Dallas Howard as Claire Dearing : Jurassic World 's former operations manager , now a dinosaur - rights activist , who has founded the Dinosaur Protection Group to save the surviving dinosaurs from Isla Nublar .   Rafe Spall as Eli Mills : Lockwood 's ambitious assistant who recruits Owen and Claire to rescue the dinosaurs . Speaking of his character 's actions over the course of the film , Spall noted that , `` Ambition is such a powerful emotion , you can get wrapped up in it and end up doing things in order to succeed . This character believes he is doing right . He has been entrusted with pushing Lockwood 's fortune into the future and making it survive after he dies . Mills feels he is simply doing what he was asked to do . ''   Justice Smith as Franklin Webb : A former IT technician for Jurassic World who is now the Dinosaur Protection Group 's systems analyst and hacker .   Daniella Pineda as Zia Rodriguez : A former Marine who is now the Dinosaur Protection Group 's paleoveterinarian .   James Cromwell as Sir Benjamin Lockwood : John Hammond 's former partner in developing the technology to clone dinosaurs .   Toby Jones as Gunnar Eversol : An auctioneer host at Lockwood Estate who sells the Isla Nublar dinosaurs for profit . In an interview , Jones likened his character to that of `` a rogue arms dealer ; he sees profits in selling these creatures as weapons . He is totally morally neutral about whatever he is selling . He is only interested in whether or not it will make him a profit . ''   Ted Levine as Ken Wheatley : A seasoned mercenary who commands the rescue operation on Isla Nublar .   B.D. Wong as Henry Wu : The former head geneticist of both Jurassic World and the original Jurassic Park . Speaking of his character 's actions , Wong stated : `` I do think he 's motivated by his love for science and his own ego , which is well supported by his massive achievements ... I think he turns a blind eye to the human suffering that comes as a result because he thinks he 's looking at some bigger picture . ''   Isabella Sermon as Maisie Lockwood : Lockwood 's juvenile granddaughter and legal ward following her parents ' deaths .   Geraldine Chaplin as Iris : The Lockwood Estate housekeeper , Maisie 's nanny , and protector of the Lockwood family 's secrets .   Jeff Goldblum as Ian Malcolm : An expert in chaos theory who once consulted for InGen 's Jurassic Park . In a podcast interview , Goldblum revealed of his role `` It 's small ... who knows , they may cut me out entirely ! But if I stay in , I 'll be a sprig of parsley or a little garnish , hopefully with some impact ! '' Director Bayona confirmed that Goldblum 's role is simply a cameo , stating , `` He does n't have a major role in the action but it 's definitely a very meaningful one in terms of the story . ''   Peter Jason as Senator Sherwood : A Senator who is among those who debate about saving the dinosaurs on Isla Nublar .  </t>
  </si>
  <si>
    <t xml:space="preserve"> Chandni </t>
  </si>
  <si>
    <t>who sang the song chandni o meri chandni</t>
  </si>
  <si>
    <t xml:space="preserve">   No .   Title   Singer ( s )   Length     1 .   `` Mere Haathon Mein ''   Lata Mangeshkar   05 : 34     2 .   `` Mehbooba ''   Lata Mangeshkar , Vinod Rathod   04 : 53     3 .   `` Main Sasural Nahi Jaaungi ''   Pamela Chopra   04 : 06     4 .   `` Mitwa ( Tere Mere Honton Pe ) ''   Lata Mangeshkar , Babla Mehta   04 : 31     5 .   `` Aa Meri Jaan ''   Lata Mangeshkar   04 : 21     6 .   `` Dance Music ''   Instrumental   03 : 16     7 .   `` Chandni O Meri Chandni ''   Sridevi , Jolly Mukherjee   04 : 32     8 .   `` Lagi Aaj Sawan Ki ''   Suresh Wadkar , Anupama Deshpande   03 : 25     9 .   `` Parbat Se Kaali ''   Asha Bhosle , Vinod Rathod   04 : 22     10 .   `` Tu Mujhe Suna ''   Nitin Mukesh , Suresh Wadkar   04 : 30     11 .   `` Mere Haathon Mein ''   Instrumental   05 : 47   </t>
  </si>
  <si>
    <t>Sridevi</t>
  </si>
  <si>
    <t xml:space="preserve"> M Suryanarayan </t>
  </si>
  <si>
    <t>who is known as the father of india cricketer</t>
  </si>
  <si>
    <t xml:space="preserve"> M. Suryanarayan ( 1930 -- 2010 ) was an Indian first - class cricketer who was born on February 1 , 1930 during Madras presidency . M. Suryanarayan is the first son of M. Baliah Naidu and the Grandson of Buchi Babu Naidu who is also known as the ' Father of South Indian Cricket ' the doyen of Madras Cricket . He was also a member of the First Ranji Trophy triumph team of Tamilnadu in 1954 - 1955 , which the Madras team won against Holkar . He was a right - handed batsman and a right - arm medium bowler . The Hindu describing his Cricket , once said : `` His batting resembles very closely that of his father - dashing and carefree - and his cover - drive , a joy to watch , has amazing impetus ... '' And it added that he had `` enriched Madras sport as his father had '' . His only younger brother M.M Kumar represented in the Ranji Trophy . </t>
  </si>
  <si>
    <t>Buchi Babu Naidu</t>
  </si>
  <si>
    <t xml:space="preserve"> Lactase </t>
  </si>
  <si>
    <t>where is lactase found in the human body</t>
  </si>
  <si>
    <t xml:space="preserve"> Lactase is an enzyme produced by many organisms . It is located in the brush border of the small intestine of humans and other mammals . Lactase is essential to the complete digestion of whole milk ; it breaks down lactose , a sugar which gives milk its sweetness . Lacking lactase , a person consuming dairy products may experience the symptoms of lactose intolerance . Lactase can be purchased as a food supplement , and is added to milk to produce `` lactose - free '' milk products . </t>
  </si>
  <si>
    <t>in the brush border of the small intestine</t>
  </si>
  <si>
    <t xml:space="preserve"> Pyramid of Djoser </t>
  </si>
  <si>
    <t>when was the first step pyramid built in egypt</t>
  </si>
  <si>
    <t xml:space="preserve"> The Pyramid of Djoser ( or Djeser and Zoser ) , or step pyramid ( kbhw - ntrw in Egyptian ) is an archeological remain in the Saqqara necropolis , Egypt , northwest of the city of Memphis . It was built during the 27th century BC for the burial of Pharaoh Djoser by his vizier , Imhotep . It is the central feature of a vast mortuary complex in an enormous courtyard surrounded by ceremonial structures and decoration . </t>
  </si>
  <si>
    <t>during the 27th century BC</t>
  </si>
  <si>
    <t xml:space="preserve"> Missouri Compromise </t>
  </si>
  <si>
    <t>what three things did the missouri compromise do</t>
  </si>
  <si>
    <t xml:space="preserve"> The Missouri Compromise was the legislation that provided for the admission to the United States of Maine as a free state along with Missouri as a slave state , thus maintaining the balance of power between North and South in the United States Senate . As part of the compromise , slavery was prohibited north of the 36 ° 30 ′ parallel , excluding Missouri . The 16th United States Congress passed the legislation on May 9 , 1820 , and President James Monroe signed it on March 6 , 1820 . </t>
  </si>
  <si>
    <t xml:space="preserve"> The Canterbury Tales </t>
  </si>
  <si>
    <t>when were the canterbury tales written and in what language</t>
  </si>
  <si>
    <t xml:space="preserve"> The Canterbury Tales ( Middle English : Tales of Caunterbury ) is a collection of 24 stories that runs to over 17,000 lines written in Middle English by Geoffrey Chaucer between 1387 and 1400 . In 1386 , Chaucer became Controller of Customs and Justice of Peace and , in 1389 , Clerk of the King 's work . It was during these years that Chaucer began working on his most famous text , The Canterbury Tales . The tales ( mostly written in verse , although some are in prose ) are presented as part of a story - telling contest by a group of pilgrims as they travel together on a journey from London to Canterbury to visit the shrine of Saint Thomas Becket at Canterbury Cathedral . The prize for this contest is a free meal at the Tabard Inn at Southwark on their return . </t>
  </si>
  <si>
    <t>written in Middle English by Geoffrey Chaucer between 1387 and 1400</t>
  </si>
  <si>
    <t xml:space="preserve"> Angela Carter </t>
  </si>
  <si>
    <t>20th century english writer known for her feminist and magical works</t>
  </si>
  <si>
    <t xml:space="preserve"> Angela Olive Carter - Pearce ( née Stalker ; 7 May 1940 -- 16 February 1992 ) , who published under the pen name Angela Carter , was an English novelist , short story writer and journalist , known for her feminist , magical realism , and picaresque works . She is best known for her book The Bloody Chamber , which was published in 1979 . In 2008 , The Times ranked Carter tenth in their list of `` The 50 greatest British writers since 1945 '' . In 2012 , Nights at the Circus was selected as the best ever winner of the James Tait Black Memorial Prize . </t>
  </si>
  <si>
    <t>Angela Olive Carter - Pearce</t>
  </si>
  <si>
    <t xml:space="preserve"> North magnetic Pole </t>
  </si>
  <si>
    <t>where will you find earth's magnetic north pole</t>
  </si>
  <si>
    <t xml:space="preserve"> The North Magnetic Pole moves over time due to magnetic changes in the Earth 's core . In 2001 , it was determined by the Geological Survey of Canada to lie west of Ellesmere Island in northern Canada at 81 ° 18 ′ N 110 ° 48 ′ W ﻿ / ﻿ 81.3 ° N 110.8 ° W ﻿ / 81.3 ; - 110.8 ﻿ ( Magnetic North Pole 2001 ) . It was situated at 83 ° 06 ′ N 117 ° 48 ′ W ﻿ / ﻿ 83.1 ° N 117.8 ° W ﻿ / 83.1 ; - 117.8 ﻿ ( Magnetic North Pole 2005 est ) in 2005 . In 2009 , while still situated within the Canadian Arctic territorial claim at 84 ° 54 ′ N 131 ° 00 ′ W ﻿ / ﻿ 84.9 ° N 131.0 ° W ﻿ / 84.9 ; - 131.0 ﻿ ( Magnetic North Pole 2009 ) , it was moving toward Russia at between 55 and 60 kilometres ( 34 and 37 mi ) per year . As of 2017 , the pole is projected to have moved beyond the Canadian Arctic territorial claim to 86 ° 30 ′ N 172 ° 36 ′ W ﻿ / ﻿ 86.5 ° N 172.6 ° W ﻿ / 86.5 ; - 172.6 ﻿ ( Magnetic North Pole 2017 est ) . </t>
  </si>
  <si>
    <t>86 ° 30 ′ N 172 ° 36 ′ W ﻿ / ﻿ 86.5 ° N 172.6 ° W</t>
  </si>
  <si>
    <t xml:space="preserve"> Visible spectrum </t>
  </si>
  <si>
    <t>what is the wave length of green light</t>
  </si>
  <si>
    <t xml:space="preserve">       Color   Wavelength   Frequency   Photon energy     Violet   380 -- 450 nm   668 -- 789 THz   2.75 -- 3.26 eV     Blue   450 -- 495 nm   606 -- 668 THz   2.50 -- 2.75 eV     Green   495 -- 570 nm   526 -- 606 THz   2.17 -- 2.50 eV     Yellow   570 -- 590 nm   508 -- 526 THz   2.10 -- 2.17 eV     Orange   590 -- 620 nm   484 -- 508 THz   2.00 -- 2.10 eV     Red   620 -- 750 nm   400 -- 484 THz   1.65 -- 2.00 eV   </t>
  </si>
  <si>
    <t>495 -- 570 nm</t>
  </si>
  <si>
    <t xml:space="preserve"> List of Major League Baseball franchise postseason droughts </t>
  </si>
  <si>
    <t>baseball teams that have never been to the world series</t>
  </si>
  <si>
    <t xml:space="preserve">   Seasons   Team   Last pennant     49   Washington Nationals   Never ( franchise started in 1969 )     41   Seattle Mariners   Never ( franchise started in 1977 )     38   Pittsburgh Pirates   1979     35   Milwaukee Brewers   1982 ( never since joining NL in 1998 )     34   Baltimore Orioles       27   Cincinnati Reds   1990     27   Oakland Athletics   1990     26   Minnesota Twins   1991     24   Toronto Blue Jays   1993     19   San Diego Padres   1998     18   Atlanta Braves   1999     16   Arizona Diamondbacks   2001     15   Los Angeles Angels   2002     14   Miami Marlins   2003     12   Chicago White Sox   2005     10   Colorado Rockies   2007     9   Tampa Bay Rays   2008     8   New York Yankees   2009     8   Philadelphia Phillies   2009     6   Texas Rangers   2011     5   Detroit Tigers   2012       St. Louis Cardinals   2013       Boston Red Sox   2013       San Francisco Giants   2014       Kansas City Royals   2015       New York Mets   2015       Chicago Cubs   2016       Cleveland Indians   2016     0   Houston Astros   2017     0   Los Angeles Dodgers   2017   </t>
  </si>
  <si>
    <t>Washington Nationals</t>
  </si>
  <si>
    <t xml:space="preserve"> Better Call Saul </t>
  </si>
  <si>
    <t>when does better call saul come out on netflix</t>
  </si>
  <si>
    <t xml:space="preserve"> In December 2013 , Netflix announced that the entire first season would be available for streaming in the U.S. after the airing of the first - season finale , and in Latin America and Europe each episode would be available a few days after the episode airs in the U.S. However , the first season was not released on Netflix in the U.S. until February 1 , 2016 . </t>
  </si>
  <si>
    <t>February 1 , 2016</t>
  </si>
  <si>
    <t xml:space="preserve"> Beijing dialect </t>
  </si>
  <si>
    <t>what kind of chinese do they speak in beijing</t>
  </si>
  <si>
    <t xml:space="preserve"> The Beijing dialect ( simplified Chinese : 北京 话 ; traditional Chinese : 北京 話 ; pinyin : Běijīnghuà ) , also known as Pekingese , is the prestige dialect of Mandarin spoken in the urban area of Beijing , China . It is the phonological basis of Standard Chinese , which is the official language in the People 's Republic of China and Republic of China and one of the official languages in Singapore . </t>
  </si>
  <si>
    <t>Mandarin</t>
  </si>
  <si>
    <t xml:space="preserve"> Physical training uniform </t>
  </si>
  <si>
    <t>what does pt stand for in the army</t>
  </si>
  <si>
    <t xml:space="preserve"> A physical training uniform is a military uniform used during exercise , calisthenics , drills , and in some cases , very casual periods of time ( off - duty time during Initial Entry Training in the U.S. Army , for example ) . The United States Army , Marine Corps , Navy , Air Force , and Coast Guard require use of a physical training ( PT ) uniform during unit exercise ( including formation runs , calisthenics , and conditioning exercises ) . Some military units produce unique T - shirts with their unit insignia and motto , and for special events , this shirt is part of the uniform . Occasionally , exercise will be conducted in that branch 's utility uniforms , normally with the blouse removed and the undershirt exposed ( also known as `` boots and utes '' ) . </t>
  </si>
  <si>
    <t>physical training</t>
  </si>
  <si>
    <t xml:space="preserve"> Ray Park </t>
  </si>
  <si>
    <t>who played the role of snake eyes in gi joe</t>
  </si>
  <si>
    <t xml:space="preserve"> Raymond `` Ray '' Park ( born 23 August 1974 ) is a Scottish actor , author and martial artist . He is best known for playing Darth Maul in Star Wars : Episode I -- The Phantom Menace , Toad in X-Men , Snake - Eyes in G.I. Joe : The Rise of Cobra and G.I. Joe : Retaliation , and Edgar on Heroes . </t>
  </si>
  <si>
    <t>Raymond `` Ray '' Park</t>
  </si>
  <si>
    <t xml:space="preserve"> List of Grand Slam men 's singles champions </t>
  </si>
  <si>
    <t>who has won the most grand slam singles tennis titles</t>
  </si>
  <si>
    <t xml:space="preserve">   Rank   Player   Total   Years   Australian Open   French Open   Wimbledon   US Open       Roger Federer   20   2003 -- 2018   6     8   5       Rafael Nadal   16   2005 -- 2017     10           Pete Sampras   14   1990 -- 2002     0   7   5       Roy Emerson   12   1961 -- 1967   6           Novak Djokovic   12   2008 -- 2016   6           6   Rod Laver   11   1960 -- 1969             Björn Borg   11   1974 -- 1981   0   6   5   0     8   Bill Tilden   10   1920 -- 1930   0   0     7     9   Fred Perry   8   1933 -- 1936             Ken Rosewall   8   1953 -- 1972       0       Jimmy Connors   8   1974 -- 1983     0     5     Ivan Lendl   8   1984 -- 1990       0       Andre Agassi   8   1992 -- 2003             14   Richard Sears   7   1881 -- 1887   0   0   0   7     William Renshaw   7   1881 -- 1889   0   0   7   0     William Larned   7   1901 -- 1911   0   0   0   7     René Lacoste   7   1925 -- 1929   0           Henri Cochet   7   1926 -- 1932   0           John Newcombe   7   1967 -- 1975     0         John McEnroe   7   1979 -- 1984   0   0         Mats Wilander   7   1982 -- 1988       0       22   Laurence Doherty   6   1902 -- 1906   0   0   5       Tony Wilding   6   1906 -- 1913     0     0     Jack Crawford   6   1931 -- 1935         0     Don Budge   6   1937 -- 1938             Stefan Edberg   6   1985 -- 1992     0         Boris Becker   6   1985 -- 1996     0         28   Frank Sedgman   5   1949 -- 1952     0         Tony Trabert   5   1953 -- 1955   0         </t>
  </si>
  <si>
    <t>Roger Federer</t>
  </si>
  <si>
    <t xml:space="preserve"> Halloween ( 1978 film ) </t>
  </si>
  <si>
    <t>who played young michael myers in halloween 1978</t>
  </si>
  <si>
    <t xml:space="preserve"> Nick Castle as Michael Myers / The Shape   Tony Moran as Michael Myers ( unmasked )   Will Sandin as Michael Myers ( age 6 )   </t>
  </si>
  <si>
    <t>Will Sandin</t>
  </si>
  <si>
    <t xml:space="preserve"> Sunshine of Your Love </t>
  </si>
  <si>
    <t>who sang lead vocals on sunshine of your love</t>
  </si>
  <si>
    <t xml:space="preserve"> `` Sunshine of Your Love '' is a 1967 song by the British rock band Cream . With elements of hard rock , psychedelia , and pop , it is one of Cream 's best known and most popular songs . Cream bassist and vocalist Jack Bruce based it on a distinctive bass riff , or repeated musical phrase , he developed after attending a Jimi Hendrix concert . Guitarist Eric Clapton and lyricist Pete Brown later contributed to the song . Recording engineer Tom Dowd suggested the rhythm arrangement in which drummer Ginger Baker plays a distinctive tom - tom drum rhythm , although Baker has claimed it was his idea . </t>
  </si>
  <si>
    <t>Jack Bruce</t>
  </si>
  <si>
    <t xml:space="preserve"> 2017 -- 18 NBA season </t>
  </si>
  <si>
    <t>when does the nba regular season start in 2017</t>
  </si>
  <si>
    <t xml:space="preserve"> The 2017 -- 18 NBA season is the 72nd season of the National Basketball Association ( NBA ) . The regular season began on October 17 , 2017 , earlier than previous seasons to reduce the number of `` back - to - back '' games teams are scheduled to play , with the 2017 runners - up Cleveland Cavaliers hosting a game against the Boston Celtics at Quicken Loans Arena in Cleveland , Ohio . Christmas games will be played on December 25 . The 2018 NBA All - Star Game will be played on February 18 , 2018 , at the Staples Center in Los Angeles , California . The regular season will end on April 11 , 2018 and the playoffs will begin on April 14 , 2018 . </t>
  </si>
  <si>
    <t>October 17 , 2017</t>
  </si>
  <si>
    <t xml:space="preserve"> International versions of Wheel of Fortune </t>
  </si>
  <si>
    <t>how many wheel of fortune's are there around the world</t>
  </si>
  <si>
    <t xml:space="preserve">   Region or Country   Local name   Hosts   Hostesses   Network   Dates     Argentina   Tiempo Límite ATP   Gerardo Sofovich     América TV   2001     Australia   Wheel of Fortune   Ernie Sigley ( 1981 -- 84 ) John Burgess ( 1984 -- 96 ) Tony Barber ( 1996 ) Rob Elliott ( 1997 -- 2003 ) Steve Oemcke ( 2004 -- 05 ) Larry Emdur ( 2006 )   Adriana Xenides ( 1981 -- 96 , 1997 -- 99 ) Kerrie Friend ( 1996 -- 97 ) Sophie Falkiner ( 1999 -- 2005 ) Laura Csortan ( 2006 )   Seven Network   July 21 , 1981 -- 2004 November 2005 -- July 28 , 2006     Million Dollar Wheel of Fortune   Tim Campbell   Kelly Landry   Nine Network   May 26 , 2008 -- June 27 , 2008     Belgium ( Flanders )   Rad van Fortuin ( nl )   Mike Verdrengh ( nl ) Walter Capiau ( nl ) Bart Kaëll Walter Grootaers ( nl ; fr ) Koen Wauters Luc Appermont Bart van den Bossche   Aurore Be Els Deborah Valerie &amp; Zoe   BRT VTM Canvas   1989 -- 97 2004 -- 06     Brazil   Roletrando ( pt ) Roda a Roda ( pt )   Silvio Santos Patricia Abravanel   Patricia Salvador Cláudia Barone   SBT   August 23 , 1981 -- September 26 , 1993 October 13 , 2003 -- present     Bulgaria   Колелото на късмета ( bg ) Koleloto na kasmeta   Rumen Lukanov   Jasmina Toshkova   Nova TV   January 18 , 2010     Canada ( Quebec )   La Roue chanceuse ( fr )   Donald Lautrec   Lyne Sarrazin   TQS   May 1 , 1989 -- 1992     Chile   La Rueda de la Fortuna ( es )   Rodolfo Torrealba     Canal 13   1978 -- 79     Colombia   La Rueda de La Fortuna   Mauro Urquijo Gonzalo Vivanco   Laura Tobon   Caracól TV RCN   1998 -- 99 2012 -- 13     Croatia   Kolo sreće   Oliver Mlakar ( 1993 -- 2002 ) Boris Mirković ( 2015 -- )   Maja Vracaric ( 1993 -- 2002 ) Iva Jerković ( 2015 -- )   HRT1 ( 1993 -- 2002 ) RTL Televizija ( 2015 -- )   1993 -- 2002 May 18 , 2015 -- present     Czech Republic   Kolotoč   Pavel Poulicek Dalibor Gondik Honza Musil   Adela Gondikova Radka Ruster   TV Nova   1997 -- 2002     Denmark   Lykkehjulet   Michael Meyer Heim ( 1988 ) Bengt Burg ( 1989 -- 96 , 1997 -- 2000 ) Keld Heick ( 1996 -- 97 ) Lars Herlow ( 2000 -- 01 )   Pia Dresner ( 1988 ) Carina Jensen ( 1989 -- 94 ) Maria Millet ( 1995 -- 2001 )   TV2   October 1 , 1988 -- 2001     Ecuador   La Rueda de la Fortuna   Pancho Cabanilla     Ecuavisa   2004 -- present     Egypt   دايرة الحياة Dayret Al Hayat   Kareem Kojak   Heba Sameer Goudah   Hayat 2   August 19 , 2012 -- 2013     Estonia   Õnneratas Suur lotokolmapäev   Emil Rutiku ( 1999 -- 2000 ) Mart Sander ( 2011 -- 12 ) Kristjan Jõekalda ( 2012 -- 13 )     TV3 ( 1999 -- 2000 ) Kanal 2 ( 2011 -- 13 )   1999 -- 2000 2011 -- 13     Finland   Onnenpyörä ( fi )   Jethro Rosted ( fi ) ( 2018 ) Kim Floor ( fi ; de ) ( 1993 ) Janne Porkka ( fi ) ( 1993 -- 2001 )   Tiina Vierto ( 1993 - 1995 ) Susan Sirén ( 1995 - 1998 ) Kati Jalojärvi ( 1998 - 1999 ) Saija Palin ( 1999 - 2001 )   MTV3   1993 -- 2001     France   La Roue de la fortune   Michel Robbe ( 1987 ) Christian Morin ( 1987 -- 92 ) Alexandre Debanne ( 1993 -- 94 ) Olivier Chiabodo ( 1995 -- 97 ) Christophe Dechavanne ( 2006 -- 12 ) Benjamin Castaldi ( January -- March 2012 )   Annie Pujol ( 1987 -- 94 ) Sandra Rossi ( 1995 ) Frederique Calvez ( 1995 -- 97 ) Victoria Silvstedt ( 2006 -- 12 ) Valerie Begue ( January -- March 2012 )   TF1   January 5 , 1987 -- April 1997 August 7 , 2006 -- March 23 , 2012     Georgia   იღბლიანი ბორბალი Igbliani Borbali   Duta Skhirtladze Vaniko Tarkhnishvili   Shorena Begashvili   Rustavi 2   March 3 , 2011 -- present     Germany   Glücksrad ( de )   Frederic Meisner ( de ) Peter Bond ( de )   Maren Gilzer ( de )   Sat. 1   November 7 , 1988 -- May 15 , 1998     Frederic Meisner ( 1998 -- 2001 ) Thomas Ohrner ( 2001 -- 2002 )   Sonya Kraus ( 1998 -- 2002 ) Katrin Wrobel ( de ) ( 2002 )   kabel eins   May 18 , 1998 -- October 31 , 2002     Frederic Meisner   Ramona Drews   9 Live   March 1 , 2004 -- March 5 , 2005     Jan Hahn ( de )   Isabel Edvardsson   RTLplus   October 17 , 2016 -- present     Kinder - Glücksrad   Petra Hausberg   no hostess   Sat. 1   May 10 , 1992 -- 1993     Glücksrad - Gala   Peter Bond and Frederic Meisner   Maren Gilzer and Gundis Zambo   1993 -- 96     Greece Cyprus   Ο τροχός της τύχης O trokós tis túkis   George Polychroniou Paul Chaikalis Danis Katranidis Yiannis Koutrakis Peter Polychronidis   Krista Niki Kartsona Julia Nova   ANT1 MEGA Star Channel   1990 -- 96 1997 -- 98 2015 -- present     Hungary   Szerencsekerék ( hu )   Tamás Gajdos ( hu ) Viktor Klausmann ( hu ) Vizy András Dóra Prokopp ( hu ) Andrea Szulák ( hu ; de )   Rácz Zsuzsi   MTV1 TV2 Story4TV   1993 -- 97 1997 -- 2001 2011 -- 12     India   Surf Wheel of Fortune   Mohan Kapoor     Zee TV   1995 -- 97     Indonesia   Roda Impian ( id ) Pilih atau Dia   Charles Bonar Sirait   Vicki ( 2001 -- 02 ) Ike ( 2002 )   SCTV antv Indosiar   August 6 , 2001 -- August 2 , 2002 2003 -- July 29 , 2005 January 2 , 2006 -- March 3 , 2006     Israel   גלגל המזל Galgal HaMazal ( he )   Erez Tal Gil Sassover ( he )   Efrat Rotem Meirav Levin Galit Burg ( he ) Ruth Gonzales ( he ) Ingrid Feldman ( he ) Tal Man ( he ) Sigal Shachmon Anat Elimelech   Channel 2   1994 -- 2000     Italy   La Ruota Della Fortuna   Mike Bongiorno ( 1985 , 1989 -- 2003 ) Casti ( 1987 -- 88 ) Enrico Papi ( 2007 -- 09 )   Raffaella De Riso ( 1987 -- 88 ) Michelle Klippenstein ( 1988 ) Ylenia Carrisi ( 1989 , 1992 ) Paola Barale ( 1989 -- 95 ) Roberta Capua ( 1995 ) Antonella Elia ( 1995 -- 96 ) Claudia Grego ( 1996 -- 97 ) Ana Laura Ribas ( 1997 ) Miriana Trevisan ( 1997 -- 2002 ) Nancy Comelli ( 2002 -- 03 ) Victoria Silvstedt ( 2007 -- 09 )   Canale 5 ( 1985 ) Odeon TV ( 1987 -- 88 ) Rete 4 ( 1989 -- 2003 ) Italia 1 ( 2007 -- 09 )   1985 September 1987 -- 1988 1989 -- 2003 2007 -- 09     Lithuania   Laimės Ratas         1990s     Macedonia   Тркало На Среќата Trkalo Na Srekata   Igor Dzambazov   Natali Grubovic   A1 Channel   2009 -- 11     Malaysia   Roda Impian   Halim Othman ( 1996 -- 2002 ) Hani Mohsin ( 2002 -- 06 ) Kieran ( 2009 )   Zalda Zainal Abby Abadi Spell Liza AF1 Irma Hasmie Fauziah Gous   Astro Ria TV3   1996 -- 2006 2009     Mexico   La rueda de la fortuna   Laura Flores   Anastasia   Canal de las Estrellas   1995 -- 97     Netherlands   Rad van Fortuin ( nl )   Hans van der Togt ( nl ) Carlo Boszhard Andre Hazes jr. ( 2016 )   Leontine Borsato ( nl ) Patricia Rietveld Cindy Pielstroom Stephanie Tency ( fy ; nl ) ( 2016 )   RTL 4 SBS 6   1989 -- 98 2009 August 22 , 2016 -- July 27 , 2017     New Zealand   Wheel of Fortune   Phillip Leishman Jason Gunn   Lana Coc - Kroft Sonia Gray   TV2 TV One   February 1991 -- 1996 April 14 , 2008 -- May 2 , 2009     Norway   Lykkehjulet ( no ; sv )   Ragnar Otnes ( no ) Knut Bjørnsen Vendela Kirsebom   Ulrika Nilsson Lise Nilsen   TV3   1990 -- 93 February 26 , 2007     Panama   La Rueda de la Fortuna   Rassiel Rodriguez Jorge Ortega   Nadage Herrera   Telemetro   2001 2011     Peru   La Ruleta de la Suerte   Christian Rivero   Gisela Valcarcel   Frecuencia Latina   2011 -- 12     Philippines   Wheel of Fortune   Rustom Padilla Kris Aquino   Victoria London Zara Aldana &amp; Jasmine Fitzgerald   ABC 5 ABS -- CBN   November 19 , 2001 -- October 2002 January 14 , 2008 -- July 25 , 2008     Poland   Koło Fortuny   Wojciech Pijanowski ( 1992 -- 95 ) Paweł Wawrzecki ( 1995 ) Stanisław Mikulski ( 1995 -- 98 ) Krzysztof Tyniec ( 2007 -- 09 ) Rafał Brzozowski ( 2017 -- present )   Magda Masny ( 1992 -- 98 ) Marta Lewandowska ( 2007 -- 09 ) Izabella Krzan ( 2017 -- present )   TVP2   October 2 , 1992 -- September 1 , 1998 October 29 , 2007 -- October 27 , 2009 September 11 , 2017 -- present     Portugal   A Roda da Sorte ( pt )   Herman José   Ruth &amp; Rita Candido Mota Vanessa Palma ( pt )   RTP1 SIC   1990 -- 94 2008     Romania   Roata Norocului   Doru Dumitrescu Mihai Calin ( 1997 -- 99 ) Liviu Varciu ( 2012 -- 13 ) ( Adrian Cristea ) Bursucu ( 2015 -- present )   Cristiana Ruduta Ana Maria Barnoschi   TVR1 Pro TV Kanal D   March 1997 December 1997 -- May 1999 June 20 , 2012 -- present     Russia   Поле чудес Pole Chudes   Vladislav Listyev ( 1990 -- 91 ) Leonid Yakubovich ( 1991 -- present ) Valdis Pelsh ( 25 December 2002 )   Rimma Agafoshina ( 1991 -- present )   VID 1TV   October 25 , 1990 -- present     Serbia   Kolo sreće   Milorad Mandić   Soraja Vučelić   Happy TV   December 2015 -- present     Singapore   Wheel of Fortune Singapore   Bernard Lim   Eunice Olsen   MediaCorp Channel 5   May 8 , 2002     Slovakia   Koleso šťastia   Jozef Pročko Tibor Hlista Roman Feder Laco Híveš Roman Pomajbo Peter Marcin Lukáš Adamec   Alžbeta Ferencová   STV VTV Markíza   1994 -- 97 July 25 , 2016 -- January 23 , 2017     Slovenia   Kolo sreče   Mito Trefalt   Damjana Golavšek   TV SLO1   1990s     Spain   La ruleta de la fortuna La ruleta de la suerte   Mayra Gómez Kemp Ramón García Irma Soriano Bigote Arrocet Mabel Lozano Belén Rueda Fernando Esteso Jesús Vázquez Andoni Ferreño Goyo González Carlos Lozano Jorge Hernandez   Diana Fernandez ( 1991 -- 97 ) Paloma Lopez ( 2006 -- 15 ) Laura Moure ( 2015 -- present )   Antena 3 Telecinco Antena 3   1990 -- 92 1993 -- 97 2006 -- present     Sweden   Lykkehjulet ( sv ; no ) Miljonlotteriet Lyckohjulet   Ragnar Otnes Hans Wiklund   Ulrika Nilsson Hannah Graaf   TV3 TV8   1990s     Turkey   Çarkıfelek   Ümit Güner Tarık Tarcan Halit Kıvanç Yıldo Mehmet Ali Erbil Ata Demirer Muazzez Ersoy Tuğba Özay Deniz Seki and Emel Müftüoğlu Arto Hamdi Alkan Petek Dinçöz İlker Ayrık     TRT TRT 2 Show Tv Cine5 Kanal D Eko Tv Super Kanal TGRT atv Kanal 1 FOX Türkiye Star TV TNT Türkiye Kanal D   1975 -- 92 1986 -- 92 1992 -- 96 , 2005 -- 06 1993 -- 96 1997 -- 2003 1997 -- 2000 2002 -- 03 2003 -- 04 2007 -- 08 2008 -- 09 2011 -- 12 2014 -- present     Çark 2000   Ataman Erkul     Kanal D   2000     United Kingdom   Wheel of Fortune   Nicky Campbell ( 1988 -- 96 ) Bradley Walsh ( 1997 ) John Leslie ( 1998 -- 2001 ) Paul Hendy ( 2001 )   Angela Ekaette ( 1988 ) Carol Smillie ( 1989 -- 94 ) Jenny Powell ( 1995 -- 2001 ) Terri Seymour ( 2001 )   ITV   July 19 , 1988 -- December 21 , 2001     United States Canada ( English )   Wheel of Fortune   Chuck Woolery ( 1975 -- 81 ) Pat Sajak ( 1981 -- 89 ) Rolf Benirschke ( 1989 ) Bob Goen ( 1989 -- 91 )   Susan Stafford ( 1975 -- 82 ) Vanna White ( 1982 -- 91 )   NBC ( 1975 -- 89 , 1991 ) CBS ( 1989 -- 91 )   January 6 , 1975 -- June 30 , 1989 July 17 , 1989 -- September 20 , 1991     Pat Sajak   Vanna White   syndication   September 19 , 1983 -- present     Wheel 2000   David Sidoni   Tanika Ray ( as `` Cyber Lucy '' )   CBS   September 13 , 1997 -- February 7 , 1998     Venezuela   La Estrella de la Fortuna   Orlando Urdaneta Corina Azopardo Luis Velazco Juan Manuel Montesinos   Maru Winklemann   Venevisión   1984 -- 89     Vietnam   Chiếc nón kỳ diệu ( vi )   Lại Văn Sâm ( first show in 2001 ) Trịnh Long Vũ ( 2001 -- 06 ) Tuấn Tú ( 2006 -- 13 ) Danh Tùng ( 2014 - 15 ) Bùi Đức Bảo ( 2015 -- 2016 )   Phạm Thu Hằng ( 2001 -- 03 ) Hương Giang ( 2003 -- 06 ) MaiKa ( 2007 -- 09 , similar to Wheel 2000 in the U.S. ) Hồng Nhung ( 2009 -- 2016 )   VTV3   March 31 , 2001 -- December 24 , 2016   </t>
  </si>
  <si>
    <t xml:space="preserve"> Clostridium difficile infection </t>
  </si>
  <si>
    <t>role of spores in the development of c. difficile disease</t>
  </si>
  <si>
    <t xml:space="preserve"> C. difficile is transmitted from person to person by the fecal - oral route . The organism forms heat - resistant spores that are not killed by alcohol - based hand cleansers or routine surface cleaning . Thus , these spores survive in clinical environments for long periods . Because of this , the bacteria may be cultured from almost any surface . Once spores are ingested , their acid - resistance allows them to pass through the stomach unscathed . Upon exposure to bile acids , they germinate and multiply into vegetative cells in the colon . </t>
  </si>
  <si>
    <t xml:space="preserve"> Super Dancer </t>
  </si>
  <si>
    <t>who was the winner of super dancer chapter 1</t>
  </si>
  <si>
    <t xml:space="preserve"> Super Dancer is an Indian Hindi kids dance reality television series , which airs on Sony Entertainment Television and Sony Entertainment Television Asia. The winner of season 1 of this series is Ditya Bhande. The series is produced by Ranjeet Thakur and Hemant Ruprell for their production house Frames Productions . The show was won By Ditya Bhande and choreographer Ruel Dausan . </t>
  </si>
  <si>
    <t xml:space="preserve"> A Horse with No Name </t>
  </si>
  <si>
    <t>who sang desert on a horse with no name</t>
  </si>
  <si>
    <t xml:space="preserve"> `` A Horse with No Name '' is a song written by Dewey Bunnell , and originally recorded by the folk rock band America . It was the band 's first and most successful single , released in late - 1971 in Europe and early - 1972 in the US , and topped the charts in several countries . It was certified gold by the Recording Industry Association of America . </t>
  </si>
  <si>
    <t>America</t>
  </si>
  <si>
    <t xml:space="preserve"> Bang the Drum all day </t>
  </si>
  <si>
    <t>i don't wanna work i just wanna bang on these drums all day</t>
  </si>
  <si>
    <t xml:space="preserve"> `` Bang the Drum All Day '' is a 1983 song by Todd Rundgren . The lyrics describe , in the first person , the singer 's drive to `` bang on the drum all day '' to the exclusion of everything else . All the instruments on this track are performed by Rundgren . The song has become popular as an anti-work anthem or anthem of celebration . </t>
  </si>
  <si>
    <t xml:space="preserve"> Pitch Perfect 2 </t>
  </si>
  <si>
    <t>who plays the record producer in pitch perfect 2</t>
  </si>
  <si>
    <t xml:space="preserve"> Anna Kendrick as Beca Mitchell , the senior leader of the Bellas , known for creating the unique modern - day sound of the Bellas . She is an aspiring record producer and is now an intern at Residual Heat , a record label . </t>
  </si>
  <si>
    <t>Anna Kendrick</t>
  </si>
  <si>
    <t xml:space="preserve"> What 's Wrong with Secretary Kim </t>
  </si>
  <si>
    <t>when does episode 5 of what's wrong with secretary kim come out</t>
  </si>
  <si>
    <t xml:space="preserve">   Episode #   Original broadcast date   Average audience share     AGB Nielsen Ratings   TNmS Ratings     Nationwide   Seoul       June 6 , 2018   5.757 %   6.446 %   6.3 %       June 7 , 2018   5.403 %   5.529 %   5.6 %       June 13 , 2018   6.950 %   8.252 %   8.3 %       June 14 , 2018   6.379 %   6.945 %   6.3 %     5   June 20 , 2018   6.855 %   7.500 %   7.0 %     6   June 21 , 2018   7.687 %   8.554 %   7.7 %     7   June 27 , 2018   7.281 %   8.201 %   8.5 %     8   June 28 , 2018   8.120 %   9.326 %   8.3 %     9   July 4 , 2018   7.767 %   9.428 %   8.8 %     10   July 5 , 2018   8.403 %   9.545 %   9.2 %     11   July 11 , 2018   8.665 %   10.565 %   10.6 %     12   July 12 , 2018   8.393 %   10.052 %   9.7 %     13   July 18 , 2018   7.673 %   8.717 %   8.7 %     14   July 19 , 2018   8.100 %   9.506 %   9.2 %     15   July 25 , 2018   7.107 %   7.725 %   8.0 %     16   July 26 , 2018   8.602 %   10.001 %   9.8 %     Average   7.446 %   8.518 %   8.3 %   </t>
  </si>
  <si>
    <t>June 20 , 2018</t>
  </si>
  <si>
    <t xml:space="preserve"> Władysław Sikorski </t>
  </si>
  <si>
    <t>who was the leader of poland in ww2</t>
  </si>
  <si>
    <t xml:space="preserve"> During the Second World War , Sikorski became Prime Minister of the Polish Government in Exile , Commander - in - Chief of the Polish Armed Forces , and a vigorous advocate of the Polish cause in the diplomatic sphere . He supported the reestablishment of diplomatic relations between Poland and the Soviet Union , which had been severed after the Soviet pact with Germany and the 1939 invasion of Poland -- however , Soviet leader Joseph Stalin broke off Soviet - Polish diplomatic relations in April 1943 following Sikorski 's request that the International Red Cross investigate the Katyń Forest massacre . </t>
  </si>
  <si>
    <t>when does jurassic world falling kingdom come out</t>
  </si>
  <si>
    <t xml:space="preserve"> Filming took place from February to July 2017 in the United Kingdom and Hawaii . Produced and distributed by Universal Pictures , Fallen Kingdom premiered in Madrid on May 21 , 2018 , and was released internationally in early June 2018 and in the United States on June 22 , 2018 . The film has grossed over $1.2 billion worldwide , making it the third Jurassic film to pass the mark , the third highest - grossing film of 2018 and the 13th highest - grossing film of all time . It received mixed reviews from critics , who praised Pratt 's performance , Bayona 's direction , the visuals , and the `` surprisingly dark moments '' , although many criticized the screenplay and lack of innovation , with some suggesting the series has run its course . An untitled sequel is set to be released on June 11 , 2021 , with Trevorrow returning to direct . </t>
  </si>
  <si>
    <t>June 22 , 2018</t>
  </si>
  <si>
    <t xml:space="preserve"> Missouri Tigers </t>
  </si>
  <si>
    <t>where did the missouri tigers get their name</t>
  </si>
  <si>
    <t xml:space="preserve"> The Missouri Tigers athletics programs include the extramural and intramural sports teams of the University of Missouri , located in Columbia , Missouri , United States . The name comes from a band of armed guards called the Fighting Tigers of Columbia who , in 1864 , protected Columbia from guerrillas during the Civil War . </t>
  </si>
  <si>
    <t>from a band of armed guards called the Fighting Tigers of Columbia</t>
  </si>
  <si>
    <t xml:space="preserve"> Sarek </t>
  </si>
  <si>
    <t>who played spock's dad on star trek</t>
  </si>
  <si>
    <t xml:space="preserve"> Sarek / ˈsærɛk / is a fictional character in the Star Trek media franchise . He is a Vulcan astrophysicist , the Vulcan ambassador to the United Federation of Planets , and father of Spock . The character was originated by Mark Lenard in the 1967 episode `` Journey to Babel '' ( Lenard previously portrayed a Romulan Commander in another episode of the original series , 1966 's `` Balance of Terror '' ) . Lenard later voiced Sarek in the animated series , and appeared in Star Trek movies and the series Star Trek : The Next Generation . </t>
  </si>
  <si>
    <t>Mark Lenard</t>
  </si>
  <si>
    <t xml:space="preserve"> Fourth Anglo - Mysore war </t>
  </si>
  <si>
    <t>who was defeated and killed in the fourth mysore war at srirangapatna</t>
  </si>
  <si>
    <t xml:space="preserve"> This was the final conflict of the four Anglo -- Mysore Wars . The British captured the capital of Mysore . The ruler Tipu Sultan was killed in the battle . Britain took indirect control of Mysore , restoring the Wodeyar Dynasty to the Mysore throne ( with a British commissioner to advise him on all issues ) . Tipu Sultan 's young heir , Fateh Ali , was sent into exile . The Kingdom of Mysore became a princely state in a subsidiary alliance with British India and ceded Coimbatore , Dakshina Kannada and Uttara Kannada to the British . </t>
  </si>
  <si>
    <t>Tipu Sultan</t>
  </si>
  <si>
    <t xml:space="preserve"> Saina Nehwal </t>
  </si>
  <si>
    <t>who was the first indian who win world junior badminton championship</t>
  </si>
  <si>
    <t xml:space="preserve"> Nehwal has achieved several milestones in badminton for India . She is the only Indian to have won at least a medal in every BWF major individual event , namely the Olympics , the BWF World Championships , and the BWF World Junior Championships . She is the first Indian badminton player to have won an Olympic medal , along with being the only Indian to have won the BWF World Junior Championships or to have reached to the final of the BWF World Championships . In 2006 , Nehwal became the first Indian female and the youngest Asian to win a 4 - star tournament . She also has the distinction of being the first Indian to win a Super Series title . In the 2014 Uber Cup , she captained the Indian team and remained undefeated , helping India to win bronze medal . It was India 's first medal in any BWF major team event . She is a role model to many young badminton players . </t>
  </si>
  <si>
    <t>Nehwal</t>
  </si>
  <si>
    <t xml:space="preserve"> National Museum of Natural History </t>
  </si>
  <si>
    <t>when was the national museum of natural history built</t>
  </si>
  <si>
    <t xml:space="preserve"> The National Museum of Natural History is a natural - history museum administered by the Smithsonian Institution , located on the National Mall in Washington , D.C. , United States . It has free admission and is open 364 days a year . In 2016 , with 7.1 million visitors , it was the fourth most visited museum in the world and the most visited natural - history museum in the world . Opened in 1910 , the museum on the National Mall was one of the first Smithsonian buildings constructed exclusively to hold the national collections and research facilities . The main building has an overall area of 1,500,000 square feet ( 140,000 m ) with 325,000 square feet ( 30,200 m ) of exhibition and public space and houses over 1,000 employees . </t>
  </si>
  <si>
    <t>1910</t>
  </si>
  <si>
    <t xml:space="preserve"> South Carolina gubernatorial election , 2018 </t>
  </si>
  <si>
    <t>who is running for governor of south carolina 2018</t>
  </si>
  <si>
    <t xml:space="preserve">  Kevin Bryant , incumbent Lieutenant Governor   Yancey McGill , former Democratic Lieutenant Governor and former Democratic State Senator   Henry McMaster , incumbent Governor   Catherine Templeton , former Director of the South Carolina Department of Health and Environmental Control and former Director of the Department of Labor , Licensing and Regulation  </t>
  </si>
  <si>
    <t xml:space="preserve"> Fall Out Boy </t>
  </si>
  <si>
    <t>who is the lead singer for fall out boy</t>
  </si>
  <si>
    <t xml:space="preserve"> Fall Out Boy is an American rock band formed in Wilmette , Illinois , a suburb of Chicago , in 2001 . The band consists of lead vocalist and rhythm guitarist Patrick Stump , bassist Pete Wentz , lead guitarist Joe Trohman , and drummer Andy Hurley . The band originated from Chicago 's hardcore punk scene , with which all members were involved at one point . The group was formed by Wentz and Trohman as a pop punk side project of the members ' respective hardcore bands , and Stump joined shortly thereafter . The group went through a succession of drummers before landing Hurley and recording the group 's debut album , Take This to Your Grave ( 2003 ) . The album became an underground success and helped the band gain a dedicated fanbase through heavy touring , as well as some moderate commercial success . Take This to Your Grave has commonly been cited as an influential blueprint for pop punk music in the 2000s . </t>
  </si>
  <si>
    <t>Patrick Stump</t>
  </si>
  <si>
    <t xml:space="preserve"> 16th Street Baptist Church bombing </t>
  </si>
  <si>
    <t>who died in the 16th street baptist church bombing</t>
  </si>
  <si>
    <t xml:space="preserve"> Four girls , Addie Mae Collins ( age 14 , born April 18 , 1949 ) , Carol Denise McNair ( age 11 , born November 17 , 1951 ) , Carole Robertson ( age 14 , born April 24 , 1949 ) , and Cynthia Wesley ( age 14 , born April 30 , 1949 ) , were killed in the attack . The explosion was so intense that one of the girls ' bodies was decapitated and so badly mutilated in the explosion that her body could only be identified through her clothing and a ring , whereas another victim had been killed by a piece of mortar embedded in her skull . All four girls were pronounced dead on arrival at the Hillman Emergency Clinic . The then - pastor of the church , the Reverend John Cross , would recollect in 2001 that the girls ' bodies were subsequently found `` stacked on top of each other , clung together '' . </t>
  </si>
  <si>
    <t>Addie Mae Collins</t>
  </si>
  <si>
    <t xml:space="preserve"> I 'm in Love with a Monster </t>
  </si>
  <si>
    <t>who sings i'm in love with a monster in hotel transylvania</t>
  </si>
  <si>
    <t xml:space="preserve"> `` I 'm in Love with a Monster '' is a song recorded by American girl group Fifth Harmony for the computer animated fantasy - comedy film , Hotel Transylvania 2 . It was written by Harmony Samuels , Carmen Reece , Sarah Mancuso , Edgar Etienne and Ericka Coulter with production handled by Samuels . It was released to digital retailers on August 14 , 2015 through Epic Records and Syco Music and serviced to contemporary hit radio in the United States four days later on August 18 . `` I 'm in Love with a Monster '' is a pop song that blends elements of R&amp;B , soul , rock and hip hop with `` jazzy '' rhythms along with heavy and funky beats . Critics drew comparisons to the musical style of girl groups such as The Supremes . </t>
  </si>
  <si>
    <t>Fifth Harmony</t>
  </si>
  <si>
    <t xml:space="preserve"> The Last of Us </t>
  </si>
  <si>
    <t>what are the zombies called in the last of us</t>
  </si>
  <si>
    <t xml:space="preserve"> In September 2013 , an outbreak of a mutant Cordyceps fungus ravages the United States , transforming its human hosts into cannibalistic monsters known as infected . In the suburbs of Austin , Texas , Joel ( Troy Baker ) flees the chaos with his brother Tommy ( Jeffrey Pierce ) and daughter Sarah ( Hana Hayes ) . As they flee , Sarah is shot by a soldier and dies in Joel 's arms . In the twenty years that follow , most of civilization is destroyed by the infection . Survivors live in heavily policed quarantine zones , independent settlements , and nomadic groups . Joel works as a smuggler with his partner Tess ( Annie Wersching ) in the quarantine zone in the North End of Boston , Massachusetts . They hunt down Robert ( Robin Atkin Downes ) , a black - market dealer , to recover a stolen weapons cache . Before Tess kills him , Robert reveals that he traded the cache with the Fireflies , a rebel militia opposing the quarantine zone authorities . </t>
  </si>
  <si>
    <t>infected</t>
  </si>
  <si>
    <t xml:space="preserve"> GoPro </t>
  </si>
  <si>
    <t>when did the first go pro come out</t>
  </si>
  <si>
    <t xml:space="preserve"> In 2004 , the company sold its first camera system , which used 35 mm film . Digital still and video cameras were later introduced . As of 2014 , a fixed - lens HD video camera with a wide 170 - degree lens was available ; two or more can be paired to create 360 video . </t>
  </si>
  <si>
    <t>2004</t>
  </si>
  <si>
    <t xml:space="preserve"> Argentina at the FIFA World Cup </t>
  </si>
  <si>
    <t>when was the last time argentina won the world cup</t>
  </si>
  <si>
    <t xml:space="preserve">   Year   Round   Position   GP     D *     GS   GA     1930   Second     5     0     18   9     1934   First round   9     0   0           1938   Did not Enter     1950   Did Not Enter     1954   Did not Enter     1958   Group Stage   13       0     5   10     1962   Group Stage   10                 1966   Quarter - finals   5                 1970   Did not qualify       Second Group Stage   8   6         9   12     1978   Champions     7   5       15       1982   Second Group Stage   11   5     0     8   7     1986   Champions     7   6     0   14   5     1990   Runners - up     7         5       1994   Round of 16   10       0     8   6     1998   Quarter - finals   6   5         10       2002   Group stage   18                 2006   Quarter - finals   6   5       0   11         Quarter - finals   5   5     0     10   6     2014   Runners - up     7   5   1 *     8       2018   Qualified     2022   To Be Determined     Total   2 titles   16 / 20   77   42   14   21   131   84   </t>
  </si>
  <si>
    <t>2014</t>
  </si>
  <si>
    <t xml:space="preserve"> Little Giants </t>
  </si>
  <si>
    <t>who were the pro football players in little giants</t>
  </si>
  <si>
    <t xml:space="preserve"> Just as Danny 's team start to lose hope , a bus arrives carrying NFL stars John Madden , Emmitt Smith , Bruce Smith , Tim Brown , and Steve Emtman . They teach and inspire the young players into believing they can win . </t>
  </si>
  <si>
    <t>John Madden</t>
  </si>
  <si>
    <t xml:space="preserve"> South African Reserve Bank </t>
  </si>
  <si>
    <t>who owns the reserve bank in south africa</t>
  </si>
  <si>
    <t xml:space="preserve"> The Reserve Bank is privately owned , with 2 million issued shares . The only limitation on shareholding is that no single shareholder may own more than 10,000 shares individually . Currently there are 696 shareholders , as of the shareholders index report of 31 August 2018 , owning shares in the South African Reserve Bank . </t>
  </si>
  <si>
    <t xml:space="preserve"> Development of the gonads </t>
  </si>
  <si>
    <t>where do the testes develop in the embryo</t>
  </si>
  <si>
    <t xml:space="preserve"> The development of the gonads is part of the prenatal development of the reproductive system and ultimately forms the testes in males and the ovaries in females . The gonads initially develop from the mesothelial layer of the peritoneum . </t>
  </si>
  <si>
    <t>from the mesothelial layer of the peritoneum</t>
  </si>
  <si>
    <t xml:space="preserve"> Annihilation ( film ) </t>
  </si>
  <si>
    <t>is the annihilation movie just the first book</t>
  </si>
  <si>
    <t xml:space="preserve"> In March 2013 , it was announced that Paramount Pictures and Scott Rudin Productions had acquired the film rights to Annihilation , the first novel in Jeff VanderMeer 's Southern Reach Trilogy , and that the film would be produced by Scott Rudin and Eli Bush . Alex Garland was hired to adapt and direct the film the next year . Garland revealed to Creative Screenwriting that his adaptation was necessarily based on only the first novel in the trilogy : </t>
  </si>
  <si>
    <t xml:space="preserve"> Sorry to Bother You ( film ) </t>
  </si>
  <si>
    <t>who does the voices in sorry to bother you</t>
  </si>
  <si>
    <t xml:space="preserve">  Lakeith Stanfield as Cassius `` Cash '' Green   David Cross as Cash 's `` white voice ''   Mahari Crown as Fake Cash     Tessa Thompson as Detroit , Cash 's girlfriend   Lily James as Detroit 's white voice     Jermaine Fowler as Salvador   Omari Hardwick as Mr. _______   Patton Oswalt as Mr. _______ 's white voice     Terry Crews as Sergio Green , Cash 's uncle   Danny Glover as Langston   Steven Yeun as Squeeze   Armie Hammer as Steve Lift   Kate Berlant as Diana DeBauchery   Michael X . Sommers as Johnny   Robert Longstreet as Anderson   Forest Whitaker as First Equisapien / Demarius   Rosario Dawson as Voice in Elevator   Tom Woodruff Jr. as Equisapien  </t>
  </si>
  <si>
    <t xml:space="preserve"> Jewellery </t>
  </si>
  <si>
    <t>when was the first piece of jewelry made</t>
  </si>
  <si>
    <t xml:space="preserve"> Jewellery ( British English ) or jewelry ( American English ) consists of small decorative items worn for personal adornment , such as brooches , rings , necklaces , earrings , pendants and bracelets . Jewellery may be attached to the body or the clothes , and the term is restricted to durable ornaments , excluding flowers for example . For many centuries metal , often combined with gemstones , has been the normal material for jewellery , but other materials such as shells and other plant materials may be used . It is one of the oldest type of archaeological artefact -- with 100,000 - year - old beads made from Nassarius shells thought to be the oldest known jewellery . The basic forms of jewellery vary between cultures but are often extremely long - lived ; in European cultures the most common forms of jewellery listed above have persisted since ancient times , while other forms such as adornments for the nose or ankle , important in other cultures , are much less common . </t>
  </si>
  <si>
    <t>100,000 - year - old beads made from Nassarius shells</t>
  </si>
  <si>
    <t xml:space="preserve"> Toner ( skin care ) </t>
  </si>
  <si>
    <t>what is toner used for on the face</t>
  </si>
  <si>
    <t xml:space="preserve"> In cosmetics , skin toner or simply toner refers to a lotion or wash designed to cleanse the skin and shrink the appearance of pores , usually used on the face . Toners can be applied to the skin in different ways : </t>
  </si>
  <si>
    <t>to cleanse the skin and shrink the appearance of pores</t>
  </si>
  <si>
    <t xml:space="preserve"> Flapper </t>
  </si>
  <si>
    <t>what were some characteristics of flappers (the modern woman of the 20s)</t>
  </si>
  <si>
    <t xml:space="preserve"> Flappers were a generation of young Western women in the 1920s who wore short skirts , bobbed their hair , listened to jazz , and flaunted their disdain for what was then considered acceptable behavior . Flappers were seen as brash for wearing excessive makeup , drinking , treating sex in a casual manner , smoking , driving automobiles , and otherwise flouting social and sexual norms . Flappers had their origins in the liberal period of the Roaring Twenties , the social , political turbulence and increased transatlantic cultural exchange that followed the end of World War I , as well as the export of American jazz culture to Europe . </t>
  </si>
  <si>
    <t xml:space="preserve"> Walking Tall ( 1973 film ) </t>
  </si>
  <si>
    <t>who was the original actor in walking tall</t>
  </si>
  <si>
    <t xml:space="preserve"> Walking Tall is a 1973 American action semi-biopic film of Sheriff Buford Pusser , a professional wrestler - turned - lawman in McNairy County , Tennessee . It starred Joe Don Baker as Pusser . The film was directed by Phil Karlson . Based on Pusser 's life , it was a combination of very loosely based fact and Hollywood revisionism . It has since become a well known cult classic with two direct sequels of its own , a TV movie , a brief TV series and a remake that had its own two sequels . </t>
  </si>
  <si>
    <t>Joe Don Baker</t>
  </si>
  <si>
    <t xml:space="preserve"> List of most - followed Twitter accounts </t>
  </si>
  <si>
    <t>who has the most followers on twitter in india</t>
  </si>
  <si>
    <t xml:space="preserve">   Rank   Account name   Owner   Followers ( millions )   Profession   Country     1 .   @ katyperry   Katy Perry   106   Musician   United States     2 .   @ justinbieber   Justin Bieber   103   Canada     3 .   @ BarackObama   Barack Obama   96   Former U.S. President   United States     4 .   @ taylorswift13   Taylor Swift   86   Musician     5 .   @ rihanna   Rihanna   81   Barbados     6 .   @ TheEllenShow   Ellen DeGeneres   75   Comedian   United States     7 .   @ ladygaga   Lady Gaga   73   Musician     8 .   @ YouTube   YouTube   70   Social media platform     9 .   @ jtimberlake   Justin Timberlake   63   Musician and actor     10 .   @ Cristiano   Cristiano Ronaldo   63   Footballer   Portugal     11 .   @ twitter   Twitter   62   Social media platform   United States     12 .   @ KimKardashian   Kim Kardashian West   57   Reality TV personality     13 .   @ britneyspears   Britney Spears   56   Musician     14 .   @ ArianaGrande   Ariana Grande   55     15 .   @ selenagomez   Selena Gomez   54   Musician and actress     16 .   @ cnnbrk   CNN Breaking News   53   News     17 .   @ ddlovato   Demi Lovato   51   Musician and actress     18 .   @ jimmyfallon   Jimmy Fallon   49   Comedian     19 .   @ shakira   Shakira   49   Musician   Colombia     20 .   @ JLo   Jennifer Lopez   44   Musician and actress   United States     21 .   @ realDonaldTrump   Donald Trump   42   U.S. President and Reality TV personality     22 .   @ BillGates   Bill Gates   40   Businessman     23 .   @ nytimes   The New York Times   40   Newspaper     24 .   @ Oprah   Oprah Winfrey   39   Businesswoman     25 .   @ instagram   Instagram   39   Social media platform     26 .   @ KingJames   LeBron James   39   Basketball player     27 .   @ CNN   CNN   38   Television channel     28 .   @ MileyCyrus   Miley Cyrus   37   Musician and actress     29 .   @ BrunoMars   Bruno Mars   36   Musician     30 .   @ Drake   Drake   36   Rapper   Canada     31 .   @ narendramodi   Narendra Modi   36   Prime Minister of India   India     32 .   @ NiallOfficial   Niall Horan   36   Musician   Ireland     33 .   @ BBCBreaking   BBC Breaking News   35   News   United Kingdom     34 .   @ SportsCenter   SportsCenter   35   Television channel   United States     35 .   @ KevinHart4real   Kevin Hart   35   Comedian     36 .   @ neymarjr   Neymar   34   Footballer   Brazil     37 .   @ espn   ESPN   34   Television channel   United States     38 .   @ wizkhalifa   Wiz Khalifa   32   Rapper     39 .   @ LilTunechi   Lil Wayne   32   Rapper     40 .   @ onedirection   One Direction   32   Band   United Kingdom / Ireland     41 .   @ Harry_Styles   Harry Styles   31   Musician   United Kingdom     42 .   @ Pink   P ! nk   31   United States     43 .   @ SrBachchan   Amitabh Bachchan   31   Actor   India     44 .   @ iamsrk   Shah Rukh Khan   30     45 .   @ Louis_Tomlinson   Louis Tomlinson   30   Musician   United Kingdom     46 .   @ LiamPayne   Liam Payne   29     47 .   @ aliciakeys   Alicia Keys   29   United States     48 .   @ Adele   Adele   29   United Kingdom     49 .   @ KAKA   Kaká   29   Footballer   Brazil     50 .   @ ActuallyNPH   Neil Patrick Harris   28   Actor   United States     As of November 1 , 2017   </t>
  </si>
  <si>
    <t xml:space="preserve"> A Kiss to Build a Dream on </t>
  </si>
  <si>
    <t>who wrote the song a kiss to build a dream on</t>
  </si>
  <si>
    <t xml:space="preserve"> `` A Kiss to Build a Dream On '' is a song composed by Bert Kalmar , Harry Ruby and Oscar Hammerstein II in 1935 . It was recorded by Louis Armstrong in 1951 . It was also performed by Armstrong as well as by Mickey Rooney with William Demarest , by Sally Forrest , and by Kay Brown ( virtually the entire cast performed part or all of the song ) in the 1951 film `` The Strip , '' and was a sort of recurring theme in the film . The song was nominated for the Academy Award for Best Original Song in 1951 but lost out to `` In the Cool , Cool , Cool of the Evening '' . Another popular recording was made by one of the movie 's guest - stars , Monica Lewis , and in early 1952 , the version by Hugo Winterhalter and his Orchestra , with vocalist Johnny Parker , made it to the Pop 20 chart in the United States . </t>
  </si>
  <si>
    <t xml:space="preserve"> Land of Make Believe ( amusement park ) </t>
  </si>
  <si>
    <t>the land of make believe hope new jersey</t>
  </si>
  <si>
    <t xml:space="preserve"> The Land of Make Believe is a family amusement park catering mostly to children under 8 years of age . Opened in 1954 , it is in Hope Township , New Jersey , United States , on County Route 611 , two miles from exit 12 off of Interstate 80 . It centers itself around `` Safe and wholesome recreation '' , with entertaining rides and attractions that are enjoyed mostly by children under 8 but also has some attractions for people of all ages but not so extreme that it scares off young children mixed in . </t>
  </si>
  <si>
    <t>amusement park</t>
  </si>
  <si>
    <t xml:space="preserve"> Real Time with Bill Maher ( season 16 ) </t>
  </si>
  <si>
    <t>when does real time with bill maher come back</t>
  </si>
  <si>
    <t xml:space="preserve">   No . overall   No. in season   Guests   Original air date   U.S. viewers ( millions )     446     Larry Wilmore , Michael Wolff , Andrew Sullivan , Saru Jayaraman   January 19 , 2018 ( 2018 - 01 - 19 )   1.89     447     Roger McNamee , Rick Wilson , Ro Khanna , Michelle Goldberg , Zooey Deschanel   January 26 , 2018 ( 2018 - 01 - 26 )   1.85     448     Anthony Scaramucci , Donna Brazile , Richard Haass , David Frum   February 2 , 2018 ( 2018 - 02 - 02 )   1.91     449     Bari Weiss , Adam Schiff , April Ryan , Richard Painter , Johann Hari   February 9 , 2018 ( 2018 - 02 - 09 )   1.88     450   5   Salman Rushdie , Vicente Fox , Anna Deavere Smith , Fran Lebowitz   February 16 , 2018 ( 2018 - 02 - 16 )   1.84     451   6   Eric Holder , Jon Meacham , Amy Chua , David Hogg , Cameron Kasky   March 2 , 2018 ( 2018 - 03 - 02 )   1.91     452   7   Kathy Griffin , Ana Navarro , Erick Erickson , Bari Weiss , Trae Crowder   March 9 , 2018 ( 2018 - 03 - 09 )   1.97     453   8   Beto O'Rourke , Billy Bush , Andrew Ross Sorkin , Pete Dominick , Nayyera Haq   March 16 , 2018 ( 2018 - 03 - 16 )   1.86     454   9   Chris Hayes , Mitch Landrieu , Gina McCarthy , Mona Charen , Malcolm Nance   March 23 , 2018 ( 2018 - 03 - 23 )   1.80     455   10   Geraldo Rivera , Heather McGhee , Max Boot , Eliot Spitzer , Louie Anderson   April 6 , 2018 ( 2018 - 04 - 06 )   1.84     456   11   Brian Schatz , Andy Cohen , Jason Kander , Maya Wiley , Jonathan Chait   April 13 , 2018 ( 2018 - 04 - 13 )   1.56     457   12   Michael Avenatti , Frank Bruni , Alex Wagner , Jordan Peterson , Jay Inslee   April 20 , 2018 ( 2018 - 04 - 20 )   1.75     458   13   Ronan Farrow , Ross Douthat , Ian Bremmer , Ana Marie Cox , John Podhoretz   April 27 , 2018 ( 2018 - 04 - 27 )   1.68     459   14   Jon Meacham , Michael Hayden , Matt Welch , Sally Kohn , Michael Tubbs   May 4 , 2018 ( 2018 - 05 - 04 )   1.50     460   15   Ethan Hawke , Robert Reich , Killer Mike , Duncan D. Hunter   May 11 , 2018 ( 2018 - 05 - 11 )   1.52     461   16   Dan Savage , Bari Weiss , Evan McMullin , Dambisa Moyo , Clint Watts   May 18 , 2018 ( 2018 - 05 - 18 )   1.80     462   17   Bernie Sanders , Charlamagne tha God , Paul Begala , Bret Stephens , Natasha Bertrand   June 1 , 2018 ( 2018 - 06 - 01 )   1.77     463   18   Fareed Zakaria , John Heilemann , Michael Eric Dyson , Linda Chavez , Shermichael Singleton   June 8 , 2018 ( 2018 - 06 - 08 )   1.46     464   19   George Will , Karen Bass , Billy Eichner , Margaret Hoover , Michael Weiss   June 15 , 2018 ( 2018 - 06 - 15 )   1.68     465   20   Michael Smerconish , Michael Pollan , Neera Tanden , Colion Noir , Josh Barro   June 22 , 2018 ( 2018 - 06 - 22 )   1.57     466   21   Michael Moore , Bradley Whitford , Jennifer Rubin , Lawrence Wilkerson , Ben Shapiro   June 29 , 2018 ( 2018 - 06 - 29 )   1.67     467   22   Nancy MacLean , Steve Schmidt , Charles Blow , Malcolm Nance , Kristen Soltis Anderson   August 3 , 2018 ( 2018 - 08 - 03 )   1.44     468   23   D.L. Hughley , Lawrence O'Donnell , Seth Moulton , Steven Pinker , Christina Bellantoni   August 10 , 2018 ( 2018 - 08 - 10 )   1.59     469   24   Preet Bharara , Jennifer Granholm , Charlie Sykes , Jonathan Swan , Adam Conover   August 17 , 2018 ( 2018 - 08 - 17 )   1.69     470   25   John Brennan , David Corn , Rick Wilson , Saru Jayaraman , Kara Swisher   August 24 , 2018 ( 2018 - 08 - 24 )   1.66     471   26   Jim Carrey , David Axelrod , Charlie Dent , Michelle Goldberg , Jack Bryan   September 7 , 2018 ( 2018 - 09 - 07 )   1.68     472   27   John Kerry , Steve Ballmer , S.E. Cupp , Mark Leibovich , Richard Clarke   September 14 , 2018 ( 2018 - 09 - 14 )   1.74     473   28   Michael Moore , Thom Hartmann , P.J. O'Rourke , Catherine Rampell , Steve Hilton   September 21 , 2018 ( 2018 - 09 - 21 )   1.70     474   29   Steve Bannon , Neil deGrasse Tyson , Evelyn Farkas , Max Brooks , April Ryan   September 28 , 2018 ( 2018 - 09 - 28 )   1.76     475   30   Doris Kearns Goodwin , Soledad O'Brien , David Jolly , Andrew Sullivan , Jeff Bridges   October 5 , 2018 ( 2018 - 10 - 05 )   1.73     476   31   Omarosa Manigault Newman , Eddie Glaude , Steve Kornacki , Reihan Salam , Rebecca Traister   October 12 , 2018 ( 2018 - 10 - 12 )   1.74     477   32   Stormy Daniels , Anthony Scaramucci , Betsy Woodruff , Max Boot , Jonathan Haidt   October 26 , 2018 ( 2018 - 10 - 26 )   TBD     478   33   Barbra Streisand , Chelsea Handler , Jim VandeHei , Anthony Romero   November 2 , 2018 ( 2018 - 11 - 02 )   TBD     479   34     November 9 , 2018 ( 2018 - 11 - 09 )   TBD     480   35     November 16 , 2018 ( 2018 - 11 - 16 )   TBD   </t>
  </si>
  <si>
    <t>November 9 , 2018</t>
  </si>
  <si>
    <t xml:space="preserve"> List of presidents of the United States by time in office </t>
  </si>
  <si>
    <t>who was the last president to not get reelected</t>
  </si>
  <si>
    <t xml:space="preserve">   Rank   President   Length in days   Order of presidency   Number of terms       Franklin D. Roosevelt   7003442200000000000 ♠ 4,422   32nd March 4 , 1933 -- April 12 , 1945   Three full terms ; died 2 months and 23 days into fourth term     tie   Thomas Jefferson   7003292200000000000 ♠ 2,922   3rd March 4 , 1801 -- March 4 , 1809   Two full terms     James Madison   7003292200000000000 ♠ 2,922   4th March 4 , 1809 -- March 4 , 1817   Two full terms     James Monroe   7003292200000000000 ♠ 2,922   5th March 4 , 1817 -- March 4 , 1825   Two full terms     Andrew Jackson   7003292200000000000 ♠ 2,922   7th March 4 , 1829 -- March 4 , 1837   Two full terms     Ulysses S. Grant   7003292200000000000 ♠ 2,922   18th March 4 , 1869 -- March 4 , 1877   Two full terms     Grover Cleveland   2,922   22nd March 4 , 1885 -- March 4 , 1889   Two full terms ( non-consecutive )     24th March 4 , 1893 -- March 4 , 1897     Woodrow Wilson   7003292200000000000 ♠ 2,922   28th March 4 , 1913 -- March 4 , 1921   Two full terms     Dwight D. Eisenhower   7003292200000000000 ♠ 2,922   34th January 20 , 1953 -- January 20 , 1961   Two full terms     Ronald Reagan   7003292200000000000 ♠ 2,922   40th January 20 , 1981 -- January 20 , 1989   Two full terms     Bill Clinton   7003292200000000000 ♠ 2,922   42nd January 20 , 1993 -- January 20 , 2001   Two full terms     George W. Bush   7003292200000000000 ♠ 2,922   43rd January 20 , 2001 -- January 20 , 2009   Two full terms     Barack Obama   7003292200000000000 ♠ 2,922   44th January 20 , 2009 -- January 20 , 2017   Two full terms     14   George Washington   7003286500000000000 ♠ 2,865   1st April 30 , 1789 -- March 4 , 1797   Two full terms     15   Harry S. Truman   7003284000000000000 ♠ 2,840   33rd April 12 , 1945 -- January 20 , 1953   One partial term ( 3 years , 9 months , and 8 days ) , followed by one full term     16   Theodore Roosevelt   7003272800000000000 ♠ 2,728   26th September 14 , 1901 -- March 4 , 1909   One partial term ( 3 years , 5 months , and 18 days ) , followed by one full term     17   Calvin Coolidge   7003204100000000000 ♠ 2,041   30th August 2 , 1923 -- March 4 , 1929   One partial term ( 1 year , 7 months , and 2 days ) , followed by one full term     18   Richard Nixon   7003202700000000000 ♠ 2,027   37th January 20 , 1969 -- August 9 , 1974   One full term ; resigned 1 year , 6 months , and 20 days into second term     19   Lyndon B. Johnson   7003188600000000000 ♠ 1,886   36th November 22 , 1963 -- January 20 , 1969   One partial term ( 1 year , 1 month , and 29 days ) , followed by one full term     20   William McKinley   7003165400000000000 ♠ 1,654   25th March 4 , 1897 -- September 14 , 1901   One full term ; assassinated 6 months and 2 days into second term , dying 8 days later , 6 months and 10 days into that term     21   Abraham Lincoln   7003150300000000000 ♠ 1,503   16th March 4 , 1861 -- April 15 , 1865   One full term ; assassinated 1 month and 10 days into second term , dying 1 day later , 1 month and 11 days into that term     22 tie   John Quincy Adams   7003146100000000000 ♠ 1,461   6th March 4 , 1825 -- March 4 , 1829   One full term     Martin Van Buren   7003146100000000000 ♠ 1,461   8th March 4 , 1837 -- March 4 , 1841   One full term     James K. Polk   7003146100000000000 ♠ 1,461   11th March 4 , 1845 -- March 4 , 1849   One full term     Franklin Pierce   7003146100000000000 ♠ 1,461   14th March 4 , 1853 -- March 4 , 1857   One full term     James Buchanan   7003146100000000000 ♠ 1,461   15th March 4 , 1857 -- March 4 , 1861   One full term     Rutherford B. Hayes   7003146100000000000 ♠ 1,461   19th March 4 , 1877 -- March 4 , 1881   One full term     Benjamin Harrison   7003146100000000000 ♠ 1,461   23rd March 4 , 1889 -- March 4 , 1893   One full term     William Howard Taft   7003146100000000000 ♠ 1,461   27th March 4 , 1909 -- March 4 , 1913   One full term     Herbert Hoover   7003146100000000000 ♠ 1,461   31st March 4 , 1929 -- March 4 , 1933   One full term     Jimmy Carter   7003146100000000000 ♠ 1,461   39th January 20 , 1977 -- January 20 , 1981   One full term     George H.W. Bush   7003146100000000000 ♠ 1,461   41st January 20 , 1989 -- January 20 , 1993   One full term     33   John Adams   7003146000000000000 ♠ 1,460   2nd March 4 , 1797 -- March 4 , 1801   One full term     34   John Tyler   7003143000000000000 ♠ 1,430   10th April 4 , 1841 -- March 4 , 1845   One partial term ( 3 years and 11 months )     35   Andrew Johnson   7003141900000000000 ♠ 1,419   17th April 15 , 1865 -- March 4 , 1869   One partial term ( 3 years , 10 months , and 17 days )     36   Chester A. Arthur   7003126200000000000 ♠ 1,262   21st September 19 , 1881 -- March 4 , 1885   One partial term ( 3 years , 5 months , and 13 days )     37   John F. Kennedy   7003103600000000000 ♠ 1,036   35th January 20 , 1961 -- November 22 , 1963   Assassinated 2 years , 10 months , and 2 days into term     38   Millard Fillmore   7002969000000000000 ♠ 969   13th July 9 , 1850 -- March 4 , 1853   One partial term ( 2 years , 7 months , and 23 days )     39   Gerald Ford   7002895000000000000 ♠ 895   38th August 9 , 1974 -- January 20 , 1977   One partial term ( 2 years , 5 months , and 11 days )     40   Warren G. Harding   7002881000000000000 ♠ 881   29th March 4 , 1921 -- August 2 , 1923   Died 2 years , 4 months , and 29 days into term     41   Donald Trump   7002568000000000000 ♠ 568   45th January 20 , 2017 -- Incumbent   Serving first term     42   Zachary Taylor   7002492000000000000 ♠ 492   12th March 4 , 1849 -- July 9 , 1850   Died 1 year , 4 months , and 5 days into term     43   James A. Garfield   7002199000000000000 ♠ 199   20th March 4 , 1881 -- September 19 , 1881   Assassinated 3 months and 28 days into term , dying 79 days later , 6 months and 15 days into term     44   William Henry Harrison   7001310000000000000 ♠ 31   9th March 4 , 1841 -- April 4 , 1841   Died 31 days into term   </t>
  </si>
  <si>
    <t>George H.W. Bush</t>
  </si>
  <si>
    <t xml:space="preserve"> Johnnycake </t>
  </si>
  <si>
    <t>where did the term hoe cakes come from</t>
  </si>
  <si>
    <t xml:space="preserve"> According to the Oxford English Dictionary , the term hoecake first occurs in 1745 , and the term is used by American writers such as Joel Barlow and Washington Irving . The origin of the name is the method of preparation : they were cooked on a type of iron pan called a hoe . There is conflicting evidence regarding the common belief that they were cooked on the blades of gardening hoes . A hoecake can be made either out of cornbread batter or leftover biscuit dough . A cornbread hoecake is thicker than a cornbread pancake . </t>
  </si>
  <si>
    <t xml:space="preserve"> DANCING with the Stars ( U.S. season 24 ) </t>
  </si>
  <si>
    <t>last season of dancing with the stars cast</t>
  </si>
  <si>
    <t xml:space="preserve">   Celebrity   Notability ( known for )   Professional partner   Status   Ref .     Chris Kattan   Actor &amp; comedian   Witney Carson   Eliminated 1st on March 27 , 2017       Charo   Actress , comedienne &amp; singer   Keo Motsepe   Eliminated 2nd on April 3 , 2017       Mr. T   Actor &amp; former wrestler   Kym Herjavec   Eliminated 3rd on April 10 , 2017       Erika Jayne   Singer &amp; reality television star   Gleb Savchenko   Eliminated 4th on April 17 , 2017       Heather Morris   Glee actress &amp; dancer   Maksim Chmerkovskiy Alan Bersten ( weeks 2 - 5 )   Eliminated 5th on April 24 , 2017       Nancy Kerrigan   Former Olympic figure skater   Artem Chigvintsev   Eliminated 6th on May 1 , 2017       Nick Viall   The Bachelor star   Peta Murgatroyd     Bonner Bolton   Model &amp; bull rider   Sharna Burgess   Eliminated 8th on May 8 , 2017       Simone Biles   Olympic artistic gymnast   Sasha Farber   Eliminated 9th on May 15 , 2017       Normani Kordei   Fifth Harmony singer   Valentin Chmerkovskiy   Third place on May 23 , 2017       David Ross   Former MLB catcher   Lindsay Arnold   Runner - up on May 23 , 2017     Rashad Jennings   NFL running back   Emma Slater   Winner on May 23 , 2017   </t>
  </si>
  <si>
    <t xml:space="preserve"> Parable of the wise and the foolish Builders </t>
  </si>
  <si>
    <t>bible story about building your house on the rock</t>
  </si>
  <si>
    <t xml:space="preserve"> The Parable of the Wise and the Foolish Builders , ( also known as the House on the Rock ) , is a parable of Jesus appearing in the Gospel of Matthew ( 7 : 24 -- 27 ) and Luke ( 6 : 46 -- 49 ) . </t>
  </si>
  <si>
    <t xml:space="preserve"> List of Odd Mom Out episodes </t>
  </si>
  <si>
    <t>how many episodes season 3 odd mom out</t>
  </si>
  <si>
    <t xml:space="preserve">   Season   Episodes   Originally aired     First aired   Last aired         10   June 8 , 2015 ( 2015 - 06 - 08 )   August 3 , 2015 ( 2015 - 08 - 03 )         10   June 20 , 2016 ( 2016 - 06 - 20 )   August 29 , 2016 ( 2016 - 08 - 29 )         10   July 12 , 2017 ( 2017 - 07 - 12 )   September 13 , 2017 ( 2017 - 09 - 13 )   </t>
  </si>
  <si>
    <t>10</t>
  </si>
  <si>
    <t xml:space="preserve"> Book of Ruth </t>
  </si>
  <si>
    <t>how many chapters in ruth in the bible</t>
  </si>
  <si>
    <t xml:space="preserve"> The book is structured in four chapters : </t>
  </si>
  <si>
    <t>four</t>
  </si>
  <si>
    <t xml:space="preserve"> List of festivals in Pakistan </t>
  </si>
  <si>
    <t>are there any major holidays or festivals in islam</t>
  </si>
  <si>
    <t xml:space="preserve">   Day   Month   Festival         Muharram   New Islamic Year   First day of the Islamic calendar     12   Rabi ' al - awwal   Eid - e-Milād - un-Nabī   Birthday of the Prophet Muhammad     27   Rajab   Miraj - un-Nabi   Muhammad 's night journey     27   Ramadan   Laylat al - Qadr   The night when first verses of Quran were received by Muhammad     30 / 31   Ramadan   Chaand Raat   The last night of Ramadan celebrated on 29th or 30th depending on when the new moon is sighted       Shawal   Eid ul Fitr   The celebration at the end of the fasting month ( Ramadan )     10   Dhu al - Hijjah   Eid al - Adha   The celebration of Abraham 's sacrifice   </t>
  </si>
  <si>
    <t xml:space="preserve"> Tres leches cake </t>
  </si>
  <si>
    <t>what are the 3 milks in tres leches cake</t>
  </si>
  <si>
    <t xml:space="preserve"> A tres leches cake ( Spanish : pastel de tres leches , torta de tres leches or bizcocho de tres leches ) , also known as pan tres leches ( `` three milks bread '' ) , is a sponge cake -- in some recipes , a butter cake -- soaked in three kinds of milk : evaporated milk , condensed milk , and heavy cream . </t>
  </si>
  <si>
    <t>evaporated milk</t>
  </si>
  <si>
    <t xml:space="preserve"> That 'll be the Day ( film ) </t>
  </si>
  <si>
    <t>where was the film that'll be the day filmed</t>
  </si>
  <si>
    <t xml:space="preserve"> That 'll Be the Day is a 1973 British drama film directed by Claude Whatham , written by Ray Connolly , and starring David Essex , Rosemary Leach and Ringo Starr . It is set in the late 1950s / early 1960s and was partially filmed on the Isle of Wight . </t>
  </si>
  <si>
    <t>Isle of Wight</t>
  </si>
  <si>
    <t xml:space="preserve"> Lake Nyos disaster </t>
  </si>
  <si>
    <t>how many animals died in the lake nyos tragedy</t>
  </si>
  <si>
    <t xml:space="preserve"> On 21 August 1986 , a limnic eruption at Lake Nyos in northwestern Cameroon killed 1,746 people and 3,500 livestock . </t>
  </si>
  <si>
    <t>3,500</t>
  </si>
  <si>
    <t xml:space="preserve"> Timber ( Pitbull song ) </t>
  </si>
  <si>
    <t>who is the girl dancing with pitbull in timber</t>
  </si>
  <si>
    <t xml:space="preserve"> Kesha filmed her scenes on November 5 , 2013 while Pitbull filmed his scenes one week later on November 12 , 2013 . The video also features a cameo by Italian model Raffaella Modugno and The Bloody Jug Band , an Orlando - based Americana Group , who perform on stage as the bar 's house band . The beach scenes were filmed in Exuma islands , Bahamas . </t>
  </si>
  <si>
    <t>Raffaella Modugno</t>
  </si>
  <si>
    <t xml:space="preserve"> College Football national championships in NCAA Division I FBS </t>
  </si>
  <si>
    <t>who has won national championships in college football</t>
  </si>
  <si>
    <t xml:space="preserve">   School   Claimed national championships   Seasons   Source     Princeton   28   1869 , 1870 , 1872 , 1873 , 1874 , 1875 , 1877 , 1878 , 1879 , 1880 , 1881 , 1884 , 1885 , 1886 , 1889 , 1893 , 1894 , 1896 , 1898 , 1899 , 1903 , 1906 , 1911 , 1920 , 1922 , 1933 , 1935 , 1950       Yale   27   1872 , 1874 , 1876 , 1877 , 1879 , 1880 , 1881 , 1882 , 1883 , 1884 , 1886 , 1887 , 1888 , 1891 , 1892 , 1893 , 1894 , 1895 , 1897 , 1900 , 1901 , 1902 , 1905 , 1906 , 1907 , 1909 , 1927       Alabama   17   1925 , 1926 , 1930 , 1934 , 1941 , 1961 , 1964 , 1965 , 1973 , 1978 , 1979 , 1992 , 2009 , 2011 , 2012 , 2015 , 2017       Michigan   11   1901 , 1902 , 1903 , 1904 , 1918 , 1923 , 1932 , 1933 , 1947 , 1948 , 1997       Notre Dame   11   1924 , 1929 , 1930 , 1943 , 1946 , 1947 , 1949 , 1966 , 1973 , 1977 , 1988       USC   11   1928 , 1931 , 1932 , 1939 , 1962 , 1967 , 1972 , 1974 , 1978 , 2003 , 2004       Pittsburgh   9   1915 , 1916 , 1918 , 1929 , 1931 , 1934 , 1936 , 1937 , 1976       Ohio State   8   1942 , 1954 , 1957 , 1961 , 1968 , 1970 , 2002 , 2014       Harvard   7   1890 , 1898 , 1899 , 1910 , 1912 , 1913 , 1919       Minnesota   7   1904 , 1934 , 1935 , 1936 , 1940 , 1941 , 1960       Oklahoma   7   1950 , 1955 , 1956 , 1974 , 1975 , 1985 , 2000       Penn   7   1894 , 1895 , 1897 , 1904 , 1907 , 1908 , 1924       Michigan State   6   1951 , 1952 , 1955 , 1957 , 1965 , 1966       Tennessee   6   1938 , 1940 , 1950 , 1951 , 1967 , 1998       California   5   1920 , 1921 , 1922 , 1923 , 1937       Cornell   5   1915 , 1921 , 1922 , 1923 , 1939       Illinois   5   1914 , 1919 , 1923 , 1927 , 1951       Miami ( FL )   5   1983 , 1987 , 1989 , 1991 , 2001       Nebraska   5   1970 , 1971 , 1994 , 1995 , 1997       Georgia Tech     1917 , 1928 , 1952 , 1990       Iowa     1921 , 1956 , 1958 , 1960       Texas     1963 , 1969 , 1970 , 2005       Washington     1960 , 1984 , 1990 , 1991       Army     1944 , 1945 , 1946       Florida     1996 , 2006 , 2008       Florida State     1993 , 1999 , 2013       Lafayette     1896 , 1921 , 1926       LSU     1958 , 2003 , 2007       Ole Miss     1959 , 1960 , 1962       SMU     1935 , 1981 , 1982       Texas A&amp;M     1919 , 1927 , 1939       Auburn     1957 , 2010       Chicago     1905 , 1913       Clemson     1981 , 2016       Georgia     1942 , 1980       Penn State     1982 , 1986       TCU     1935 , 1938       Stanford     1926 , 1940       Arkansas     1964       Boston College     1940       BYU     1984       Centre     1921       Colorado     1990       Dartmouth     1925       Kentucky     1950       Maryland     1953       Navy     1926       Oklahoma State     1945       Rutgers     1869       Syracuse     1959       UCF     2017       UCLA     1954     </t>
  </si>
  <si>
    <t xml:space="preserve"> We Need to Talk About Kevin ( film ) </t>
  </si>
  <si>
    <t>who played kevin in we need to talk about kevin</t>
  </si>
  <si>
    <t xml:space="preserve">  Tilda Swinton as Eva Khatchadourian   John C. Reilly as Franklin Plaskett   Ezra Miller as Kevin Khatchadourian   Jasper Newell as young Kevin   Rocky Duer as infant Kevin     Ashley Gerasimovich as Celia Khatchadourian   Siobhan Fallon Hogan as Wanda   Alex Manette as Colin  </t>
  </si>
  <si>
    <t>Ezra Miller</t>
  </si>
  <si>
    <t xml:space="preserve"> Double - entry bookkeeping system </t>
  </si>
  <si>
    <t>what do you mean by double entry system of accounting</t>
  </si>
  <si>
    <t xml:space="preserve"> Double - entry bookkeeping , in accounting , is a system of bookkeeping so named because every entry to an account requires a corresponding and opposite entry to a different account . For instance , recording earnings of $100 would require making two entries : a debit entry of $100 to an account named `` Cash '' and a credit entry of $100 to an account named `` Revenue . '' </t>
  </si>
  <si>
    <t>every entry to an account requires a corresponding and opposite entry to a different account</t>
  </si>
  <si>
    <t xml:space="preserve"> Estates of the realm </t>
  </si>
  <si>
    <t>who made up the first estate in french society</t>
  </si>
  <si>
    <t xml:space="preserve"> The best known system is the French Ancien Régime ( Old Regime ) , a three - estate system used until the French Revolution ( 1789 -- 1799 ) . Monarchy was for the king and the queen and this system was made up of clergy ( the First Estate ) , nobles ( the Second Estate ) , and peasants and bourgeoisie ( the Third Estate ) . In some regions , notably Scandinavia and Russia , burghers ( the urban merchant class ) and rural commoners were split into separate estates , creating a four - estate system with rural commoners ranking the lowest as the Fourth Estate . Furthermore , the non-landowning poor could be left outside the estates , leaving them without political rights . In England , a two - estate system evolved that combined nobility and bishops into one lordly estate with `` commons '' as the second estate . This system produced the two houses of parliament , the House of Commons and the House of Lords . In southern Germany , a three - estate system of nobility ( princes and high clergy ) , ritters ( knights ) , and burghers was used . </t>
  </si>
  <si>
    <t>clergy ( the First Estate )</t>
  </si>
  <si>
    <t xml:space="preserve"> Green Bay Packers </t>
  </si>
  <si>
    <t>when was the last time green bay packers won a superbowl</t>
  </si>
  <si>
    <t xml:space="preserve">   Green Bay Packers     Current season     Established August 11 , 1919 ; 98 years ago ( August 11 , 1919 ) First season : 1919 Play in and headquartered at Lambeau Field , Green Bay , Wisconsin                  Logo   Wordmark        League / conference affiliations      Independent ( 1919 -- 1920 ) National Football League ( 1921 -- present )    Western Division ( 1933 -- 1949 )   National Conference ( 1950 -- 1952 )   Western Conference ( 1953 -- 1966 )   Central Division ( 1967 -- 1969 )     National Football Conference ( 1970 -- present )   Central Division ( 1970 -- 2001 )   North Division ( 2002 -- present )         Current uniform         Team colors    Dark Green , Gold , White      Fight song   `` Go ! You Packers Go ! ''     Personnel     Owner ( s )   Green Bay Packers , Inc. ( 360,760 stockholders -- governed by a Board of Directors )     Chairman   Mark H. Murphy     CEO   Mark H. Murphy     President   Mark H. Murphy     General manager   Brian Gutekunst     Head coach   Mike McCarthy     Team history       Green Bay Packers ( 1919 -- present )       Team nicknames       Indian Packers ( 1919 )   Blues ( 1922 )   Big Bay Blues ( 1920s )   Bays ( 1918 -- 1940s )   The Pack ( current )   The Green and Gold ( current )       Championships      League championships ( 13 ) †    NFL Championships ( pre-1970 AFL -- NFL merger ) ( 11 ) 1929 , 1930 , 1931 , 1936 , 1939 , 1944 , 1961 , 1962 , 1965 , 1966 , 1967   AFL -- NFL Super Bowl championships ( 2 ) 1966 ( I ) , 1967 ( II )   Super Bowl championships ( 2 ) 1996 ( XXXI ) , 2010 ( XLV )        Conference championships ( 9 )    NFL Western : 1960 , 1961 , 1962 , 1965 , 1966 , 1967   NFC : 1996 , 1997 , 2010        Division championships ( 18 )    NFL West : 1936 , 1938 , 1939 , 1944   NFL Central : 1967   NFC Central : 1972 , 1995 , 1996 , 1997   NFC North : 2002 , 2003 , 2004 , 2007 , 2011 , 2012 , 2013 , 2014 , 2016       † - Does not include the AFL or NFL championships won during the same seasons as the AFL - NFL Super Bowl championships prior to the 1970 AFL - NFL Merger     Playoff appearances ( 32 )       NFL : 1936 , 1938 , 1939 , 1941 , 1944 , 1960 , 1961 , 1962 , 1965 , 1966 , 1967 , 1972 , 1982 , 1993 , 1994 , 1995 , 1996 , 1997 , 1998 , 2001 , 2002 , 2003 , 2004 , 2007 , 2009 , 2010 , 2011 , 2012 , 2013 , 2014 , 2015 , 2016       Home fields       Hagemeister Park ( 1919 -- 1922 )   Bellevue Park ( 1923 -- 1924 )   City Stadium ( 1925 -- 1956 )   Borchert Field ( 1933 )   Wisconsin State Fair Park ( 1934 -- 1951 )   Marquette Stadium ( 1952 )   Milwaukee County Stadium ( 1953 -- 1994 )   Lambeau Field ( 1957 -- present )     </t>
  </si>
  <si>
    <t xml:space="preserve"> Raul Esparza </t>
  </si>
  <si>
    <t>who plays rafael barba on law and order</t>
  </si>
  <si>
    <t xml:space="preserve"> Raúl Eduardo Esparza ( born October 24 , 1970 ) is an American stage and television actor , singer , and voice artist , best known for his role as Rafael Barba in Law &amp; Order : Special Victims Unit . He has received Tony nominations for his role as Philip Salon in the Boy George musical Taboo in 2004 ; Robert , an empty man devoid of connection in the musical comedy Company in 2006 ; a lazy and snarky man in Harold Pinter 's The Homecoming ; and an aggressive volatile movie producer in David Mamet 's Speed the Plow . He played the role of Riff Raff on Broadway in the revival of The Rocky Horror Show and the role of Caractacus Potts in the Broadway musical Chitty Chitty Bang Bang . </t>
  </si>
  <si>
    <t>Raúl Eduardo Esparza</t>
  </si>
  <si>
    <t xml:space="preserve"> The Walking Dead ( season 8 ) </t>
  </si>
  <si>
    <t>who does in season 8 of the walking dead</t>
  </si>
  <si>
    <t xml:space="preserve">   No . overall   No. in season   Title   Directed by   Written by   Original air date   U.S. viewers ( millions )     100     `` Mercy ''   Greg Nicotero   Scott M. Gimple   October 22 , 2017 ( 2017 - 10 - 22 )   11.44     Rick , Maggie , and Ezekiel rally their communities together to take down Negan . Gregory attempts to have the Hilltop residents side with Negan , but they all firmly stand behind Maggie . The group attacks the Sanctuary , taking down its fences and flooding the compound with walkers . With the Sanctuary defaced , everyone leaves except Gabriel , who reluctantly stays to save Gregory , but is left behind when Gregory abandons him . Surrounded by walkers , Gabriel hides in a trailer , where he is trapped inside with Negan .     101     `` The Damned ''   Rosemary Rodriguez   Matthew Negrete &amp; Channing Powell   October 29 , 2017 ( 2017 - 10 - 29 )   8.92     Rick 's forces split into separate parties to attack several of the Saviors ' outposts , during which many members of the group are killed ; Eric is critically injured and rushed away by Aaron . Jesus stops Tara and Morgan from executing a group of surrendered Saviors . While clearing an outpost with Daryl , Rick is confronted and held at gunpoint by Morales , a survivor he met in the initial Atlanta camp , who is now with the Saviors .     102     `` Monsters ''   Greg Nicotero   Matthew Negrete &amp; Channing Powell   November 5 , 2017 ( 2017 - 11 - 05 )   8.52     Daryl finds Morales threatening Rick and kills him ; the duo then pursue a group of Saviors who are transporting weapons to another outpost . Gregory returns to Hilltop , and after a heated argument , Maggie ultimately allows him back in the community . Eric dies from his injuries , leaving Aaron distraught . Despite Tara and Morgan 's objections , Jesus leads the group of surrendered Saviors to Hilltop . Ezekiel 's group attacks another Savior compound , during which Kingdom fighters are annihilated while protecting Ezekiel .     103     `` Some Guy ''   Dan Liu   David Leslie Johnson   November 12 , 2017 ( 2017 - 11 - 12 )   8.69     Ezekiel 's group is overwhelmed by the Saviors , who kill all of them except for Ezekiel himself and Jerry . Carol clears the inside of the compound , killing all but two Saviors , who almost escape but are eventually caught by Rick and Daryl . En route to the Kingdom , Ezekiel , Jerry , and Carol are surrounded by walkers , but Shiva sacrifices herself to save them . The trio returns to the Kingdom , where Ezekiel 's confidence in himself as a leader has diminished .     104   5   `` The Big Scary U ''   Michael E. Satrazemis   Story by : Scott M. Gimple &amp; David Leslie Johnson &amp; Angela Kang Teleplay by : David Leslie Johnson &amp; Angela Kang   November 19 , 2017 ( 2017 - 11 - 19 )   7.85     After confessing their sins to each other , Gabriel and Negan manage to escape from the trailer . Simon and the other lieutenants grow suspicious of each other , knowing that Rick 's forces must have inside information . The workers in the Sanctuary become increasingly frustrated with their living conditions , and a riot nearly ensues , until Negan returns and restores order . Gabriel is locked in a cell , where Eugene discovers him sick and suffering . Meanwhile , Rick and Daryl argue over how to take out the Saviors , leading Daryl to abandon Rick .     105   6   `` The King , the Widow , and Rick ''   John Polson   Angela Kang &amp; Corey Reed   November 26 , 2017 ( 2017 - 11 - 26 )   8.28     Rick visits Jadis in hopes of convincing her to turn against Negan ; Jadis refuses , and locks Rick in a shipping container . Carl encounters Siddiq in the woods and recruits him to Alexandria . Daryl and Tara plot to deviate from Rick 's plans by destroying the Sanctuary . Ezekiel isolates himself at the Kingdom , where Carol tries to encourage him to be the leader his people need . Maggie has the group of captured Saviors placed in a holding area and forces Gregory to join them as punishment for betraying Hilltop .     106   7   `` Time for After ''   Larry Teng   Matthew Negrete &amp; Corey Reed   December 3 , 2017 ( 2017 - 12 - 03 )   7.47     After learning of Dwight 's association with Rick 's group , Eugene affirms his loyalty to Negan and outlines a plan to get rid of the walkers surrounding the Sanctuary . With help from Morgan and Tara , Daryl drives a truck through the Sanctuary 's walls , flooding its interior with walkers , killing many Saviors . Rick finally convinces Jadis and the Scavengers to align with him , and they plan to force the Saviors to surrender . However , when they arrive at the Sanctuary , Rick is horrified to see the breached walls and no sign of the walker herd .     107   8   `` How It 's Gotta Be ''   Michael E. Satrazemis   David Leslie Johnson &amp; Angela Kang   December 10 , 2017 ( 2017 - 12 - 10 )   7.89     Eugene 's plan allows the Saviors to escape the Sanctuary , and separately , the Saviors waylay the Alexandria , Hilltop , and Kingdom forces . The Scavengers abandon Rick , after which he returns to Alexandria . Aaron and Enid are ambushed by Oceanside soldiers , leading Enid to kill Natania . Ezekiel ensures that the Kingdom residents are able to escape before locking himself in the community with the Saviors . Eugene aids Gabriel and Doctor Carson in escaping the Sanctuary in order to ease his conscience . Negan attacks Alexandria , but Carl devises a plan to allow the Alexandria residents to escape into the sewers . Carl reveals he was bitten by a walker while escorting Siddiq to Alexandria .     108   9   `` Honor ''   Greg Nicotero   Matthew Negrete &amp; Channing Powell   February 25 , 2018 ( 2018 - 02 - 25 )   8.28     Realizing his time alive is limited , Carl writes several letters to his loved ones . After the Saviors leave Alexandria , the survivors make for the Hilltop while Rick and Michonne stay behind to say their final goodbyes to a dying Carl , who pleads with Rick to build a better future alongside the Saviors . Morgan and Carol launch a rescue mission for Ezekiel and successfully retake the Kingdom from the invading Saviors ; their lieutenant , Gavin , is killed by Benjamin 's vengeful younger brother , Henry .     109   10   `` The Lost and the Plunderers ''   David Boyd   Angela Kang &amp; Channing Powell &amp; Corey Reed   March 4 , 2018 ( 2018 - 03 - 04 )   6.82     Aaron and Enid try to convince Oceanside to join the fight against the Saviors , but they refuse ; Enid returns to Hilltop while Aaron opts to stay at Oceanside until he can convince them to join . Upon learning of the Scavenger 's siding with Rick , Negan orders Simon to kill only one of Jadis ' people . Rick and Michonne travel to the junkyard to warn Jadis of the Saviors ' impending attack , but they are too late ; Simon had ordered the Saviors to slaughter the entire group ; Jadis , who managed to escape lures her reanimated comrades into a waste shredder to protect herself .     110   11   `` Dead or Alive Or ''   Michael E. Satrazemis   Eddie Guzelian   March 11 , 2018 ( 2018 - 03 - 11 )   6.60     The Saviors hunt the surviving Alexandrians as they make their way to the Hilltop ; Dwight affirms his loyalty to Rick 's group as he distracts the Saviors and helps lead the group to safety . Eugene leads a crew of Saviors in crafting bullets at a new outpost while Negan plans to taint the Saviors ' weapons with walker blood , in order to make the others `` turn '' instead of killing them . Doctor Carson tries to help a feverish and nearly blind Gabriel to safety , but the Saviors eventually catch up , killing Carson and recapturing Gabriel .     111   12   `` The Key ''   Greg Nicotero   Corey Reed &amp; Channing Powell   March 18 , 2018 ( 2018 - 03 - 18 )   6.66     Maggie , Enid , Michonne and Rosita encounter a seemingly benevolent woman named Georgie , who gives them food and documents in exchange for phonograph records ; Georgie claims the documents to be `` a key to the future '' . Negan leads the Saviors to the Hilltop to send a warning via their newly tainted weapons ; Rick pursues the Saviors and chases Negan into a building . Negan eventually escapes , only to be captured at gunpoint by Jadis . Unable to find Negan , Simon instructs the Saviors to attack the Hilltop and `` expunge '' the community for good .     112   13   `` Do Not Send Us Astray ''   Jeffrey F. January   Angela Kang &amp; Matthew Negrete   March 25 , 2018 ( 2018 - 03 - 25 )   6.77     The Saviors attack the Hilltop with their tainted weapons , leading to a battle in which both sides suffer heavy casualties . Tara is non-fatally shot by Dwight in an effort to prevent Simon from killing her . Overnight , the injured die from their tainted wounds and attack the sleeping survivors after reanimating . Henry tries to take revenge for the murder of his brother , leading to the breakout of the Savior prisoners and the disappearance of Henry . Having seen the Saviors ' callous attitude for themselves , Alden and several other Saviors choose to remain at the Hilltop rather than return to the Saviors .     113   14   `` Still Gotta Mean Something ''   Michael E. Satrazemis   Eddie Guzelian   April 1 , 2018 ( 2018 - 04 - 01 )   6.30     Carol and Morgan search for Henry while Rick hunts the escaped Savior prisoners ; Morgan abandons Carol and joins Rick , and together , they find and kill the prisoners . Jadis tortures Negan until he informs her that he had nothing to do with Simon massacring her people ; a helicopter flies nearby , but Jadis fails to catch its attention . Daryl and Rosita plot to stop Eugene from crafting ammunition for the Saviors . Carol finds Henry alive in the woods and they return to Hilltop . Upon Rick and Morgan 's return , Michonne encourages Rick to read Carl 's letter to him .     114   15   `` Worth ''   Michael Slovis   David Leslie Johnson - McGoldrick &amp; Corey Reed   April 8 , 2018 ( 2018 - 04 - 08 )   6.67     Negan returns to the Sanctuary and regains control of the Saviors . Dwight secretly prepares notes to Rick about Negan 's plans , and later sends Gregory to deliver the notes . Daryl and Rosita capture Eugene from his outpost , but he manages to escape and continues pushing his workers to craft bullets . Dwight lures Simon into a meeting where Negan accosts him for going against his orders with the Scavengers , and kills him in a fist fight . Negan then reveals that Laura informed him of Dwight 's siding with Rick , and that his planning was a ruse upon knowing of Dwight 's disloyalty . Negan is contacted by Michonne - who reads Carl 's letter to him at the request of making peace ; Negan remains intent on killing Rick and his allies once and for all .     115   16   `` Wrath ''   Greg Nicotero   Scott M. Gimple &amp; Angela Kang &amp; Matthew Negrete   April 15 , 2018 ( 2018 - 04 - 15 )   7.92     Rick 's group follows the false plans given to them by Gregory , leading them into a trap . As the Saviors fire , their weapons backfire due to their ammo being sabotaged by Eugene . The surviving Saviors surrender , while Rick chases down Negan ; the two brawl and Rick manages to slice Negan 's neck , but immediately has Siddiq tend to the wound , knowing that Carl wanted Negan to survive . Meanwhile , an attack at the Hilltop is stopped with help from Aaron and the Oceanside soldiers . The survivors regroup and rebuild their communities , but Rick 's decision to spare Negan angers Maggie and she vows to take action against Rick in the future .   </t>
  </si>
  <si>
    <t xml:space="preserve"> The Love Song of J. Alfred Prufrock </t>
  </si>
  <si>
    <t>when was the lovesong of j alfred prufrock published</t>
  </si>
  <si>
    <t xml:space="preserve"> `` The Love Song of J. Alfred Prufrock '' , commonly known as `` Prufrock '' , is the first professionally published poem by American - born , British poet T.S. Eliot ( 1888 -- 1965 ) . Eliot began writing `` Prufrock '' in February 1910 , and it was first published in the June 1915 issue of Poetry : A Magazine of Verse at the instigation of Ezra Pound ( 1885 -- 1972 ) . It was later printed as part of a twelve - poem pamphlet ( or chapbook ) titled Prufrock and Other Observations in 1917 . At the time of its publication , Prufrock was considered outlandish , but is now seen as heralding a paradigmatic cultural shift from late 19th - century Romantic verse and Georgian lyrics to Modernism . </t>
  </si>
  <si>
    <t>June 1915</t>
  </si>
  <si>
    <t xml:space="preserve"> The Good Witch </t>
  </si>
  <si>
    <t>where is the hallmark series good witch filmed</t>
  </si>
  <si>
    <t xml:space="preserve"> Although set in `` Middleton , USA '' , it was filmed in Hamilton and Niagara on the Lake , Ontario . In the sequel , The Good Witch 's Charm , the map on the wall in the police station shows Middleton north and west of Chicago , in the vicinity of DuPage County . The names of the suburbs and interstates that are west of Chicago can be clearly seen . </t>
  </si>
  <si>
    <t>Hamilton and Niagara on the Lake , Ontario</t>
  </si>
  <si>
    <t xml:space="preserve"> Personal Jesus </t>
  </si>
  <si>
    <t>who was the original singer of personal jesus</t>
  </si>
  <si>
    <t xml:space="preserve"> `` Personal Jesus '' is a song by the English electronic band Depeche Mode , released on 28 August 1989 as the lead single from their seventh album , Violator ( 1990 ) . It reached No. 13 on the UK Singles Chart and No. 28 on the Billboard Hot 100 . The single was their first to make the US Top 40 since 1984 's `` People Are People '' , and was their first gold - certified single in the US ( quickly followed by its successor , `` Enjoy the Silence '' ) . </t>
  </si>
  <si>
    <t>Depeche Mode</t>
  </si>
  <si>
    <t xml:space="preserve"> Dale Dickey </t>
  </si>
  <si>
    <t>who plays mrs davis in iron man 3</t>
  </si>
  <si>
    <t xml:space="preserve">   Year   Title   Role   Notes     1995   The Incredibly True Adventure of Two Girls in Love   Regina       1995   Running Wild   Judith       1995   The Journey of August King   Jenny         Prison of Secrets   Lynn 's friend       2000   Sordid Lives   Glyndora       2001   The Pledge   Strom       2005   Our Very Own   Skillet       2005   Domino   Edna Fender       2006   Nichts als Gespenster   Annie       2008   Trailer Park of Terror   Daryl       2008   Dark Canvas   Wilma       2008   Changeling   Patient       2008   Leaving Barstow   Linda       2009   A Perfect Getaway   Earth Momma         Winter 's Bone   Merab   Independent Spirit Award for Best Supporting Female Gotham Independent Film Award for Best Ensemble Performance Southeastern Film Critics Association Award for Best Ensemble ( 2nd place ) Nominated -- San Diego Film Critics Society Award for Best Supporting Actress Nominated -- San Diego Film Critics Society Award for Best Ensemble Performance     2011   Child of the Desert   Elia       2011   Super 8   Edie       2011   Pirates of the Caribbean : Tales of the Code : Wedlocked   Oona       2012   Evidence   Katrina Fleishman       2012   Blues for Willadean   Rayleen Hobbs       2012   Tales of Everyday Magic   Maggie       2012   The Happiest Person in America   Meg       2012   Being Flynn   Marie       2012   The Yellow Wallpaper   Jennie Gilman       2012   The Man Who Shook the Hand of Vicente Fernandez   Denise       2012   The Guilt Trip   Tammy       2012   Lost on Purpose   Retta Lee       2012   9 Full Moons   Billie       2013   C.O.G.   Debbie       2013   The Trials of Cate McCall   Mrs. Stubbs       2013   Teddy Bears   Lori       2013   Iron Man 3   Mrs. Davis       2013   Southern Baptist Sissies   Odette       2014   What Lola Wants   Mama       2014   Dark Around the Stars   Rita       2014   White Bird in a Blizzard   Mrs. Hillman       2014   The Possession of Michael King   Beverly       2014   San Patricios   Colleen Donnelly       2015   Regression   Rose Gray       2015   Waffle Street   Crazy Kathy       2015   Blood Father   Cherise       2016   Hell or High Water   Elsie       2016   Message from the King   Mrs. Lazlo       2017   Small Town Crime   Leslie       2018   Leave No Trace   Dale     </t>
  </si>
  <si>
    <t xml:space="preserve"> Guardians of the Galaxy ( film ) </t>
  </si>
  <si>
    <t>what is the blue guys name from guardians of the galaxy</t>
  </si>
  <si>
    <t xml:space="preserve"> Michael Rooker as Yondu Udonta : A blue - skinned bandit who is the leader of the Ravagers and a paternal figure to Quill . Yondu helps Quill to steal the orb before Quill betrays him , leaving Yondu and the Ravagers to chase the Guardians . On the character , Rooker said , he has `` some interesting issues -- not a good guy , not a bad guy . There 's hope and there 's a heart inside Yondu . '' Gunn created the film 's version of the character specifically with Rooker in mind , while borrowing the character 's mohawk and use of a whistle - controlled arrow from the comics . Rooker fully committed to the role once he knew his role on the TV series The Walking Dead would be ending . Rooker 's makeup took approximately four hours to apply . </t>
  </si>
  <si>
    <t>Yondu Udonta</t>
  </si>
  <si>
    <t xml:space="preserve"> A Cinderella Story : Once Upon a song </t>
  </si>
  <si>
    <t>a cinderella story once upon a song katie and luke kiss</t>
  </si>
  <si>
    <t xml:space="preserve"> Luke wants to find the girl who sang for him . In the music room , he sees Bev lip - syncing to Katie 's voice ( `` Make You Believe '' ) . Jumping to the obvious - but - wrong conclusion , Luke falls for Bev and invites her to write more songs with him . Much to Bev 's horror , he treats her out to a restaurant that evening . Luke is amazed by Bev 's musical aptitude , unaware that Katie is texting to her what she should say ( because Bev forced her to help ) . The next day , Luke drops by Bev 's house and hits it off with Victor , to whom he gives guitar lessons . Katie also reconnects with Luke , who does n't like it when she has to head out again -- this time , to throw away Gail 's prized portrait , which Victor has ruined by cutting out her face . Bev cuts in on Luke , whom she then forces Victor to help her deceive by using miniature electronic - communication devices , so that Katie can coach her through another date . Katie puts together a song on the spot ( `` Possibilities '' ) , which Luke sings , thinking it 's Bev 's . She and Luke kiss , which breaks Katie 's heart . Victor takes notice of Katie 's distress and sympathizes with her . </t>
  </si>
  <si>
    <t>who is the most followed user in instagram</t>
  </si>
  <si>
    <t xml:space="preserve"> This list contains the top 25 accounts with the most followers on the social photo - sharing platform Instagram . As of May 2018 , the most followed user is Instagram 's own account , with over 235 million followers . Selena Gomez is the most followed individual , with over 137 million followers . Ten accounts have exceeded 100 million followers on the site . </t>
  </si>
  <si>
    <t>Instagram 's own account</t>
  </si>
  <si>
    <t xml:space="preserve"> Smoking ban in England </t>
  </si>
  <si>
    <t>when was smoking in pubs banned in uk</t>
  </si>
  <si>
    <t xml:space="preserve"> A smoking ban in England , making it illegal to smoke in all enclosed work places in England , came into force on 1 July 2007 as a consequence of the Health Act 2006 . Similar bans had already been introduced by the rest of the United Kingdom : in Scotland on 26 March 2006 , Wales on 2 April 2007 and Northern Ireland on 30 April 2007 . </t>
  </si>
  <si>
    <t>1 July 2007</t>
  </si>
  <si>
    <t xml:space="preserve"> Train horn </t>
  </si>
  <si>
    <t>when do trains have to blow their horns</t>
  </si>
  <si>
    <t xml:space="preserve"> On April 27 , 2005 , the Federal Railroad Administration ( FRA ) , which enforces rail safety regulations , published the final rule on the use of locomotive horns at highway - rail grade crossings . Effective June 24 , 2005 , the rule requires that locomotive horns be sounded at all public grade crossings at least 15 seconds , but not more than 20 seconds before entering a crossing . This rule applies when the train speed is below 45 mph ( 70 km / h ) . At 45 mph or above , trains are still required to sound their horn at the designated location ( usually denoted with a whistle post ) . </t>
  </si>
  <si>
    <t>at all public grade crossings</t>
  </si>
  <si>
    <t xml:space="preserve"> Wilshire 5000 </t>
  </si>
  <si>
    <t>what is the wilshire 5000 total market index</t>
  </si>
  <si>
    <t xml:space="preserve"> The Wilshire 5000 Total Market Index , or more simply the Wilshire 5000 , is a market - capitalization - weighted index of the market value of all stocks actively traded in the United States . As of December 31 , 2016 the index contained only 3,618 components . The index is intended to measure the performance of most publicly traded companies headquartered in the United States , with readily available price data , ( Bulletin Board / penny stocks and stocks of extremely small companies are excluded ) . Hence , the index includes a majority of the common stocks and REITs traded primarily through New York Stock Exchange , NASDAQ , or the American Stock Exchange . Limited partnerships and ADRs are not included . It can be tracked by following the ticker ^ W5000 . </t>
  </si>
  <si>
    <t>a market - capitalization - weighted index of the market value of all stocks actively traded in the United States</t>
  </si>
  <si>
    <t xml:space="preserve"> High School football national championship </t>
  </si>
  <si>
    <t>who won the high school football national championship</t>
  </si>
  <si>
    <t xml:space="preserve">   Year   Champion ( s )   Record   Coach   Selector ( s )     1910   Oak Park , IL   10 -- 2   Robert Zuppke   NSNS     1911   Oak Park , IL   10 -- 0   Robert Zuppke   NSNS     1912   Oak Park , IL   10 -- 0   Robert Zuppke   NSNS     1913   Oak Park , IL   10 -- 1   Glenn Thistlewaite   NSNS     1914   Everett , MA   13 -- 0   Cleo O'Donnell   NSNS     1915   Detroit , MI , Central   11 -- 0 -- 1   Edbert C. Buss   NSNS     Everett , MA   11 -- 0 -- 1   Cleo O'Donnell   NSNS     1916   San Diego , CA  Scott , Toledo , Ohio    12 - 0 - 0  10 - 0 - 0    Nibs Price  Tom Merrell    NSNS  NSNS      1917   No Known Champion           1918   Harrisburg , PA , Tech   9 -- 0   Paul Smith   NSNS     1919   Harrisburg , PA , Tech   12 -- 0   Paul Smith   NSNS     1920   Everett , WA   9 -- 0 -- 1   Enoch Bagshaw   NSNS     Oak Park , IL   9 -- 0 -- 1   Glenn Thistlewaite   NSNS     1921   Jacksonville , FL , Duval   8 -- 0   Unknown   NSNS     1922   Toledo , OH , Scott   9 -- 0   Dr. William A. Neill   NSNS     1923   East Cleveland , OH , Shaw   9 -- 1   John Snavely   NSNS     Toledo , OH , Scott   10 -- 0   Dr. William A. Neill   NSNS     1924   Toledo , OH , Waite   10 -- 0   Joe C. Collins   NSNS     1925   Pine Bluff , AR   16 -- 0   Foy Hammons   NSNS     1926   Tuscaloosa , AL   9 -- 0   Paul Burnum   NSNS     1927   Waco , TX   14 -- 0   Paul Tyson   NSNS     1928   Medford , OR   9 -- 0   Prink Callison   NSNS     1929   Tuscaloosa , AL   9 -- 0   Paul Burnum   NSNS     1930   Phoenix , AZ , Union   13 -- 0   R.R. Robinson   NSNS     1931   Ashland , KY   10 -- 0   Paul Jenkins   NSNS     1932   Toledo , OH , Waite   12 -- 0   Donald McCallister   NSNS     1933   Oklahoma City , OK , Capitol Hill   12 -- 0   Jim Lookabaugh   NSNS     1934   Canton , OH , McKinley   11 -- 0   Jimmy Aiken   NSNS     1935   Massillon , OH , Washington   10 -- 0   Paul Brown   NSNS     1936   Massillon , OH , Washington   10 -- 0   Paul Brown   NSNS     1937   Chicago , IL , Austin   10 -- 0   William Heiland   NSNS     1938   Louisville , KY , Manual   10 -- 0   Ray Baer   LSA , NSNS     1939   Massillon , OH , Washington   10 -- 0   Paul Brown   NSNS     Pine Bluff , AR   11 -- 0 -- 1   Allen Dunaway   LSA     1940   Massillon , OH , Washington   10 -- 0   Paul Brown   NSNS     1941   Chicago , IL , Leo   11 -- 0   Whitey Cronin   NSNS     1942   Miami , FL   9 -- 0   Lyles Alley   NSNS     1943   Miami , FL   9 -- 0   Tom Moore   NSNS     1944   No Award Made           1945   No Award Made           1946   Little Rock , AR , Senior   14 -- 0   Raymond Burnett   NSNS     1947   East Chicago , IN , Roosevelt   9 -- 0   Unknown   NSNS     Lynn , MA , Classical   11 -- 1   Bill Joyce ( 1 )   NSNS     1948   Waco , TX   14 -- 0   Carl Price   NSNS     1949   Wichita Falls , TX   14 -- 0   Joe Golding   NSNS     1950   Massillon , OH , Washington   10 -- 0   Chuck Mather   NSNS     1951   Weymouth , MA   9 -- 0   Harry Arlanson ( 2 )   NSNS     1952   Massillon , OH , Washington   10 -- 0   Chuck Mather   NSNS     1953   Massillon , OH , Washington   10 -- 0   Chuck Mather   NSNS     1954   Vallejo , CA   9 -- 0   Bob Patterson   NSNS     1955   San Diego , CA   12 -- 0   Duane Maley   NSNS     1956   Abilene , TX   14 -- 0   Charles Moser   NSNS     1957   Little Rock , AR , Central   12 -- 0   Wilson Matthews   NSNS     Downey HS , Downey , California   11 -- 0     NSNS     1958   Oak Ridge , TN , Oak Ridge   10 -- 0   Jack Armstrong   NSNS     1959   Massillon , OH , Washington   10 -- 0   Leo Strang   NSNS     1960   Miami , Fla .   8 - 0 - 2   Ottis Mooney   NSNS     1961   Massillon , OH , Washington   11 -- 0   Leo Strang   NSNS     1962   Valdosta , GA   12 -- 0   Wright Bazemore   NSNS     1963   Chicago , IL , St. Rita   9 -- 0   Edward Buckley   NSNS     1964   Coral Gables , FL   12 -- 0   Nick Kotys   NSNS     1965   Miami , FL   12 -- 0   Robert Carlton   NSNS     1966   Pico Rivera , CA , El Rancho   13 -- 0   Ernest Johnson   NSNS     1967   Austin , TX , Reagan   14 -- 0   Travis Raven   NSNS     Coral Gables , FL   13 -- 0   Nick Kotys   NSNS     1968   Austin , TX , Reagan   15 -- 0   Travis Raven   NSNS     Coral Gables , FL   12 -- 1   Nick Kotys   NSNS     1969   Coral Gables , FL   11 -- 0   Nick Kotys   NSNS     Valdosta , GA   12 -- 0 -- 1   Wright Bazemore   NSNS     1970   Reagan , Austin , Texas   14 -- 1   Travis Raven   NSNS     1971   Valdosta , GA   13 -- 0   Wright Bazemore   NSNS     1972   Bristol , TN   13 -- 0   John Cropp   NSNS     1973   Chattanooga , TN , Baylor   13 -- 0   E.B. Etter   NSNS       Thomasville , GA   12 -- 1   Jim Hughes   NSNS       Los Angeles , CA , Loyola   13 -- 0   Marty Shaughnessy   NSNS     1976   Moeller , Cincinnati , Oh   12 - 0   Gerry Faust   NSNS     Warner Robins , Warner Robins , Ga .   13 - 0   Robert Davis   NSNS     1977   Cincinnati , OH , Moeller   12 -- 0   Gerry Faust   NSNS     1978   Annandale , VA   14 -- 0   Bob Hardage   NSNS     1979   Cincinnati , OH , Moeller   12 -- 0   Gerry Faust   NSNS     1980   Cincinnati , OH , Moeller   13 -- 0   Gerry Faust   NSNS     1981   Warner Robins , GA   15 -- 0   Robert Davis   NSNS     1982   Cincinnati , OH , Moeller   13 -- 0   Steve Klonne   NSNS , USA       Berwick Area , PA   13 -- 0   George Curry   NSNS , USA     1984   Valdosta , GA   15 -- 0   Nick Hyder   NSNS , USA     1985   East St. Louis , IL   14 -- 0   Bob Shannon   NSNS , USA     1986   Valdosta , GA   15 -- 0   Nick Hyder   NSNS , USA       Fontana , CA   14 -- 0   Dick Bruich   NPP     Pittsburgh , PA , North Hills   13 -- 0   Jack McCurry   USA     Plano , TX   16 -- 0   Gerald Brence   NSNS       Pensacola , FL , Pine Forest   14 -- 0   Carl Madison   NSNS , USA     Prichard , AL , Vigor   13 -- 0   Harold Clark   NPP       Cleveland , OH , St. Ignatius   13 -- 0   Chuck Kyle   USA     Odessa , TX , Permian   16 -- 0   Gary Gaines   NPP , NSNS       Houston , Texas Aldine High School   15 -- 0   Bill Smith   NPP     Lawton , OK , Eisenhower   14 -- 0   Tim Reynolds   USA     Ruston , LA   14 -- 0   Jimmy `` Chick '' Childress   NSNS     1991   Indianapolis , IN , Ben Davis   14 -- 0   Dick Dullaghan   NPP , NSNS     LaGrange , GA   15 -- 0   Gary Guthrie   USA       Berwick Area , PA   15 -- 0   George Curry   USA     Valdosta , GA   14 -- 0   Nick Hyder   NPP , NSNS       Cleveland , OH , St. Ignatius   14 -- 0   Chuck Kyle   NPP , NSNS , USA       Concord , CA , De La Salle   13 -- 0   Bob Ladouceur   NPP , NSNS     Santa Ana , CA , Mater Dei   14 -- 0   Bruce Rollinson   USA     1995   Berwick Area , PA   15 -- 0   George Curry   USA     Cleveland , OH , St. Ignatius   14 -- 0   Chuck Kyle   NPP , NSNS       Hampton , VA   14 -- 0   Mike Smith   NPP , NSNS     Santa Ana , CA , Mater Dei   14 -- 0   Bruce Rollinson   USA       Canton , OH , McKinley   14 -- 0   Thom McDaniels   USA     Hampton , VA   13 -- 0   Mike Smith   NPP , NSNS     1998   Concord , CA , De La Salle   12 -- 0   Bob Ladouceur   NPP , NSNS , USA     1999   Concord , CA , De La Salle   12 -- 0   Bob Ladouceur   NSNS     Midland , TX , Lee   15 -- 0   John Parchman   USA     Shreveport , LA , Evangel Christian   15 -- 0   Dennis Dunn   NPP     2000   Concord , CA , De La Salle   13 -- 0   Bob Ladouceur   NPP , USA       Concord , CA , De La Salle   12 -- 0   Bob Ladouceur   NPP , USA     2002   Concord , CA , De La Salle   13 -- 0   Bob Ladouceur   NPP , USA     2003   Concord , CA , De La Salle   13 -- 0   Bob Ladouceur   NPP , USA       Southlake , TX , Carroll   16 -- 0   Todd Dodge   NPP , USA     2005   Lakeland , FL   15 -- 0   Bill Castle   USA     Southlake , TX , Carroll   16 -- 0   Todd Dodge   NPP , Freeman     2006   Lakeland , FL   15 -- 0   Bill Castle   NPP     Southlake , TX , Carroll   16 -- 0   Todd Dodge   USA , Freeman     2007   Cincinnati , OH , St. Xavier   15 -- 0   Steve Specht   NPP , Freeman     Miami , FL , Northwestern   15 -- 0   Billy Rolle   USA     2008   Fort Lauderdale , FL , St. Thomas Aquinas   15 -- 0   George Smith   NPP , USA , Freeman     2009   Ramsey , NJ , Don Bosco Prep   12 -- 0   Greg Toal   NPP , USA , Freeman       Fort Lauderdale , FL , St. Thomas Aquinas   15 -- 0   George Smith   NPP     South Panola , MS   15 -- 0   Lance Pogue   USA , Freeman     2011   Ramsey , NJ , Don Bosco Prep   11 -- 0   Greg Toal   NPP , USA , Freeman     2012   River Ridge , LA , John Curtis Christian   14 -- 0   J.T. Curtis   NPP , USA     2013   Miami , FL , Booker T. Washington   16 - 0   Jason Negro   NPP , USA     2014   Las Vegas , NV , Bishop Gorman   15 -- 0   Tony Sanchez   NPP , USA     2015   Katy , TX   16 - 0   Gary Joseph   NPP     Las Vegas , NV , Bishop Gorman   15 -- 0   Kenny Sanchez   USA     2016   Las Vegas , NV , Bishop Gorman   15 -- 0   Kenny Sanchez   NPP , USA , Freeman , High School Football America   </t>
  </si>
  <si>
    <t>Bishop Gorman</t>
  </si>
  <si>
    <t xml:space="preserve"> Torres Strait Islands </t>
  </si>
  <si>
    <t>when did the torres strait islanders come to australia</t>
  </si>
  <si>
    <t xml:space="preserve"> Lieutenant James Cook first claimed British sovereignty over the eastern part of Australia at Possession Island in 1770 . The London Missionary Society mission led by Rev. Samuel Macfarlane arrived on Erub ( Darnley Island ) on 1 July 1871 . The Islanders refer to this as `` The Coming of the Light '' , and all Island communities celebrate the occasion annually on 1 July . In 1879 Queensland annexed the Torres Strait Islands . They thus became part of the British colony of Queensland and ( after 1901 ) of the Australian state of Queensland - although some of them lie just off the coast of New Guinea . </t>
  </si>
  <si>
    <t>how long did it take to build great pyramid of giza</t>
  </si>
  <si>
    <t xml:space="preserve"> Based on these estimates , building the pyramid in 20 years would involve installing approximately 800 tonnes of stone every day . Additionally , since it consists of an estimated 2.3 million blocks , completing the building in 20 years would involve moving an average of more than 12 of the blocks into place each hour , day and night . The first precision measurements of the pyramid were made by Egyptologist Sir Flinders Petrie in 1880 -- 82 and published as The Pyramids and Temples of Gizeh . Almost all reports are based on his measurements . Many of the casing stones and inner chamber blocks of the Great Pyramid fit together with extremely high precision . Based on measurements taken on the northeastern casing stones , the mean opening of the joints is only 0.5 millimetre wide ( 1 / 50 of an inch ) . </t>
  </si>
  <si>
    <t>20 years</t>
  </si>
  <si>
    <t xml:space="preserve"> FIFA Women 's World Cup </t>
  </si>
  <si>
    <t>when was the women's first world cup held</t>
  </si>
  <si>
    <t xml:space="preserve"> The FIFA Women 's World Cup is an international football competition contested by the senior women 's national teams of the members of Fédération Internationale de Football Association ( FIFA ) , the sport 's global governing body . The competition has been held every four years since 1991 , when the inaugural tournament , then called the FIFA Women 's World Championship , was held in China . </t>
  </si>
  <si>
    <t>1991</t>
  </si>
  <si>
    <t xml:space="preserve"> Star Trek ( film ) </t>
  </si>
  <si>
    <t>who played spock's mother in star trek 2009</t>
  </si>
  <si>
    <t xml:space="preserve"> Winona Ryder as Amanda Grayson , Spock 's mother . </t>
  </si>
  <si>
    <t>Winona Ryder</t>
  </si>
  <si>
    <t xml:space="preserve"> Belle ( Disney ) </t>
  </si>
  <si>
    <t>who plays bell in beauty and the beast</t>
  </si>
  <si>
    <t xml:space="preserve"> Belle has garnered widespread acclaim from film critics who appreciated the character 's bravery , intelligence and independence . Reception towards her feminism , however , has been more mixed , with commentators accusing the character 's actions of being romance - oriented . The fifth Disney Princess , Belle is often ranked among the franchise 's best . Highly regarded as one of Disney 's strongest examples of a feminist character , critics agree that Belle helped spearhead a generation of independent film heroines while changing the reputation of a Disney princess . Also one of Disney 's most iconic characters , Belle was the only animated heroine nominated for the American Film Institute 's greatest heroes in film ranking . The character also appears in the film 's several sequels and spin - offs , as well as her own live - action television series . American actress Susan Egan originated the role of Belle in the Broadway musical adaptation of the film , for which she was nominated for a Tony Award for Best Actress in a Musical . Emma Watson plays a live - action version of the character in a 2017 live action adaptation of the original 1991 film . </t>
  </si>
  <si>
    <t>Susan Egan</t>
  </si>
  <si>
    <t xml:space="preserve"> 2017 College Football Playoff national championship </t>
  </si>
  <si>
    <t>where is the college football national championship played this year</t>
  </si>
  <si>
    <t>2017 College Football Playoff National Championship was a bowl game that was used to determine a national champion of college football in the NCAA Division I Football Bowl Subdivision for the 2016 season . The game was played at Raymond James Stadium in Tampa , Florida , on January 9 , 2017 . It was the culminating game of the 2016 -- 17 bowl season .   The</t>
  </si>
  <si>
    <t>Stadium in Tampa , Florida , on</t>
  </si>
  <si>
    <t xml:space="preserve"> French kiss </t>
  </si>
  <si>
    <t>where did the term french kissing come from</t>
  </si>
  <si>
    <t xml:space="preserve"> A French kiss is so called because at the beginning of the 20th century , in the English - speaking world , the French had acquired a reputation for more adventurous and passionate sex practices . It originated in America and Great Britain . In France , it is referred to as un baiser amoureux ( `` a lover 's kiss '' ) or un baiser avec la langue ( `` a kiss with the tongue '' ) , even if in past times it was also known as baiser Florentin ( `` Florentine kiss '' ) . The Petit Robert 2014 French dictionary , released on May 30 , 2013 , added the French verb `` se galocher '' -- slang for kissing with tongues -- making it the first time a single word described the practice ( except in Quebec , where the verb `` frencher '' means French kissing ; Australia , where the term `` pash '' is used ; the English verb '' shift '' is used in casual conversation in Ireland ; the German verb knutschen ; the Italian verbs limonare and pomiciare ; and the Hungarian verb megcsókol / csókolózik ) . </t>
  </si>
  <si>
    <t xml:space="preserve"> The world 's 100 most threatened species </t>
  </si>
  <si>
    <t>what is the most threatened animal in the world</t>
  </si>
  <si>
    <t xml:space="preserve"> The world 's 100 most threatened species   Species   Common name   Type   Image   Location ( s )   Estimated population   Threats     Abies beshanzuensis   Baishan fir   Plant ( flower )     Baishanzu Mountain , Zhejiang , China   Five mature individuals     agriculture   fire       Actinote zikani     Insect ( butterfly )     Near São Paulo , Atlantic forest , Brazil   Unknown     habitat loss from human expansion       Aipysurus foliosquama   Leaf scaled sea - snake   Reptile     Ashmore Reef and Hibernia Reef , Timor Sea   Unknown     unknown -- probably degradation of coral reef habitat       Amanipodagrion gilliesi   Amani flatwing   Insect ( damselfly )     Amani - Sigi Forest , Usamabara Mountains , Tanzania       population pressure and water pollution       Anisolabis seychellensis     Insect     Morne Blanc , Mahé island , Seychelles   Unknown     invasive species   climate change       Antilophia bokermanni   Araripe manakin   Bird     Chapado do Araripe , South Ceará , Brazil   779 individuals     recreational facilities   water diversion       Aphanius transgrediens   Aci Göl toothcarp   Fish     south - eastern shore of former Lake Aci , Turkey   few hundred pairs     competition and predation by Gambusia   road construction       Aproteles bulmerae   Bulmer 's fruit bat   Mammal     Luplupwintern Cave , Western Province , Papua New Guinea   150     hunting   cave disturbance       Ardea insignis   White bellied heron   Bird     Bhutan , North East India and Myanmar   70 -- 400 individuals     hydropower development       Ardeotis nigriceps   Great Indian bustard   Bird     Rajasthan , Gujarat , Maharashtra , Andhra Pradesh , Karnataka and Madhya , India   50 -- 249 mature individuals     agricultural development       Astrochelys yniphora   Ploughshare tortoise   Reptile     Baly Bay region , northwestern Madagascar   440 -- 770     illegal collection for international pet trade       Atelopus balios   Rio Pescado stubfoot toad   Amphibian     Azuay , Cañar and Guyas provinces , south - western Ecuador   Unknown     Chytridiomycosis   logging   agricultural expansion       Aythya innotata   Madagascar pochard   Bird     volcanic lakes north of Bealanana , Madagascar   80 mature individuals     agriculture   hunting and fishing   introduced fish       Azurina eupalama   Galapagos damsel fish   Fish     Unknown   Unknown     climate change   oceanographic changes related to the 1982 / 1983 El Nino       Bahaba taipingensis   Giant yellow croaker   Fish     Chinese coast from Yangtze River , China to Hong Kong   Unknown     over-fishing due to value of swim - bladder in traditional medicine       Batagur baska   Common batagur   Reptile ( turtle )     Bangladesh , Cambodia , India , Indonesia and Malaysia   Unknown     illegal export China       Bazzania bhutanica     Plant     Budini and Lafeti Khola , Bhutan   2 sub-populations     forest clearance   overgrazing   development       Beatragus hunteri   Hirola   Mammal ( antelope )     South - east Kenya and possibly south - west Somalia       habitat loss   competition with livestock   poaching       Bombus franklini   Franklin 's bumblebee   Insect ( bee )     Oregon and California   Unknown     disease from commercial bumblebees   habitat destruction and degradation       Brachyteles hypoxanthus   Northern muriqui Woolly spider monkey   Mammal ( primate )     Atlantic forest , south - eastern Brazil       large - scale deforestation and logging       Bradypus pygmaeus   Pygmy three - toed sloth   Mammal     Isla Escudo de Veraguas , Panama       illegal logging of mangrove forests for firewood and construction   hunting       Callitriche pulchra     Plant ( freshwater )     pool on Gavdos , Greece   Unknown     habitat exploitation by livestock   modification of the pool by locals       Calumma tarzan   Tarzan 's chameleon   Reptile     Anosibe An'Ala region , eastern Madagascar       agriculture       Cavia intermedia   Santa Catarina 's guinea pig   Mammal ( rodent )     Moleques do Sul Island , Santa Catarina , Brazil   40 -- 60     habitat disturbance   possible hunting   result of having such a small population       Cercopithecus roloway   Roloway guenon   Mammal ( primate )     Côte d'Ivoire   Unknown     hunting   habitat loss       Coleura seychellensis   Seychelles sheath - tailed bat   Mammal ( bat )     Two small caves on Silhouette and Mahé , Seychelles       habitat degradation   predation by invasive species       Cryptomyces maximus   Willow blister   Fungi     Pembrokeshire , United Kingdom   Unknown     limited habitat       Cryptotis nelsoni   Nelson 's small - eared shrew   Mammal ( shrew )     Volcán San Martín Tuxtla , Veracruz , Mexico   Unknown     logging   cattle grazing   fire   agriculture       Cyclura collei   Jamaican iguana Jamaican rock iguana   Reptile     Hellshire Hills , Jamaica   Unknown     habitat destruction   predation by introduced species       Daubentonia Madagascariensis   Aye - aye   Mammal ( primate )     Deciduous forest , East Madagascar   Unknown     poaching     limited habitat       Dendrophylax fawcettii   Cayman Islands ghost orchid   Plant ( orchid )     Ironwood Forest , George Town , Grand Cayman   Unknown     infrastructure development       Dicerorhinus sumatrensis   Sumatran rhino   Mammal ( rhino )     Sabah , Sarawak and Peninsular Malaysia , Kalimantan and Sumatra , Indonesia       hunting ( horn is used in traditional medicine )       Diomedea amsterdamensis   Amsterdam albatross   Bird     Breeds on Plateuau des Tourbières , Amsterdam Island , Indian Ocean .   100 mature individuals     disease   incidental by - catch in long - line fishing       Dioscorea strydomiana   Wild yam   Plant     Oshoek area , Mpumalanga , South Africa   200     collection for medicinal use       Diospyros katendei     Plant ( tree )     Kasyoha - Kitomi Forest Reserve , Uganda   20 individuals in a single population     agricultural activity   illegal tree felling   alluvial gold digging   small population       Dipterocarpus lamellatus     Plant ( tree )     Siangau Forest Reserve , Sabah , Malaysia   12 individuals     logging of lowland forest   creation of industrial plantations       Discoglossus nigriventer   Hula painted frog   Amphibian     Hula Valley , Israel   Unknown     predation by birds   range restriction due to habitat destruction       Dombeya mauritiana     Plant     Mauritius   Unknown     encroachment by invasive plant species   habitat loss due to cannabis cultivation       Elaeocarpus bojeri   Bois Dentelle   Plant ( tree )     Grand Bassin , Mauritius       habitat degradation       Eleutherodactylus glandulifer   La Hotte glanded frog   Amphibian     Massif de la Hotte , Haiti   Unknown     charcoal production   slash - and - burn agriculture       Eleutherodactylus thorcetes   Macaya breast - spot frog   Amphibian     Formon and Macaya peaks , Masif de la Hotte , Haiti   Unknown     charcoal production   slash - and - burn agriculture       Eriosyce chilensis   Chilenito ( cactus )   Plant     Pta Molles and Pichidungui , Chile       collection of flowering plants       Erythrina schliebenii   Coral tree   Plant     Namatimbili - Ngarama Forest , Tanzania       limited habitat and small population size increase vulnerability       Euphorbia tanaensis     Plant ( tree )     Witu Forest Reserve , Kenya   4 mature individuals     illegal logging   agricultural expansion   infrastructure development       Eurynorhyncus pygmeus   Spoon - billed sandpiper   Bird     Breeds in Russia , migrates along the East Asian - Australasian Flyway to wintering grounds in India , Bangladesh and Myanmar   100 breeding pairs     trapping   land reclamation       Ficus katendei     Plant     Kasyoha - Kitomi Forest Reserve , Ishasha River , Uganda       agriculture   illegal tree felling   alluvial gold digging       Geronticus eremita   Northern bald ibis   Bird     Breeds in Morocco , Turkey and Syria . Syrian population winters in  central Ethiopia .    200 -- 249 mature individuals     habitat degradation and destruction   hunting       Gigasiphon macrosiphon     Plant ( flower )     Kaya Muhaka , Gongoni and Mrima Forest Reserves , Kenya , Amani Nature Reserve , West Kilombero Scarp Forest Reserve , and Kihansi Gorge , Tanzania   33     timber extraction   agriculture encroachment and development   predation by wild pigs       Gocea ohridana     Mollusc     Lake Ohrid , Macedonia   Unknown     increasing pollution levels   off - take of water   sedimentation events       Heleophryne rosei   Table mountain ghost frog   Amphibian     Table Mountain , Western Cape Province , South Africa   Unknown     invasive plants   water abstraction       Hemicycla paeteliana     Mollusc ( land snail )     Jandia peninsula , Fuerteventura , Canary Islands   Unknown     overgrazing   trampling by goats and tourists       Heteromirafa sidamoensis   Liben lark   Bird     Liben Plains , southern Ethiopia   90 -- 256     agricultural expansion   overgrazing   fire suppression       Hibiscadelphus woodii     Plant ( tree )     Kalalau Valley , Hawaii   Unknown     habitat degradation due to feral ungulates   competition with invasive plant species       Hucho perryi   Sakhalin taimen   Fish     Russian and Japanese rivers , Pacific Ocean between Russia and Japan   Unknown     overfishing   damming   agriculture   other land use       Johora singaporensis   Singapore freshwater crab   Crustacean     Bukit Timah Nature Reserve and streamlet near Bukit Batok , Singapore   Unknown     habitat degradation due to reduction in water quality and quantity       Lathyrus belinensis   Belin vetchling   Plant     Outskirts of Belin village , Antalya , Turkey       urbanisation   over-grazing   conifer planting   road widening       Leiopelma archeyi   Archey 's frog   Amphibian     Coromandel peninsula and Whareorino Forest , New Zealand   Unknown     Chytridiomycosis   predation by invasive species       Lithobates sevosus   Dusky gopher frog   Amphibian     Harrison County , Mississippi , USA   60 -- 100     fungal disease   climate change   land - use changes       Lophura edwardsi   Edwards 's pheasant   Bird     Quang Binh , Quang Tri and Thua Thien - Hue , Viet Nam   Unknown     habitat loss   hunting       Magnolia wolfii     Plant ( tree )     Risaralda , Colombia       isolation of species   low regeneration rates       Margaritifera marocana     Mollusc     Oued Denna , Oued Abid and Oued Beth , Morocco       pollution   development       Moominia willii     Mollusc ( snail )     Silhouette Island , Seychelles       invasive species   climate change       Natalus primus   Cuban greater funnel eared bat   Mammal ( bat )     Cueva La Barca , Isle of Pines , Cuba       habitat loss   human disturbance       Nepenthes attenboroughii   Attenborough 's pitcher plant   Plant     Mount Victoria , Palawan , Philippines   Unknown     poaching       Nomascus hainanus   Hainan black crested gibbon   Mammal ( primate )     Hainan Island , China   20     hunting       Neurergus kaiseri   Luristan newt   Amphibian     Zagros Mountains , Lorestan , Iran       illegal collection for pet trade       Oreocnemis phoenix   Mulanje red damsel   Insect ( damselfly )     Mulanje Plateau , Malawi   Unknown     habitat destruction and degradation due to drainage   agricultural expansion   exploitation of forest       Pangasius sanitwongsei   Pangasid catfish   Fish     Chao Phraya and Mekong basins in Cambodia , China , Lao PDR , Thailand and Viet Nam   Unknown     overfishing   collection for aquarium trade       Parides burchellanus     Insect ( butterfly )     Cerrado , Brazil       human expansion   limited range       Phocoena sinus   Vaquita   Mammal ( porpoise )     Northern Gulf of California , Mexico       capture in fishermen 's gillnets       Picea neoveitchii   Type of spruce tree   Plant ( tree )     Qinling Range , China   Unknown     destruction of forest       Pinus squamata   Qiaojia pine   Plant ( tree )     Qiaojia , Yunnan , China       limited distribution   small population size       Poecilotheria metallica   Gooty tarantula Metallic tarantula Peacock tarantula Salepurgu   Spider     Nandyal and Giddalur , Andhra Pradesh , India   Unknown     deforestation   firewood collection   civil unrest       Pomarea whitneyi   Fatuhiva monarch   Bird     Fatu Hiva , Marquesas Islands , French Polynesia   50     predation by introduced species - Rattus rattus and feral cats       Pristis pristis   Common sawfish   Fish     Coastal tropical and subtropical waters of Indo - Pacific and Atlantic Oceans . Currently largely restricted to northern Australia   Unknown     exploitation has removed the species from 95 per cent of its historical range       Prolemur simus   Greater bamboo lemur   Mammal ( primate )     Southeastern and southcentral rainforests of Madagascar   500     agriculture   mining   illegal logging       Propithecus candidus   Silky sifaka   Mammal ( primate )     Maroantsetra to Andapa basin , and Marojeju Massif , Madagascar   100 -- 1,000     hunting   habitat disturbance       Psammobates geometricus   Geometric tortoise   Reptile     Western Cape Province , South Africa   Unknown     loss of habitat destruction   predation       Pseudoryx nghetinhensis   Saola   Mammal     Annamite mountains , on the Viet Nam - PDR Laos border   Unknown     habitat destruction   hunting       Psiadia cataractae     Plant     Mauritius   Unknown     development project   competition from invasive plant species       Psorodonotus ebneri   Beydaglari bush - cricket   Insect     Beydaglari range , Antalaya , Turkey   Unknown     climate change   habitat loss       Rafetus swinhoei   Red River giant softshell turtle   Reptile     Hoan Kiem Lake and Dong Mo Lake , Viet Nam , and Suzhou Zoo , China       hunting for consumption   wetland destruction   pollution       Rhinoceros sondaicus   Javan rhino   Mammal ( rhino )     Ujung Kulon National Park , Java , Indonesia       hunting for traditional medicine   small population size       Rhinopithecus avunculus   Tonkin snub - nosed monkey   Mammal ( primate )     Northeastern Vietnam       habitat loss   hunting       Rhizanthella gardneri   West Australian underground orchid   Plant ( orchid )     Western Australia , Australia       land clearance for agriculture   climate change   salinisation       Rhynchocyon spp .   Boni giant sengi   Mammal ( shrew )     Boni - Dodori Forest , Lamu area , Kenya   Unknown     development causing habitat loss       Risiocnemis seidenschwarzi   Cebu frill - wing   Insect ( damselfly )     Rivulet beside the Kawasan River , Cebu , Philippines   Unknown     habitat degradation and destruction       Rosa arabica     Plant     St Katherine Mountains , Egypt   Unknown , 10 sub-populations     domestic animal grazing   climate change and drought   medicinal plant collecting   limited range       Salanoia durrelli   Durrell 's vontsira   Mammal ( mongoose )     Marshes of Lake Alaotra , Madagascar   Unknown     loss of habitat       Santamartamys rufodorsalis   Red crested tree rat   Mammal ( rodent )     Sierra Nevada de Santa Marta , Colombia   Unknown     urban development   coffee cultivation       Scaturiginichthys vermeilipinnis   Red - finned blue - eye   Fish     Edgbaston Station , central western Queensland , Australia   2,000 -- 4,000     predation by introduced species       Squatina squatina   Angel shark   Fish     Canary Islands   Unknown     benthic trawling       Sterna bernsteini   Chinese crested tern   Bird     Breeding in Zhejiang and Fujian , China . Outside breeding season in Indonesia , Malaysia , Philippines , Taiwan , Thailand .       habitat destruction   egg collection       Syngnathus watermeyeri   Estuarine pipefish   Fish     Kariega Estuary to East Kleinemonde Estuary , Eastern Cape Province , South Africa   Unknown     dam construction is altering river flows   flood events into estuaries       Tahina spectabilis   Suicide palm Dimaka   Plant     Analalava district , north - western Madagascar   90     fires   logging   agricultural developments       Telmatobufo bullocki   Bullock 's false toad   Amphibian ( frog )     Nahuelbuta , Arauco Province , Chile   Unknown     construction of hydro - electricity       Tokudaia muenninki   Okinawa spiny rat   Mammal ( rodent )     Okinawa Island , Japan   Unknown     habitat loss   predation by feral cats       Trigonostigma somphongsi   Somphongs 's rasbora   Fish     Mae Khlong basin , Thailand   Unknown     farmland conversion and urbanization       Valencia letourneuxi     Fish     Southern Albania and Western Greece   Unknown     habitat destruction   water abstraction   aggressive interaction with Gambusia       Voanioala gerardii   Forest coconut   Plant     Masoala peninsula , Madagascar       deforestation   harvesting for consumption of palm heart       Zaglossus attenboroughi   Attenborough 's echidna   Mammal     Cyclops Mountains , Papua Province , Indonesia   Unknown     habitat modification and degradation   logging   agricultural encroachment shifting cultivation and hunting by local people       See also ( edit )    Extinct and Endangered Species portal     The World 's 25 Most Endangered Primates   Lists of organisms by population    References ( edit )    ^ Jump up to : `` Report lists world 's 100 most threatened</t>
  </si>
  <si>
    <t>Actinote zikani</t>
  </si>
  <si>
    <t xml:space="preserve"> Smoking age </t>
  </si>
  <si>
    <t>what is the legal age to smoke in australia</t>
  </si>
  <si>
    <t xml:space="preserve">   Country   De jure   Notes     Smoking age   Purchase age     Australia    Regulations by state / territory :     Province / territory   Smoking age   Purchase age   Notes     Australian Capital Territory   None   18   It is illegal to sell tobacco products to a person under the age of 18 years . Further it is illegal to buy a tobacco product for a minor .     New South Wales   None   18   It is illegal to sell any tobacco or non-tobacco smoking product to a person who is under the age of 18 years .     Northern Territory   None   18   It is illegal to sell any tobacco product to a minor or on behalf of a minors . It is illegal to smoke in a vehicle with a person under the age of 18 years present .     Queensland   None   18   It is illegal for an adult to supply a tobacco product to a person under the age of 18 years ; however , a responsible adult for a child does not commit an offence by supplying a smoking product to the child .     South Australia   None   18   It is an offence to supply any tobacco product to a person under the age of 18 years .     Tasmania   None   18   It is illegal to sell or supply tobacco to a person under the age of 18 years . Minimum age was 16 prior to 1 January 1997 .     Victoria   None   18   It is illegal to supply tobacco to a minor . Smoking in a vehicle with a person under 18 present is an offence .     Western Australia   None   18   It is illegal to sell , deliver or supply tobacco or smoking implement to a minor . Purchase on behalf of people under 18 prohibited .        Fiji   None   18   It is illegal to sell and supply tobacco to a minor .     Micronesia , Federated States of   18   It is illegal to sell and supply tobacco to a minor .     New Zealand   None   18   It is illegal to sell and supply tobacco to a minor under 18 years . No minimum age prior to 1903 . Minimum age of 15 years from 1903 to 1988 . Minimum age of 16 years from 1988 to 1998 . '     Palau   None   18 21 ( Only rolling papers and elaus )   It is illegal to sell or give tobacco products to anyone under the age of 18 years . If the purchaser appears to be under the age of 30 years , ID must be checked before sale . It is illegal to employ anyone under the age of 21 handling tobacco products . It is illegal to sell rolling papers and elaus to anyone under the age of 21 years .     Papua New Guinea   None   18   It is illegal to sell or give tobacco to a person under the age of 18 years .     Samoa   21   It is illegal to sell tobacco to anyone under the age of 21 years . It is not illegal for a person under the age of 21 years to possess or smoke tobacco in public .     Solomon Islands   None   18   It is illegal to sell , give or otherwise supply tobacco to a minor .     Tonga   None   18   It is illegal to sell , give or otherwise supply tobacco to a minor .     Tokelau   16   It is illegal for a person under 16 to smoke tobacco .     Vanuatu   18   It is illegal to sell tobacco to a persons under 18 . It is illegal for persons under 18 to smoke tobacco .   </t>
  </si>
  <si>
    <t xml:space="preserve"> Pabst Blue Ribbon </t>
  </si>
  <si>
    <t>what's the abv of pabst blue ribbon</t>
  </si>
  <si>
    <t xml:space="preserve"> Pabst Blue Ribbon America has a licensing agreement and joint venture arrangement with C&amp;C Group Plc and is being distributed in Republic of Ireland through C&amp;C Gleeson and in Northern Ireland through Tennents Northern Ireland . It is sold in 355ml cans and bottles and on draught via a 30L keg . The ABV is 4.6 % . </t>
  </si>
  <si>
    <t>4.6 %</t>
  </si>
  <si>
    <t xml:space="preserve"> 2018 Pro Kabaddi League season </t>
  </si>
  <si>
    <t>what are the teams of pro kabaddi 2018</t>
  </si>
  <si>
    <t xml:space="preserve">   Team   City / State   Stadium   Capacity     Bengal Warriors   Kolkata , West Bengal   Netaji Indoor Stadium   7004120000000000000 ♠ 12,000     Bengaluru Bulls   Bengaluru , Karnataka   Shree Shiv Chhatrapati Sports Complex   7003420000000000000 ♠ 4,200     Dabang Delhi KC   Delhi   Thyagaraj Sports Complex   7003449400000000000 ♠ 4,494     Jaipur Pink Panthers   Panchkula , Haryana   Tau Devilal Sports Complex   7003700000000000000 ♠ 7,000     Patna Pirates   Patna , Bihar   Patliputra Sports Complex   7004200000000000000 ♠ 20,000     Puneri Paltan   Pune , Maharashtra   Shree Shiv Chhatrapati Sports Complex   7003420000000000000 ♠ 4,200     Telugu Titans   Hyderabad / Vizag , Telangana   Gachibowli Indoor Stadium   7003500000000000000 ♠ 5,000     U Mumba   Mumbai , Maharashtra   Dome@NSCI SVP Stadium   7003500000000000000 ♠ 5,000     Gujarat Fortune Giants   Ahmedabad , Gujarat   The Arena Indoor Stadium   7003400000000000000 ♠ 4,000     UP Yoddha   Greater Noida , Uttar Pradesh   Shaheed Vijay Singh Pathik Sports Complex   7003800000000000000 ♠ 8,000     Tamil Thalaivas   Chennai , Tamilnadu   Jawaharlal Nehru Stadium   7003500000000000000 ♠ 5,000     Haryana Steelers   Sonipat , Haryana   Motilal Nehru School of Sports   7003200000000000000 ♠ 2,000   </t>
  </si>
  <si>
    <t xml:space="preserve"> Wrecked ( U.S. TV series ) </t>
  </si>
  <si>
    <t>when is the new season of wrecked coming out</t>
  </si>
  <si>
    <t xml:space="preserve"> On July 6 , 2016 , TBS renewed the show for a second season which was shot in Fiji . The second season premiered on June 20 , 2017 . On September 13 , 2017 , TBS renewed the series for a third season , which premiered on August 7 , 2018 . </t>
  </si>
  <si>
    <t>August 7 , 2018</t>
  </si>
  <si>
    <t xml:space="preserve"> Charlotte mayoral election , 2017 </t>
  </si>
  <si>
    <t>who is running for mayor of charlotte nc</t>
  </si>
  <si>
    <t xml:space="preserve">   Candidates   General Election - Nov. 7     Candidate   Party   Votes   Percent     Vi Lyles   Democratic   71,876   59.13 %     Kenny Smith   Republican   49,555   40.77 %   </t>
  </si>
  <si>
    <t>Vi Lyles</t>
  </si>
  <si>
    <t xml:space="preserve"> Eye for an eye </t>
  </si>
  <si>
    <t>where does the eye for an eye come from</t>
  </si>
  <si>
    <t xml:space="preserve"> First referenced in the Code of Hammurabi , ( which predates the Hebrew bible . ) In the Hebrew Law , the `` eye for eye '' was to restrict compensation to the value of the loss . Thus , it might be better read ' only one eye for one eye ' . The biblical phrase `` an eye for an eye '' in Exodus and Leviticus ( עין תחת עין ‬ , ayin tachat ayin ) literally means ' an eye in place of an eye ' while a slightly different phrase ( עַיִן בְּעַיִן שֵׁן בְּשֵׁן , literally `` eye for an eye ; tooth for a tooth '' ) is used in another passage ( in Deuteronomy ) of the Hebrew Bible , specifically , in the first of its three subdivisions , the Torah . For example , a passage in Leviticus states , `` And a man who injures his countryman -- as he has done , so it shall be done to him ( namely , ) fracture for fracture , eye for eye , tooth for tooth . Just as he has injured a person , so it shall be done to him . '' ( Lev. 24 : 19 -- 21 ) </t>
  </si>
  <si>
    <t>Hebrew bible</t>
  </si>
  <si>
    <t xml:space="preserve"> List of prime ministers of Elizabeth II </t>
  </si>
  <si>
    <t>who was prime minister when the queen was crowned</t>
  </si>
  <si>
    <t xml:space="preserve"> Winston Churchill was the incumbent Prime Minister of the United Kingdom when Elizabeth became queen . </t>
  </si>
  <si>
    <t>Winston Churchill</t>
  </si>
  <si>
    <t xml:space="preserve"> Term limits in the United states </t>
  </si>
  <si>
    <t>what is the maximum term a us president can serve</t>
  </si>
  <si>
    <t xml:space="preserve"> Term limits , also referred to as rotation in office , restrict the number of terms of office an officeholder may hold . For example , according to the 22nd Amendment , the President of the United States can serve two four - year terms and serve no more than 10 years . </t>
  </si>
  <si>
    <t>two four - year terms</t>
  </si>
  <si>
    <t xml:space="preserve"> One - child policy </t>
  </si>
  <si>
    <t>when did china's 1 child policy end</t>
  </si>
  <si>
    <t xml:space="preserve"> The one - child policy , a part of the family planning policy , was a population planning policy of China . It was introduced in 1979 and began to be formally phased out near the end of 2015 and the beginning of 2016 . The policy was only enforced on Han Chinese and allowed exceptions for many groups , including ethnic minorities . In 2007 , 36 % of China 's population was subject to a strict one - child restriction , with an additional 53 % being allowed to have a second child if the first child was a girl . Provincial governments imposed fines for violations , and the local and national governments created commissions to raise awareness and carry out registration and inspection work . </t>
  </si>
  <si>
    <t>near the end of 2015 and the beginning of 2016</t>
  </si>
  <si>
    <t xml:space="preserve"> List of Dragon Ball Super episodes </t>
  </si>
  <si>
    <t>when does season 2 of dragon ball super come out</t>
  </si>
  <si>
    <t xml:space="preserve">   Saga   Episodes   Japanese Airdates   English Airdates         God of Destruction Beerus   14 ( 1 -- 14 )   July 5 , 2015 -- October 11 , 2015   January 7 , 2017 -- April 15 , 2017         Golden Frieza   13 ( 15 -- 27 )   October 18 , 2015 -- January 17 , 2016   April 22 , 2017 -- July 29 , 2017         Universe 6   19 ( 28 -- 46 )   January 24 , 2016 -- June 5 , 2016   August 5 , 2017 -- January 13 , 2018         `` Future '' Trunks   30 ( 47 -- 76 )   June 12 , 2016 -- January 29 , 2017   January 20 , 2018 -- TBA       5   Universe Survival   55 ( 77 -- 131 )   February 5 , 2017 -- March 25 , 2018   TBA   </t>
  </si>
  <si>
    <t>April 22 , 2017</t>
  </si>
  <si>
    <t>who won i am a celebrity 2018 australia</t>
  </si>
  <si>
    <t xml:space="preserve">   Season   Presenters   Start date   End date   Days in camp   Campmates   Honour places     Winner   Second place   Third place       Chris Brown and Julia Morris   1 February 2015 ( 2015 - 02 - 01 )   15 March 2015 ( 2015 - 03 - 15 )   45   14   Freddie Flintoff   Barry Hall   Chrissie Swan       31 January 2016 ( 2016 - 01 - 31 )   13 March 2016 ( 2016 - 03 - 13 )   45   12   Brendan Fevola   Paul Harragon   Laurina Fleure       29 January 2017 ( 2017 - 01 - 29 )   13 March 2017 ( 2017 - 03 - 13 )   46   14   Casey Donovan   Dane Swan   Natalie Bassingthwaighte       28 January 2018 ( 2018 - 01 - 28 )   12 March 2018 ( 2018 - 03 - 12 )   45   15   Fiona O'Loughlin   Shannon Noll   Danny Green     5     2019   2019             </t>
  </si>
  <si>
    <t xml:space="preserve"> 11 foot 8 bridge </t>
  </si>
  <si>
    <t>where is the 11 foot 8 inch bridge</t>
  </si>
  <si>
    <t xml:space="preserve"> The 11 foot 8 Bridge ( formally known as the Norfolk Southern -- Gregson Street Overpass and nicknamed The Can - Opener ) is a railroad bridge in Durham , North Carolina , United States , that has attracted media coverage and popular attention because tall vehicles such as trucks and RVs frequently collide with the unusually low overpass , resulting in damage ranging from RV roof air conditioners being scraped off to entire truck roofs being removed . The 78 - year - old bridge along South Gregson Street provides only 11 feet 8 inches ( 3.56 m ) of vertical clearance . It can not be raised , because nearby railroad crossings would also have to be raised with it . The street also can not be lowered , because a major sewer line runs only four feet ( 1.2 m ) under Gregson Street . </t>
  </si>
  <si>
    <t>Durham , North Carolina</t>
  </si>
  <si>
    <t xml:space="preserve"> An Essay on criticism </t>
  </si>
  <si>
    <t>who said to error is human to forgive divine</t>
  </si>
  <si>
    <t xml:space="preserve"> An Essay on Criticism is one of the first major poems written by the English writer Alexander Pope ( 1688 -- 1744 ) . It is the source of the famous quotations `` To err is human , to forgive divine '' and `` A little learning is a dang'rous thing , '' frequently misquoted as `` A little knowledge is a dang'rous thing . '' It first appeared in 1711 after having been written in 1709 , and it is clear from Pope 's correspondence that many of the poem 's ideas had existed in prose form since at least 1706 . Composed in heroic couplets ( pairs of adjacent rhyming lines of iambic pentameter ) and written in the Horatian mode of satire , it is a verse essay primarily concerned with how writers and critics behave in the new literary commerce of Pope 's contemporary age . The poem covers a range of good criticism and advice , and represents many of the chief literary ideals of Pope 's age . </t>
  </si>
  <si>
    <t>Alexander Pope</t>
  </si>
  <si>
    <t xml:space="preserve"> Make ' Em Laugh </t>
  </si>
  <si>
    <t>who sang make em laugh in singin in the rain</t>
  </si>
  <si>
    <t xml:space="preserve"> `` Make ' Em Laugh '' is a song first featured in the 1952 film Singin ' in the Rain , frenetically performed by Donald O'Connor . Written by Nacio Herb Brown and Arthur Freed , the song is closely based on Cole Porter 's `` Be a Clown '' . It finished at # 49 in AFI 's 100 Years ... 100 Songs survey of top tunes in American cinema . </t>
  </si>
  <si>
    <t>Donald O'Connor</t>
  </si>
  <si>
    <t xml:space="preserve"> Color mixing </t>
  </si>
  <si>
    <t>mix red and green to make this colour</t>
  </si>
  <si>
    <t xml:space="preserve"> By convention , the three primary colors in additive mixing are red , green , and blue . In the absence of color , when no colors are showing , the result is black . If all three primary colors are showing , the result is white . When red and green combine , the result is yellow . When red and blue combine , the result is magenta . When blue and green combine , the result is cyan . </t>
  </si>
  <si>
    <t>yellow</t>
  </si>
  <si>
    <t xml:space="preserve"> Hindu calendar </t>
  </si>
  <si>
    <t>what month is it in the hindu calendar</t>
  </si>
  <si>
    <t xml:space="preserve">   Vikrami solar months   Vikrami lunar months   Gregorian months   Ṛtu ( season )   Hindi / Marathi name   Bengali name   Kannada name   Malayalam name   Odia name   Tamil name   Telugu name     Meṣa   Vaisakha   Apr - May   Grīṣma  ( summer )    ग्रीष्म   গ্রীষ্ম ( Grishmô )   ಗ್ರೀಷ್ಮ ಋತು ( Grīṣma Ṛtu )   ഗ്രീഷ്മം ( Grīṣmam )   ଗ୍ରୀଷ୍ମ ( Griṣma )   இளவேனில் ( ilavenil )   గ్రీష్మ ఋతువు ( Grīṣma Ṛtuvu )     Vṛṣabha   Jyeshtha   May -- June     Mithuna   Ashadha   June -- July   Varṣā  ( monsoon )    वर्षा   বর্ষা ( Bôrsha )   ವರ್ಷ ಋತು ( Varṣa Ṛtu )   വര്‍ഷം‌ ( Varṣām )   ବର୍ଷା ( Barṣā )   முதுவேனில் ( mudhuvenil )   వర్ష ఋతువు ( Varṣa Ṛtuvu )     Karkaṭa   Shraavana   July - Aug     Siṃha   Bhadra   Aug - Sept   Śarad  ( autumn )    शरद   শরৎ ( Shôrôt )   ಶರದೃತು ( Śaradṛtu )   ശരത്‌ ( Śarat )   ଶରତ ( Śarata )   கார் ( kaar )   శరదృతువు ( Śaradṛtuvu )     Kanyā   Ashvin   Sept - Oct     Tulā   Kartik   Oct - Nov   Hemanta  ( Late - Autumn )    हेमंत   হেমন্ত ( Hemôntô )   ಹೇಮಂತ ಋತು ( Hēmaṃta Ṛtu )   ഹേമന്തം‌ ( Hemantam )   ହେମନ୍ତ ( Hemanta )   குளிர் ( kulir )   హేమంత ఋతువు ( Hēmaṃta Ṛtuvu )     Vṛścik‌‌‌a   Agahana   Nov - Dec     Dhanu   Pausha   Dec - Jan   Śiśira  ( Winter )    शिशिर   শীত ( Shīth )   ಶಿಶಿರ ಋತು ( Śiśira Ṛtu )   ശിശിരം‌ ( Śiśiram )   ଶୀତ / ଶିଶିର ( Śīta / Śiśira )   முன்பனி ( munpani )   శిశిర ఋతువు ( Śiśira Ṛtuvu )     Makara   Magha   Jan - Feb     Kumbha   Phalguna   Feb - Mar   Vasanta  ( spring )    वसंत   বসন্ত ( Bôsôntô )   ವಸಂತ ಋತು ( Vasaṃta Ṛtu )   വസന്തം‌ ( Vasaṃtam )   ବସନ୍ତ ( Basanta )   பின்பனி ( pinpani )   వసంత ఋతువు ( Vasaṃta Ṛtuvu )     Mīna   Chaitra   Mar - Apr   </t>
  </si>
  <si>
    <t xml:space="preserve"> State Bank of India </t>
  </si>
  <si>
    <t>what is the old name of state bank of india</t>
  </si>
  <si>
    <t xml:space="preserve"> The bank descends from the Bank of Calcutta , founded in 1806 , via the Imperial Bank of India , making it the oldest commercial bank in the Indian subcontinent . The Bank of Madras merged into the other two `` presidency banks '' in British India , the Bank of Calcutta and the Bank of Bombay , to form the Imperial Bank of India , which in turn became the State Bank of India in 1955 . The Government of India took control of the Imperial Bank of India in 1955 , with Reserve Bank of India ( India 's central bank ) taking a 60 % stake , renaming it the State Bank of India . In 2008 , the government took over the stake held by the Reserve Bank of India . </t>
  </si>
  <si>
    <t>Imperial Bank of India</t>
  </si>
  <si>
    <t xml:space="preserve"> New York 's Village Halloween parade </t>
  </si>
  <si>
    <t>where does the largest halloween parade take place every year</t>
  </si>
  <si>
    <t xml:space="preserve"> New York 's Village Halloween Parade is an annual holiday parade and street pageant presented on the night of every Halloween in New York City 's Greenwich Village . The Village Halloween Parade , initiated in 1973 by Greenwich Village puppeteer and mask maker Ralph Lee , that lays claim to being the world 's largest Halloween parade where in recent years it is reported to have 60,000 marchers and 2 million spectators. . </t>
  </si>
  <si>
    <t>New York</t>
  </si>
  <si>
    <t xml:space="preserve"> I Ai n't Mad at Cha </t>
  </si>
  <si>
    <t>who sings on i ain't mad at cha</t>
  </si>
  <si>
    <t xml:space="preserve"> `` I Ai n't Mad at Cha '' is a song by rapper 2Pac released shortly after his death as the sixth single from his album All Eyez on Me . It was also his last single using the stage name 2Pac . The song features contemporary soul singer Danny Boy who provided the vocals for the song 's hook . The song did well in the United Kingdom , reaching the number 13 on the UK Singles Chart and on the UK R&amp;B Charts peaking at number 3 . It was not released as a single in the United States , thus making it ineligible to chart on the Billboard singles charts ( due to chart rules at the time ) , but reached numbers 18 and 58 in the R&amp;B and Pop Airplay charts , respectively . It also reached number two on the New Zealand Singles Chart . </t>
  </si>
  <si>
    <t>Danny Boy</t>
  </si>
  <si>
    <t xml:space="preserve"> India Women 's national cricket team </t>
  </si>
  <si>
    <t>when did women's cricket start in india</t>
  </si>
  <si>
    <t xml:space="preserve"> The British brought cricket to India in the early 1700s , with the first cricket match played in 1721 . The first Indian cricket club was established by the Parsi community in Bombay , in 1848 ; the club played their first match against the Europeans in 1877 . The first official Indian cricket team was formed in 1911 and toured England , where they played English county teams . The India team made their Test debut against England in 1932 . Around the same time ( 1934 ) , the first women 's Test was played between England and Australia . However , women 's cricket arrived in India much later ; the Women 's Cricket Association of India was formed in 1973 . The Indian women 's team played their first Test match in 1976 , against the West Indies . India recorded its first - ever Test win in November 1978 against West Indies under Shantha Rangaswamy 's captaincy at the Moin - ul - Haq Stadium in Patna . </t>
  </si>
  <si>
    <t>1973</t>
  </si>
  <si>
    <t xml:space="preserve"> Stamp Act 1765 </t>
  </si>
  <si>
    <t>why did the stamp act of 1765 happen</t>
  </si>
  <si>
    <t xml:space="preserve"> The purpose of the tax was to pay for British military troops stationed in the American colonies after the French and Indian War , which was the North American theater of the Seven Years ' War . However , the colonists had never feared a French invasion to begin with , and they contended that they had already paid their share of the war expenses . They suggested that it was actually a matter of British patronage to surplus British officers and career soldiers who should be paid by London . </t>
  </si>
  <si>
    <t>to pay for British military troops stationed in the American colonies after the French and Indian War</t>
  </si>
  <si>
    <t xml:space="preserve"> Christ the Redeemer ( statue ) </t>
  </si>
  <si>
    <t>who built the statue in rio de janeiro</t>
  </si>
  <si>
    <t xml:space="preserve">  Designer   Created by the French sculptor Paul Landowski and built by the engineer Heitor da Silva Costa Brazil in collab with the French engineer Albert Caquot . Romanian sculptor Gheorghe Leonida created the face of the statue  </t>
  </si>
  <si>
    <t>Created by the French sculptor Paul Landowski and built by the engineer Heitor da Silva Costa Brazil in collab with the French engineer Albert Caquot . Romanian sculptor Gheorghe Leonida created the face of the statue</t>
  </si>
  <si>
    <t xml:space="preserve"> 1918 flu pandemic </t>
  </si>
  <si>
    <t>flu that spread over a large area in 1918</t>
  </si>
  <si>
    <t xml:space="preserve"> The 1918 flu pandemic ( January 1918 -- December 1920 ) was an unusually deadly influenza pandemic , the first of the two pandemics involving H1N1 influenza virus . It infected 500 million people around the world , including people on remote Pacific islands and in the Arctic , and resulted in the deaths of 50 to 100 million ( three to five percent of the world 's population ) , making it one of the deadliest natural disasters in human history . </t>
  </si>
  <si>
    <t>H1N1 influenza virus</t>
  </si>
  <si>
    <t xml:space="preserve"> Natives land Act , 1913 </t>
  </si>
  <si>
    <t>when was the 1913 natives land act repealed</t>
  </si>
  <si>
    <t xml:space="preserve">   Natives Land Act , 1913         Act to make further provision as to the purchase and leasing of Land by Natives and other Persons in the several parts of the Union and for other purposes in connection with the ownership and occupation of Land by Natives and other Persons.It was discrimatory and aimed at white control of land .     Citation   Act No. 27 of 1913     Enacted by   Parliament of South Africa     Date of Royal Assent   16 June 1913     Date commenced   19 June 1913     Date repealed   30 June 1991     Administered by   Minister of Native Affairs     Repealing legislation     Abolition of Racially Based Land Measures Act , 1991     Related legislation     Native Trust and Land Act , 1936     Status : Repealed   </t>
  </si>
  <si>
    <t>30 June 1991</t>
  </si>
  <si>
    <t xml:space="preserve"> Blind spot ( vision ) </t>
  </si>
  <si>
    <t>what is the blind spot of the eye</t>
  </si>
  <si>
    <t xml:space="preserve"> A blind spot , scotoma , is an obscurity of the visual field . A particular blind spot known as the physiological blind spot , `` blind point '' , or punctum caecum in medical literature , is the place in the visual field that corresponds to the lack of light - detecting photoreceptor cells on the optic disc of the retina where the optic nerve passes through the optic disc . Because there are no cells to detect light on the optic disc , the corresponding part of the field of vision is invisible . Some process in our brains interpolates the blind spot based on surrounding detail and information from the other eye , so we do not normally perceive the blind spot . </t>
  </si>
  <si>
    <t xml:space="preserve"> Measurement of land in Punjab </t>
  </si>
  <si>
    <t>how many kanals in one acre in pakistan</t>
  </si>
  <si>
    <t xml:space="preserve"> 4 . 160 Marlas or 8 Kanals 4839.99998 Sq. yds. say 4840 Sq. yds. ( 1 acre or 1 killa ) </t>
  </si>
  <si>
    <t>8</t>
  </si>
  <si>
    <t xml:space="preserve"> Telecommunications in India </t>
  </si>
  <si>
    <t>highlight the recent changes in telecommunication sector in india</t>
  </si>
  <si>
    <t xml:space="preserve"> Indian telecom industry underwent a high pace of market liberalisation and growth since the 1990s and now has become the world 's most competitive and one of the fastest growing telecom markets . The Industry has grown over twenty times in just ten years , from under 37 million subscribers in the year 2001 to over 846 million subscribers in the year 2011 . India has the world 's second - largest mobile phone user base with over 1183.04 million users as of September 2017 . It has the world 's second - largest Internet user - base with over 324 million as of September 2017 . </t>
  </si>
  <si>
    <t xml:space="preserve"> Aerial silk </t>
  </si>
  <si>
    <t>what do you call a person who does acrobatics</t>
  </si>
  <si>
    <t xml:space="preserve"> The fabrics used as silks are very strong with some give and flexibility . The fabric is 2 - way stretch polyester lycra or Tricot Nylon . The width varies depending on the routine and the acrobat . The fabric is usually quite long , as it is doubled for rigging , giving the acrobat two strips of fabric to work with as they perform . </t>
  </si>
  <si>
    <t>acrobat</t>
  </si>
  <si>
    <t xml:space="preserve"> List of Tom and Jerry characters </t>
  </si>
  <si>
    <t>what is the name of the cat in tom and jerry</t>
  </si>
  <si>
    <t xml:space="preserve"> Tom ( named `` Jasper '' in his debut appearance ) is a grey and white domestic shorthair cat . `` Tom '' is a generic name for a male cat . He is usually but not always , portrayed as living a comfortable , or even pampered life , while Jerry ( named `` Jinx '' in his debut appearance ) is a small , brown , house mouse who always lives in close proximity to Tom . Despite being very energetic , determined and much larger , Tom is no match for Jerry 's wits . Jerry also possesses surprising strength for his size , approximately the equivalent of Tom 's , lifting items such as anvils with relative ease and withstanding considerable impacts . Although cats typically chase mice to consume them , it is quite rare for Tom to actually try to consume Jerry . Most of his attempts are just to torment or humiliate Jerry , sometimes in revenge , and sometimes to obtain a reward from a human for catching Jerry . By the final `` fade - out '' of each cartoon , Jerry usually emerges triumphant , while Tom is shown as the loser . </t>
  </si>
  <si>
    <t>Tom</t>
  </si>
  <si>
    <t xml:space="preserve"> I Can Only Imagine ( film ) </t>
  </si>
  <si>
    <t>when did the movie i can only imagine come out</t>
  </si>
  <si>
    <t xml:space="preserve">   I Can Only Imagine     Theatrical release poster     Directed by   Erwin Brothers     Produced by     Cindy Bond   Kevin Downes   Daryl Lefever   Mickey Liddell   Pete Shilaimon   Raymond Harris   Joe Knopp       Screenplay by     Jon Erwin   Brent McCorkle       Story by     Alex Cramer   Jon Erwin   Brent McCorkle       Based on   The life story of Bart Millard     Starring     J. Michael Finley   Madeline Carroll   Trace Adkins   Priscilla Shirer   Cloris Leachman   Dennis Quaid   Tanya Clarke       Music by   Brent McCorkle     Cinematography   Kristopher Kimlin     Edited by     Andrew Erwin   Brent McCorkle       Production companies     Kevin Downes Productions   Mission Pictures International       Distributed by     Lionsgate   Roadside Attractions       Release date     March 16 , 2018 ( 2018 - 03 - 16 )               Running time   110 minutes     Country   United States     Language   English     Budget   $7 million     Box office   $85.4 million   </t>
  </si>
  <si>
    <t>March 16 , 2018</t>
  </si>
  <si>
    <t xml:space="preserve"> Allies of World war II </t>
  </si>
  <si>
    <t>who made up the allied forces in ww2</t>
  </si>
  <si>
    <t xml:space="preserve"> At the start of the war on 1 September 1939 , the Allies consisted of France , Poland and the United Kingdom , and dependent states , such as the British India . Within days they were joined by the independent Dominions of the British Commonwealth : Australia , Canada , New Zealand and South Africa . After the start of the German invasion of North Europe till the Balkan Campaign , the Netherlands , Belgium , Greece and Yugoslavia joined the Allies . After first having cooperated with Germany in invading Poland whilst remaining neutral in the Allied - Axis conflict , the Soviet Union perforce joined the Allies in June 1941 after being invaded by Germany . The United States provided war materiel and money all along , and officially joined in December 1941 after the Japanese attack on Pearl Harbor . China had already been in a prolonged war with Japan since the Lugou Bridge Incident of 1937 , but officially joined the Allies in 1941 . </t>
  </si>
  <si>
    <t xml:space="preserve"> Mystic River ( film ) </t>
  </si>
  <si>
    <t>who killed katie in the movie mystic river</t>
  </si>
  <si>
    <t xml:space="preserve"> Jimmy and his friends get Dave drunk at a local bar . When Dave leaves the bar , the men follow him out . Jimmy tells Dave that he shot `` Just Ray '' Harris at that same location for ratting him out and sending him to jail . Jimmy informs Dave that his wife thinks he murdered Katie and tells Dave he will let him live if he confesses . Dave repeatedly tells Jimmy that he did kill someone but it was not Katie : he beat a child molester to death after finding him having sex with a child prostitute in a car . Jimmy does not believe Dave 's claim and threatens him with a knife . When Dave finally admits to killing Katie thinking he can escape with his life , Jimmy kills him and disposes of his body in the adjacent Mystic River . </t>
  </si>
  <si>
    <t>Dave</t>
  </si>
  <si>
    <t xml:space="preserve"> The Trooper </t>
  </si>
  <si>
    <t>what iron maiden album is the trooper on</t>
  </si>
  <si>
    <t xml:space="preserve"> `` The Trooper '' is a song by the English heavy metal band Iron Maiden . It was released as the second single on 20 June 1983 from the band 's fourth studio album , Piece of Mind ( 1983 ) . It was one of only a few songs to get much radio airplay in the US , thus peaking at No. 28 on the US Mainstream Rock charts . It also achieved success in the UK , peaking at No. 12 in the UK Singles Charts as well as gaining a much better reception than the band 's previous single , `` Flight of Icarus '' . </t>
  </si>
  <si>
    <t>Piece of Mind</t>
  </si>
  <si>
    <t xml:space="preserve"> Knockin ' on Heaven 's Door </t>
  </si>
  <si>
    <t>who wrote the song knocking on heaven's door</t>
  </si>
  <si>
    <t xml:space="preserve"> `` Knockin ' on Heaven 's Door '' is a song written and sung by Bob Dylan , for the soundtrack of the 1973 film Pat Garrett and Billy the Kid . Released as a single , it reached No. 12 on the Billboard Hot 100 singles chart . Described by Dylan biographer Clinton Heylin as `` an exercise in splendid simplicity , '' the song , measured simply in terms of the number of other artists who have covered it , is one of Dylan 's most popular post-1960s compositions . </t>
  </si>
  <si>
    <t>Bob Dylan</t>
  </si>
  <si>
    <t xml:space="preserve"> Who 's Who Among American High school students </t>
  </si>
  <si>
    <t>what is who who among american high school students</t>
  </si>
  <si>
    <t xml:space="preserve"> Who 's Who Among American High School Students was a web site and publication ( owned and managed by Educational Communications Inc . ) that listed what it deemed to be high school students `` who have excelled in academics , extracurricular activities and community service . '' It is now shut down due to bankruptcy . </t>
  </si>
  <si>
    <t xml:space="preserve"> Streptococcal pharyngitis </t>
  </si>
  <si>
    <t>where does the bacteria that causes strep throat come from</t>
  </si>
  <si>
    <t xml:space="preserve"> Strep throat is caused by group A beta - hemolytic streptococcus ( GAS or S. pyogenes ) . Other bacteria such as non -- group A beta - hemolytic streptococci and fusobacterium may also cause pharyngitis . It is spread by direct , close contact with an infected person ; thus crowding , as may be found in the military and schools , increases the rate of transmission . Dried bacteria in dust are not infectious , although moist bacteria on toothbrushes or similar items can persist for up to fifteen days . Contaminated food can result in outbreaks , but this is rare . Of children with no signs or symptoms , 12 % carry GAS in their pharynx , and , after treatment , approximately 15 % of those remain positive , and are true `` carriers '' . </t>
  </si>
  <si>
    <t xml:space="preserve"> Jason Thompson ( actor ) </t>
  </si>
  <si>
    <t>who plays billy on young and the restless</t>
  </si>
  <si>
    <t xml:space="preserve"> In December 2015 , it was announced Thompson would join The Young and the Restless as Billy Abbott ; he began appearing on January 10 , 2016 . </t>
  </si>
  <si>
    <t xml:space="preserve"> The Star - Spangled Banner </t>
  </si>
  <si>
    <t>where was the author when he wrote the star spangled banner</t>
  </si>
  <si>
    <t xml:space="preserve"> `` The Star - Spangled Banner '' is the national anthem of the United States of America . The lyrics come from `` Defence of Fort M'Henry '' , a poem written on September 14 , 1814 , by the 35 - year - old lawyer and amateur poet Francis Scott Key after witnessing the bombardment of Fort McHenry by British ships of the Royal Navy in Baltimore Harbor during the Battle of Baltimore in the War of 1812 . Key was inspired by the large American flag , the Star - Spangled Banner , flying triumphantly above the fort during the American victory . </t>
  </si>
  <si>
    <t>Fort McHenry</t>
  </si>
  <si>
    <t xml:space="preserve"> Japanese pagoda </t>
  </si>
  <si>
    <t>the reason japanese pagoda roofs decline in size is</t>
  </si>
  <si>
    <t xml:space="preserve"> The edge of a pagoda 's eaves forms a straight line , with each following edge being shorter than the other . The more difference in length ( a parameter called teigen ( 逓減 , gradual diminution ) in Japanese ) between stories , the more solid and secure the pagoda seems to be . Both teigen and the finial are greater in older pagodas , giving them a sense of solidity . Vice versa , recent pagodas tend to be steeper and have shorter finials , creating svelter silhouettes . </t>
  </si>
  <si>
    <t>the more solid and secure the pagoda seems to be</t>
  </si>
  <si>
    <t xml:space="preserve"> Midnight sun </t>
  </si>
  <si>
    <t>when does the arctic circle get 24 hours of daylight</t>
  </si>
  <si>
    <t xml:space="preserve"> The midnight sun is a natural phenomenon that occurs in the summer months in places north of the Arctic Circle or south of the Antarctic Circle , when the sun remains visible at the local midnight . </t>
  </si>
  <si>
    <t>in the summer months</t>
  </si>
  <si>
    <t xml:space="preserve"> Colonel Bogey March </t>
  </si>
  <si>
    <t>what's the song they whistle in breakfast club</t>
  </si>
  <si>
    <t xml:space="preserve"> The tune has been used in more than forty films , including The Love Race ( 1931 ) , The Lady Vanishes ( 1938 ) , The Mouse That Roared ( 1959 ) , The Parent Trap ( 1961 ) , and The Breakfast Club ( 1985 ) . </t>
  </si>
  <si>
    <t xml:space="preserve"> Acrosome reaction </t>
  </si>
  <si>
    <t>what does the acrosome do in a sperm cell</t>
  </si>
  <si>
    <t xml:space="preserve"> In mammals the acrosome reaction releases hyaluronidase and acrosin ; their role in fertilization is not yet clear . The acrosomal reaction does not begin until the sperm comes into contact with the oocyte 's zona pellucida . Upon coming into contact with the zona pellucida , the acrosomal enzymes begin to dissolve and the actin filament comes into contact with the zona pellucida . Once the two meet , a calcium influx occurs , causing a signaling cascade . The cortical granules inside the oocyte then fuse to the outer membrane and a transient fast block reaction occurs . </t>
  </si>
  <si>
    <t>releases hyaluronidase and acrosin</t>
  </si>
  <si>
    <t xml:space="preserve"> The Joker ( the Dark Knight ) </t>
  </si>
  <si>
    <t>what was joker's plan in the dark knight</t>
  </si>
  <si>
    <t xml:space="preserve"> The film 's interpretation of the Joker embodies themes of chaos , anarchy and obsession : Throughout the film , the character expresses a desire to upset social order through crime , and defines himself by his conflict with Batman . The character also explores techniques found in Ledger 's previous performances , including his clown act in Terry Gilliam 's fantasy film The Brothers Grimm . Further , it references paintings by artist Francis Bacon , Anthony Burgess ' novel A Clockwork Orange and various punk rock musicians . </t>
  </si>
  <si>
    <t>to upset social order through crime</t>
  </si>
  <si>
    <t xml:space="preserve"> Ficus religiosa </t>
  </si>
  <si>
    <t>what is the name of arasamaram in english</t>
  </si>
  <si>
    <t xml:space="preserve"> Ficus religiosa or sacred fig is a species of fig native to the Indian subcontinent , and Indochina . It belongs to the Moraceae , the fig or mulberry family . It is also known as the bodhi tree , pippala tree , peepul tree , peepal tree or ashwattha tree ( in India and Nepal ) . </t>
  </si>
  <si>
    <t>sacred fig</t>
  </si>
  <si>
    <t xml:space="preserve"> List of largest wilderness areas in the United States </t>
  </si>
  <si>
    <t>largest wilderness area east of the mississippi river</t>
  </si>
  <si>
    <t xml:space="preserve">   Name of wilderness   State ( s )   Acreage   Area : km2   Agency / agencies   Located entirely or partly in     Wrangell - Saint Elias Wilderness   Alaska   9,078,675   36,740.1   NPS   Wrangell - St. Elias National Park     Mollie Beattie Wilderness   Alaska   8,000,000   32,374.9   FWS   Arctic National Wildlife Refuge     Gates of the Arctic Wilderness   Alaska   7,167,192   29,004.6   NPS   Gates of the Arctic National Park     Noatak Wilderness   Alaska   5,765,427   23,331.9   NPS   Noatak National Preserve     Katmai Wilderness   Alaska   3,384,358   13,696.0   NPS   Katmai National Park     Death Valley Wilderness   California / Nevada   3,099,770   12,544.3   NPS   Death Valley National Park     Glacier Bay Wilderness   Alaska   2,664,876   10,784.4   NPS   Glacier Bay National Park     Lake Clark Wilderness   Alaska   2,619,550   10,600.9   NPS   Lake Clark National Park     Frank Church - River of No Return Wilderness   Idaho   2,366,757   9,577.9   FS / BLM   Payette National Forest / Challis National Forest / Salmon National Forest / Boise National Forest / Bitterroot National Forest / Nez Perce National Forest     Togiak Wilderness   Alaska   2,274,066   9,202.8   FWS   Togiak National Wildlife Refuge     Misty Fjords National Monument Wilderness   Alaska   2,142,442   8,670.2   FS   Misty Fjords National Monument ( Tongass National Forest )     Denali Wilderness   Alaska   2,124,783   8,598.7   NPS   Denali National Park     Kenai Wilderness   Alaska   1,354,247   5,480.4   FWS   Kenai National Wildlife Refuge     Selway - Bitterroot Wilderness   Idaho / Montana   1,340,502   5,424.8   FS   Nez Perce National Forest / Bitterroot National Forest / Clearwater National Forest / Lolo National Forest     Aleutian Islands Wilderness   Alaska   1,300,000   5,260.9   FWS   Aleutian Islands National Wildlife Refuge     Andreafsky Wilderness   Alaska   1,300,000   5,260.9   FWS   Yukon Delta National Wildlife Refuge     Marjory Stoneman Douglas Wilderness   Florida   1,296,500   5,246.7   NPS   Everglades National Park     Innoko Wilderness   Alaska   1,240,000   5,018.1   FWS   Innoko National Wildlife Refuge     Bob Marshall Wilderness   Montana   1,009,356   4,084.7   FS   Flathead National Forest / Lewis and Clark National Forest     Kootznoowoo Wilderness   Alaska   956,255   3,869.8   FS   Admiralty Island National Monument ( Tongass National Forest )     Absaroka - Beartooth Wilderness   Montana / Wyoming   943,626   3,818.7   FS   Gallatin National Forest / Custer National Forest / Shoshone National Forest     Unimak Wilderness   Alaska   910,000   3,682.6   FWS   Alaska Maritime National Wildlife Refuge     Olympic Wilderness   Washington   876,669   3,547.8   NPS   Olympic National Park     Boundary Waters Canoe Area Wilderness   Minnesota   1,090,000   4,411.1   FS   Superior National Forest     Cabeza Prieta Wilderness   Arizona   803,418   3,251.3   FWS   Cabeza Prieta National Wildlife Refuge     Sequoia - Kings Canyon Wilderness   California   768,222   3,108.9   NPS   Kings Canyon National Park / Sequoia National Park     Yosemite Wilderness   California   704,624   2,851.5   NPS   Yosemite National Park     Washakie Wilderness   Wyoming   704,274   2,850.1   FS   Shoshone National Forest     Mojave Wilderness   California   695,200   2,813.4   NPS   Mojave National Preserve     Tracy Arm - Fords Terror Wilderness   Alaska   653,179   2,643.3   FS   Tongass National Forest     John Muir Wilderness   California   650,734   2,633.4   FS   Sierra National Forest / Inyo National Forest     Stephen Mather Wilderness   Washington   634,614   2,568.2   NPS   North Cascades National Park / Ross Lake National Recreation Area / Lake Chelan National Recreation Area     Nunivak Wilderness   Alaska   600,000   2,428.1   FWS   Yukon Delta National Wildlife Refuge     Joshua Tree Wilderness   California   594,502   2,405.9   NPS   Joshua Tree National Park     Teton Wilderness   Wyoming   585,238   2,368.4   FS   Teton National Forest     Glacier Peak Wilderness   Washington   570,573   2,309.0   FS   Wenatchee National Forest / Mount Baker National Forest     Gila Wilderness   New Mexico   558,014   2,258.2   FS   Gila National Forest     Pasayten Wilderness   Washington   529,477   2,142.7   FS   Okanogan National Forest / Mount Baker National Forest     Trinity Alps Wilderness   California   525,627   2,127.1   FS / BLM   Trinity National Forest / Shasta National Forest / Klamath National Forest / Six Rivers National Forest     Kofa Wilderness   Arizona   516,200   2,089.0   FWS   Kofa National Wildlife Refuge     Weminuche Wilderness   Colorado   488,210   1,975.7   FS   San Juan National Forest / Rio Grande National Forest     High Uintas Wilderness   Utah   456,705   1,848.2   FS   Ashley National Forest / Wasatch National Forest     Stikine - LeConte Wilderness   Alaska   448,926   1,816.7   FS   Tongass National Forest     Bridger Wilderness   Wyoming   428,087   1,732.4   FS   Bridger National Forest     Becharof Wilderness   Alaska   400,000   1,618.7   FWS   Becharof National Wildlife Refuge     Koyukuk Wilderness   Alaska   400,000   1,618.7   FWS   Koyukuk National Wildlife Refuge     Alpine Lakes Wilderness   Washington   362,789   1,468.2   FS   Wenatchee National Forest / Snoqualmie National Forest     Okefenokee Wilderness   Georgia   353,981   1,432.5   FWS   Okefenokee National Wildlife Refuge     North Absaroka Wilderness   Wyoming   350,488   1,418.4   FS   Shoshone National Forest     Eagle Cap Wilderness   Oregon   350,461   1,418.3   FS   Wallowa National Forest / Whitman National Forest     Russell Fjord Wilderness   Alaska   348,701   1,411.1   FS   Tongass National Forest     South Baranof Wilderness   Alaska   319,568   1,293.2   FS   Tongass National Forest     Gros Ventre Wilderness   Wyoming   317,874   1,286.4   FS   Teton National Forest     Black Rock Desert Wilderness   Nevada   314,829   1,274.1   BLM   Black Rock Desert -- High Rock Canyon Emigrant Trails National Conservation Area     Organ Pipe Cactus Wilderness   Arizona   312,600   1,265.0   NPS   Organ Pipe Cactus National Monument     Izembek Wilderness   Alaska   307,982   1,246.4   FWS   Izembek National Wildlife Refuge     Golden Trout Wilderness   California   303,511   1,228.3   FS   Inyo National Forest / Sequoia National Forest     Three Sisters Wilderness   Oregon   286,708   1,160.3   FS   Willamette National Forest / Deschutes National Forest     Great Bear Wilderness   Montana   286,700   1,160.2   FS   Flathead National Forest     Owyhee River Wilderness   Idaho   267,328   1,081.8   BLM       West Chichagof - Yakobi Wilderness   Alaska   265,286   1,073.6   FS   Tongass National Forest     Lee Metcalf Wilderness   Montana   254,288   1,029.1   FS / BLM   Gallatin National Forest / Beaverhead National Forest     White Mountains Wilderness   California   252,597   1,022.2   FS / BLM   Inyo National Forest     Mazatzal Wilderness   Arizona   252,390   1,021.4   FS   Tonto National Forest / Coconino National Forest     Semidi Wilderness   Alaska   250,000   1,011.7   FWS   Alaska Maritime National Wildlife Refuge     Rocky Mountain National Park Wilderness   Colorado   249,339   1,009.0   NPS   Rocky Mountain National Park     Inyo Mountains Wilderness   California   245,320   992.8   BLM / FS   Inyo National Forest     Marble Mountain Wilderness   California   241,744   978.3   FS   Klamath National Forest     Ventana Wilderness   California   240,024   971.3   FS / BLM   Los Padres National Forest     Selawik Wilderness   Alaska   240,000   971.2   FWS   Selawik National Wildlife Refuge     Scapegoat Wilderness   Montana   239,936   971.0   FS   Lewis and Clark National Forest / Helena National Forest / Lolo National Forest     Palen / McCoy Wilderness   California   235,627   953.5   BLM       Flat Tops Wilderness   Colorado   235,214   951.9   FS   White River National Forest / Routt National Forest     Ansel Adams Wilderness   California   231,533   937.0   FS / NPS   Sierra National Forest / Inyo National Forest / Devils Postpile National Monument     Mount Rainier Wilderness   Washington   228,480   924.6   NPS   Mount Rainier National Park     Sangre de Cristo Wilderness   Colorado   228,044   922.9   FS / NPS   San Isabel National Forest / Rio Grande National Forest / Great Sand Dunes National Park     Pecos Wilderness   New Mexico   223,333   903.8   FS   Santa Fe National Forest / Carson National Forest     Sespe Wilderness   California   219,700   889.1   FS   Los Padres National Forest     Sawtooth Wilderness   Idaho   217,088   878.5   FS   Sawtooth National Recreation Area ( Boise National Forest / Sawtooth National Forest / Challis National Forest )     Hells Canyon Wilderness   Oregon / Idaho   214,944   869.8   FS / BLM   Hells Canyon National Recreation Area ( Wallowa National Forest / Nez Perce National Forest / Payette National Forest / Whitman National Forest )     Gospel Hump Wilderness   Idaho   205,796   832.8   FS   Nez Perce National Forest     Aldo Leopold Wilderness   New Mexico   202,016   817.5   FS   Gila National Forest     Kingston Range Wilderness   California   199,444   807.1   BLM       Fitzpatrick Wilderness   Wyoming   198,525   803.4   FS   Shoshone National Forest     San Rafael Wilderness   California   197,380   798.8   FS   Los Padres National Forest     High Peaks Wilderness   New York   192,685   779.8   NYS DEC   Adirondack Park     Cloud Peak Wilderness   Wyoming   189,039   765.0   FS   Bighorn National Forest     Sheephole Valley Wilderness   California   186,673   755.4   BLM       Siskiyou Wilderness   California   182,802   739.8   FS   Six Rivers National Forest / Klamath National Forest / Siskiyou National Forest     Maroon Bells - Snowmass Wilderness   Colorado   181,512   734.6   FS   White River National Forest / Gunnison National Forest     Yolla Bolly - Middle Eel Wilderness   California   180,877   732.0   FS / BLM   Mendocino National Forest / Trinity National Forest / Six Rivers National Forest     Kalmiopsis Wilderness   Oregon   179,755   727.4   FS   Siskiyou National Forest     Wenaha - Tucannon Wilderness   Washington / Oregon   177,423   718.0   FS   Umatilla National Forest     Turtle Mountains Wilderness   California   177,136   716.8   BLM       West Elk Wilderness   Colorado   176,412   713.9   FS   Gunnison National Forest     Kobuk Valley Wilderness   Alaska   174,545   706.4   NPS   Kobuk Valley National Park     Steens Mountain Wilderness   Oregon   170,025   688.1   BLM       William O. Douglas Wilderness   Washington   168,232   680.8   FS   Snoqualmie National Forest / Gifford Pinchot National Forest     Collegiate Peaks Wilderness   Colorado   167,414   677.5   FS   San Isabel National Forest / Gunnison National Forest / White River National Forest     Old Woman Mountains Wilderness   California   162,985   659.6   BLM       Carson - Iceberg Wilderness   California   161,181   652.3   FS   Toiyabe National Forest / Stanislaus National Forest     Mount Zirkel Wilderness   Colorado   159,935   647.2   FS   Routt National Forest     Superstition Wilderness   Arizona   159,757   646.5   FS   Tonto National Forest     South San Juan Wilderness   Colorado   158,790   642.6   FS   Rio Grande National Forest / San Juan National Forest     Anaconda - Pintler Wilderness   Montana   158,615   641.9   FS   Beaverhead National Forest / Deerlodge National Forest / Bitterroot National Forest     Mormon Mountains Wilderness   Nevada   157,938   639.2   BLM       Lake Chelan - Sawtooth Wilderness   Washington   151,435   612.8   FS   Okanogan National Forest / Wenatchee National Forest     Kelso Dunes Wilderness   California   144,262   583.8   BLM       Eagles Nest Wilderness   Colorado   133,471   540.1   FS   White River National Forest     Isle Royale Wilderness   Michigan   132,018   534.3   NPS   Isle Royale National Park     Hawaii Volcanoes Wilderness   Hawaii   130,790   529.3   NPS   Hawaii Volcanoes National Park     Domeland Wilderness   California   130,081   526.4   FS / BLM   Sequoia National Forest     Arrastra Mountain Wilderness   Arizona   129,800   525.3   BLM       La Garita Wilderness   Colorado   129,626   524.6   FS   Gunnison National Forest / Rio Grande National Forest     Hoover Wilderness   California   128,421   519.7   FS   Toiyabe National Forest / Inyo National Forest     Zion Wilderness   Utah   124,406   503.5   NPS   Zion National Park     Meadow Valley Range Wilderness   Nevada   123,488   499.7   BLM       Jedediah Smith Wilderness   Wyoming   123,451   499.6   FS   Targhee National Forest     Holy Cross Wilderness   Colorado   122,884   497.3   FS   White River National Forest / San Isabel National Forest     High Schells Wilderness   Nevada   121,497   491.7   FS   Humboldt National Forest     North Fork John Day Wilderness   Oregon   121,352   491.1   FS   Umatilla National Forest / Whitman National Forest     Lost Creek Wilderness   Colorado   119,790   484.8   FS   Pike National Forest     Mount Baker Wilderness   Washington   117,528   475.6   FS   Mount Baker National Forest     Jim McClure -- Jerry Peak Wilderness   Idaho   116,898   473.1   FS / BLM   Salmon - Challis National Forest     Sky Lakes Wilderness   Oregon   116,300   470.6   FS   Rogue River National Forest / Winema National Forest     Arc Dome Wilderness   Nevada   115,000   465.4   FS   Toiyabe National Forest     Warm Springs Wilderness   Arizona   112,400   454.9   BLM       Emigrant Wilderness   California   112,277   454.4   FS   Stanislaus National Forest     Delamar Mountains Wilderness   Nevada   111,328   450.5   BLM       Jarbidge Wilderness   Nevada   111,087   449.6   FS   Humboldt National Forest     Paria Canyon - Vermilion Cliffs Wilderness   Arizona / Utah   109,400   442.7   BLM   Vermilion Cliffs National Monument / Grand Staircase - Escalante National Monument     Goat Rocks Wilderness   Washington   107,018   433.1   FS   Gifford Pinchot National Forest / Snoqualmie National Forest     Mount Jefferson Wilderness   Oregon   107,008   433.0   FS   Willamette National Forest / Deschutes National Forest / Mount Hood National Forest     Wild Sky Wilderness   Washington   106,577   431.3   FS   Snoqualmie National Forest     Nopah Range Wilderness   California   106,571   431.3   BLM       Uncompahgre Wilderness   Colorado   102,721   415.7   FS / BLM   Uncompahgre National Forest     Popo Agie Wilderness   Wyoming   101,870   412.3   FS   Shoshone National Forest     Henry M. Jackson Wilderness   Washington   100,356   406.1   FS   Snoqualmie National Forest / Mount Baker National Forest / Wenatchee National Forest     Cedar Mountain Wilderness   Utah   100,000   404.7   BLM       Mokelumne Wilderness   California   99,161   401.3   FS   Eldorado National Forest / Stanislaus National Forest / Toiyabe National Forest     Endicott River Wilderness   Alaska   98,729   399.5   FS   Tongass National Forest     Eagletail Mountains Wilderness   Arizona   97,880   396.1   BLM       Chuckwalla Mountains Wilderness   California   97,429   394.3   BLM       San Gorgonio Wilderness   California   94,664   383.1   FS / BLM   San Bernardino National Forest     Cabinet Mountains Wilderness   Montana   94,272   381.5   FS   Kootenai National Forest / Kaniksu National Forest     Ruby Mountains Wilderness   Nevada   93,090   376.7   FS   Humboldt National Forest     Table Mountain Wilderness   Nevada   92,600   374.7   FS   Toiyabe National Forest     South Prince of Wales Wilderness   Alaska   90,968   368.1   FS   Tongass National Forest     Cecil D. Andrus -- White Clouds Wilderness   Idaho   90,769   367.3   FS / BLM   Sawtooth National Forest     Bruneau - Jarbidge Rivers Wilderness   Idaho   89,996   364.2   BLM       Mt . Moriah Wilderness   Nevada   89,790   363.4   FS / BLM   Humboldt National Forest     Paiute Wilderness   Arizona   87,900   355.7   BLM   Grand Canyon - Parashant National Monument     Chiricahua Wilderness   Arizona   87,700   354.9   FS   Coronado National Forest     Chemehuevi Mountains Wilderness   California   85,810   347.3   BLM       Clover Mountains Wilderness   Nevada   85,748   347.0   BLM       Stepladder Mountains Wilderness   California   83,536   338.1   BLM       South Etolin Wilderness   Alaska   82,619   334.3   FS   Tongass National Forest     Hunter - Fryingpan Wilderness   Colorado   82,026   331.9   FS   White River National Forest     Bering Sea Wilderness   Alaska   81,340   329.2   FWS   Alaska Maritime National Wildlife Refuge     Kiavah Wilderness   California   81,247   328.8   BLM / FS   Sequoia National Forest     Shenandoah Wilderness   Virginia   79,579   322.0   NPS   Shenandoah National Park     Lassen Volcanic Wilderness   California   78,982   319.6   NPS   Lassen Volcanic National Park     Mount Grafton Wilderness   Nevada   78,754   318.7   BLM       Indian Peaks Wilderness   Colorado   77,711   314.5   FS / NPS   Arapaho National Forest / Roosevelt National Forest / Rocky Mountain National Park     Galiuro Wilderness   Arizona   76,317   308.8   FS   Coronado National Forest     Resting Spring Range Wilderness   California   76,280   308.7   BLM       Whipple Mountains Wilderness   California   76,032   307.7   BLM       Black Ridge Canyons Wilderness   Colorado / Utah   75,439   305.3   BLM   McInnis Canyons National Conservation Area     Argus Range Wilderness   California   74,890   303.1   BLM       Mount Evans Wilderness   Colorado   74,401   301.1   FS   Arapaho National Forest / Pike National Forest     Chuck River Wilderness   Alaska   74,298   300.7   FS   Tongass National Forest     Owens Peak Wilderness   California   74,060   299.7   BLM       Mission Mountains Wilderness   Montana   73,877   299.0   FS   Flathead National Forest     Rawah Wilderness   Colorado   73,068   295.7   FS   Roosevelt National Forest / Routt National Forest     Piper Mountain Wilderness   California   72,575   293.7   BLM       Pahrump Valley Wilderness   California   72,528   293.5   BLM       Santa Rosa Wilderness   California   72,259   292.4   BLM / FS   San Bernardino National Forest     Saguaro Wilderness   Arizona   70,905   286.9   NPS   Saguaro National Park     South Warner Wilderness   California   70,614   285.8   FS   Modoc National Forest     Kanab Creek Wilderness   Arizona   70,460   285.1   FS / BLM   Kaibab National Forest     Bristol Mountains Wilderness   California   70,028   283.4   BLM       Strawberry Mountain Wilderness   Oregon   69,350   280.6   FS   Malheur National Forest     Highland Ridge Wilderness   Nevada   68,627   277.7   BLM       Hemingway -- Boulders Wilderness   Idaho   67,998   275.2   FS   Sawtooth National Forest     Dick Smith Wilderness   California   67,800   274.4   FS   Los Padres National Forest     Mount Hood Wilderness   Oregon   67,320   272.4   FS   Mt . Hood National Forest     South Egan Range Wilderness   Nevada   67,214   272.0   BLM       Tebenkof Bay Wilderness   Alaska   66,812   270.4   FS   Tongass National Forest     Comanche Peak Wilderness   Colorado   66,791   270.3   FS   Roosevelt National Forest     Dominguez Canyon Wilderness   Colorado   66,280   268.2   BLM   Dominguez - Escalante National Conservation Area     Raggeds Wilderness   Colorado   65,393   264.6   FS   Gunnison National Forest / White River National Forest     Calico Mountains Wilderness   Nevada   64,984   263.0   BLM   Black Rock Desert -- High Rock Canyon Emigrant Trails National Conservation Area     Mark O. Hatfield Wilderness   Oregon   64,960   262.9   FS   Mt . Hood National Forest     Badlands Wilderness   South Dakota   64,144   259.6   NPS   Badlands National Park     Woolsey Peak Wilderness   Arizona   64,000   259.0   BLM       Desolation Wilderness   California   63,475   256.9   FS   Eldorado National Forest     North Maricopa Mountains Wilderness   Arizona   63,200   255.8   BLM   Sonoran Desert National Monument     Powderhorn Wilderness   Colorado   62,050   251.1   BLM / FS   Gunnison National Forest     Cebolla Wilderness   New Mexico   61,500   248.9   BLM       Salmon - Huckleberry Wilderness   Oregon   61,340   248.2   FS   Mt . Hood National Forest     Four Peaks Wilderness   Arizona   61,074   247.2   FS   Tonto National Forest     Kuiu Wilderness   Alaska   60,581   245.2   FS   Tongass National Forest     South Maricopa Mountains Wilderness   Arizona   60,100   243.2   BLM   Sonoran Desert National Monument     South Sierra Wilderness   California   60,084   243.2   FS   Inyo National Forest / Sequoia National Forest     Snow Mountain Wilderness   California   60,076   243.1   FS   Mendocino National Forest     High Rock Lake Wilderness   Nevada   59,094   239.1   BLM   Black Rock Desert -- High Rock Canyon Emigrant Trails National Conservation Area     Mount Charleston Wilderness   Nevada   57,442   232.5   FS / BLM   Spring Mountains National Recreation Area ( Toiyabe National Forest )     Pusch Ridge Wilderness   Arizona   56,933   230.4   FS   Coronado National Forest     Pahute Peak Wilderness   Nevada   56,890   230.2   BLM   Black Rock Desert -- High Rock Canyon Emigrant Trails National Conservation Area     Sycamore Canyon Wilderness   Arizona   55,937   226.4   FS   Prescott National Forest / Coconino National Forest / Kaibab National Forest     South Jackson Mountains Wilderness   Nevada   54,535   220.7   BLM   Black Rock Desert -- High Rock Canyon Emigrant Trails National Conservation Area     Mount Thielsen Wilderness   Oregon   54,267   219.6   FS   Winema National Forest / Umpqua National Forest / Deschutes National Forest     Diamond Peak Wilderness   Oregon   54,185   219.3   FS   Deschutes National Forest / Willamette National Forest     Yuki Wilderness   California   53,887   218.1   FS / BLM   Mendocino National Forest     Big Jacks Creek Wilderness   Idaho   52,826   213.8   BLM       Mount Washington Wilderness   Oregon   52,738   213.4   FS   Willamette National Forest / Deschutes National Forest     East Fork High Rock Canyon Wilderness   Nevada   52,617   212.9   BLM   Black Rock Desert -- High Rock Canyon Emigrant Trails National Conservation Area     Grant Range Wilderness   Nevada   52,600   212.9   FS   Humboldt National Forest     Norse Peak Wilderness   Washington   52,180   211.2   FS   Snoqualmie National Forest     Sacatar Trail Wilderness   California   51,900   210.0   BLM       Weepah Spring Wilderness   Nevada   51,480   208.3   BLM       Little Jacks Creek Wilderness   Idaho   50,929   206.1   BLM       Orocopia Mountains Wilderness   California   50,562   204.6   BLM       Coso Range Wilderness   California   50,520   204.4   BLM       Chama River Canyon Wilderness   New Mexico   50,300   203.6   FS   Santa Fe National Forest / Carson National Forest     Petrified Forest National Wilderness Area   Arizona   50,260   203.4   NPS   Petrified Forest National Park     Pine Valley Mountain Wilderness   Utah   50,232   203.3   FS   Dixie National Forest   </t>
  </si>
  <si>
    <t xml:space="preserve"> Laureus World Sports Awards </t>
  </si>
  <si>
    <t>who won the sports person of the year award 2017</t>
  </si>
  <si>
    <t xml:space="preserve">   Year   Sportsman   Sportswoman   Team   Breakthrough   Comeback   Disability   Action   Moment   Ref     2000   Woods , Tiger Tiger Woods   Jones , Marion Marion Jones *   Manchester United F.C.   García , Sergio Sergio García   Armstrong , Lance Lance Armstrong *   Sauvage , Louise Louise Sauvage   Palmer , Shaun Shaun Palmer   N / A       2001   Woods , Tiger Tiger Woods   Freeman , Cathy Cathy Freeman   France national football team   Safin , Marat Marat Safin   Capriati , Jennifer Jennifer Capriati   Lauwers , Vinny Vinny Lauwers   Horn , Mike Mike Horn   N / A       2002   Schumacher , Michael Michael Schumacher   Capriati , Jennifer Jennifer Capriati   Australia national cricket team   Montoya , Juan Pablo Juan Pablo Montoya   Ivanišević , Goran Goran Ivanišević   Vergeer , Esther Esther Vergeer   Burnquist , Bob Bob Burnquist   N / A       2003   Armstrong , Lance Lance Armstrong *   Williams , Serena Serena Williams   Brazil national football team   Ming , Yao Yao Ming   Ronaldo   Milton , Michael Michael Milton   Potter , Dean Dean Potter   N / A         Schumacher , Michael Michael Schumacher   Sörenstam , Annika Annika Sörenstam   England national rugby union team   Wie , Michelle Michelle Wie   Maier , Hermann Hermann Maier   Connor , Earle Earle Connor *   Beachley , Layne Layne Beachley   N / A       2005   Federer , Roger Roger Federer   Holmes , Kelly Kelly Holmes   Greece national football team   Xiang , Liu Liu Xiang   Zanardi , Alex Alex Zanardi   Petitclerc , Chantal Chantal Petitclerc   McArthur , Ellen Ellen McArthur   N / A       2006   Federer , Roger Roger Federer   Kostelić , Janica Janica Kostelić   Renault F1 team   Nadal , Rafael Rafael Nadal   Hingis , Martina Martina Hingis   van Dyk , Ernst Ernst van Dyk   d'Arrigo , Angelo Angelo d'Arrigo   N / A       2007   Federer , Roger Roger Federer   Isinbayeva , Yelena Yelena Isinbayeva   Italy national football team   Williams , Serena Serena Williams   Braxenthaler , Martin Martin Braxenthaler   Mauresmo , Amélie Amélie Mauresmo   Slater , Kelly Kelly Slater   N / A       2008   Federer , Roger Roger Federer   Henin , Justine Justine Henin   South Africa national rugby union team   Radcliffe , Paula Paula Radcliffe   Vergeer , Esther Esther Vergeer   Hamilton , Lewis Lewis Hamilton   White , Shaun Shaun White   N / A       2009   Bolt , Usain Usain Bolt   Isinbayeva , Yelena Yelena Isinbayeva   China Olympic team   Klitschko , Vitali Vitali Klitschko   Dias , Daniel Daniel Dias   Adlington , Rebecca Rebecca Adlington   Slater , Kelly Kelly Slater   N / A         Bolt , Usain Usain Bolt   Williams , Serena Serena Williams   Brawn F1 team   Clijsters , Kim Kim Clijsters   du Toit , Natalie Natalie du Toit   Button , Jenson Jenson Button   Gilmore , Stephanie Stephanie Gilmore   N / A       2011   Nadal , Rafael Rafael Nadal   Vonn , Lindsey Lindsey Vonn   Spain national football team   Rossi , Valentino Valentino Rossi   Bentele , Verena Verena Bentele   Kaymer , Martin Martin Kaymer   Slater , Kelly Kelly Slater   N / A       2012   Djokovic , Novak Novak Djokovic   Cheruiyot , Vivian Vivian Cheruiyot   Barcelona FC Barcelona   Clarke , Darren Darren Clarke   Pistorius , Oscar Oscar Pistorius   McIlroy , Rory Rory McIlroy   Slater , Kelly Kelly Slater   N / A       2013   Bolt , Usain Usain Bolt   Ennis , Jessica Jessica Ennis   Ryder European Ryder Cup team   Sánchez , Félix Félix Sánchez   Dias , Daniel Daniel Dias   Murray , Andy Andy Murray   Baumgartner , Felix Felix Baumgartner   N / A       2014   Vettel , Sebastian Sebastian Vettel   Franklin , Missy Missy Franklin   Bayern FC Bayern Munich   Nadal , Rafael Rafael Nadal   Bochet , Marie Marie Bochet   Márquez , Marc Marc Márquez   Bestwick , Jamie Jamie Bestwick   N / A       2015   Djokovic , Novak Novak Djokovic   Dibaba , Genzebe Genzebe Dibaba   Germany national football team   Burger , Schalk Schalk Burger   McFadden , Tatyana Tatyana McFadden   Ricciardo , Daniel Daniel Ricciardo   Eustace , Alan Alan Eustace   N / A       2016   Djokovic , Novak Novak Djokovic   Williams , Serena Serena Williams   New Zealand national rugby union team   Carter , Dan Dan Carter   Dias , Daniel Daniel Dias   Spieth , Jordan Jordan Spieth   Frodeno , Jan Jan Frodeno   N / A       2017   Bolt , Usain Usain Bolt   Biles , Simone Simone Biles   Chicago Cubs   Phelps , Michael Michael Phelps   Vio , Beatrice Beatrice Vio   Rosberg , Nico Nico Rosberg   Atherton , Rachel Rachel Atherton   Barca FC Barcelona under - 12s     </t>
  </si>
  <si>
    <t>Usain Bolt</t>
  </si>
  <si>
    <t xml:space="preserve"> Amyotrophic lateral sclerosis </t>
  </si>
  <si>
    <t>what is the full form of als disease</t>
  </si>
  <si>
    <t xml:space="preserve"> Amyotrophic lateral sclerosis ( ALS ) , also known as motor neurone disease ( MND ) , and Lou Gehrig 's disease , is a specific disease which causes the death of neurons controlling voluntary muscles . Some also use the term motor neuron disease for a group of conditions of which ALS is the most common . ALS is characterized by stiff muscles , muscle twitching , and gradually worsening weakness due to muscles decreasing in size . This results in difficulty speaking , swallowing , and eventually breathing . </t>
  </si>
  <si>
    <t>Amyotrophic lateral sclerosis</t>
  </si>
  <si>
    <t>how many books are in the narnia series</t>
  </si>
  <si>
    <t xml:space="preserve"> The Chronicles of Narnia is a series of seven fantasy novels by C.S. Lewis . It is considered a classic of children 's literature and is the author 's best - known work , having sold over 100 million copies in 47 languages . Written by Lewis , illustrated by Pauline Baynes , and originally published in London between 1950 and 1956 , The Chronicles of Narnia has been adapted several times , complete or in part , for radio , television , the stage , and film . </t>
  </si>
  <si>
    <t>seven</t>
  </si>
  <si>
    <t xml:space="preserve"> Marcus Alvarez </t>
  </si>
  <si>
    <t>who plays sons of anarchy president in mayans</t>
  </si>
  <si>
    <t xml:space="preserve"> Marcus Álvarez is a fictional character on the FX television series Sons of Anarchy and its spinoff Mayans MC , played by Emilio Rivera . He initially serves as an antagonist on the show but gradually comes to a less hostile relation with the Sons of Anarchy . He is the leader of the Mayans , a Mexican - American outlaw motorcycle club . </t>
  </si>
  <si>
    <t>Marcus Álvarez</t>
  </si>
  <si>
    <t xml:space="preserve"> Atmosphere of Earth </t>
  </si>
  <si>
    <t>make a list of the gases present in the earth atmosphere</t>
  </si>
  <si>
    <t xml:space="preserve"> Major constituents of dry air , by volume   Gas   Volume     Name   Formula   in ppmv   in %     Nitrogen     780,840   78.084     Oxygen   O   209,460   20.946     Argon   Ar   9,340   0.9340     Carbon dioxide   CO   400   0.04     Neon   Ne   18.18   0.001818     Helium   He   5.24   0.000524     Methane   CH   1.79   0.000179     Not included in above dry atmosphere :     Water vapor   H O   10 -- 50,000   0.001 % -- 5 %     notes :  volume fraction is equal to mole fraction for ideal gas only , also see volume ( thermodynamics ) ppmv : parts per million by volume Water vapor is about 0.25 % by mass over full atmosphere Water vapor strongly varies locally    </t>
  </si>
  <si>
    <t xml:space="preserve"> List of Michigan sport championships </t>
  </si>
  <si>
    <t>when was the last time a detroit sports team won a championship</t>
  </si>
  <si>
    <t xml:space="preserve"> 2008 The Detroit Shock earn their third WNBA Championship in the WNBA Finals . It is the team 's third title in six seasons . </t>
  </si>
  <si>
    <t>2008</t>
  </si>
  <si>
    <t xml:space="preserve"> List of Premier League players with 100 or more goals </t>
  </si>
  <si>
    <t>who has scored the most goals in the english premier league</t>
  </si>
  <si>
    <t xml:space="preserve"> List of Premier League players with 100 or more goals   Rank   Player   Premier League club ( s )   Goals   Played   Ratio       Shearer , Alan Alan Shearer   Blackburn Rovers , Newcastle United   260   441   0.59       Rooney , Wayne Wayne Rooney   Everton , Manchester United   208   491   0.42       Cole , Andy Andy Cole   Newcastle United , Manchester United , Blackburn Rovers , Fulham , Manchester City , Portsmouth   187   414   0.45       Lampard , Frank Frank Lampard   West Ham United , Chelsea , Manchester City   177   609   0.29       Henry , Thierry Thierry Henry   Arsenal   175   258   0.68     6   Fowler , Robbie Robbie Fowler   Liverpool , Leeds United , Manchester City   163   379   0.43     7   Defoe , Jermain Jermain Defoe   West Ham United , Portsmouth , Tottenham Hotspur , Sunderland , Bournemouth   162   491   0.33     8   Owen , Michael Michael Owen   Liverpool , Newcastle United , Manchester United , Stoke City   150   326   0.46     9   Ferdinand , Les Les Ferdinand   Queens Park Rangers , Newcastle United , Tottenham Hotspur , West Ham United , Leicester City , Bolton Wanderers   149   351   0.42     10   Sheringham , Teddy Teddy Sheringham   Nottingham Forest , Tottenham Hotspur , Manchester United , Portsmouth , West Ham United   146   418   0.35     11   van Persie , Robin Robin van Persie   Arsenal , Manchester United   144   280   0.51     12   Agüero , Sergio Sergio Agüero   Manchester City   143   206   0.69     13   Hasselbaink , Jimmy Floyd Jimmy Floyd Hasselbaink   Leeds United , Chelsea , Middlesbrough , Charlton Athletic   127   288   0.44     14   Keane , Robbie Robbie Keane   Coventry City , Leeds United , Tottenham Hotspur , Liverpool , West Ham United , Aston Villa   126   349   0.36     15   Anelka , Nicolas Nicolas Anelka   Arsenal , Liverpool , Manchester City , Bolton Wanderers , Chelsea , West Bromwich Albion   125   364   0.34     16   Yorke , Dwight Dwight Yorke   Aston Villa , Manchester United , Blackburn Rovers , Birmingham City , Sunderland   123   375   0.33     17   Gerrard , Steven Steven Gerrard   Liverpool   120   504   0.24     18   Wright , Ian Ian Wright   Arsenal , West Ham United   113   213   0.53     19   Dublin , Dion Dion Dublin   Manchester United , Coventry City , Aston Villa   111   312   0.36     20   Heskey , Emile Emile Heskey   Leicester City , Liverpool , Birmingham City , Wigan Athletic , Aston Villa   110   516   0.21     21   Giggs , Ryan Ryan Giggs   Manchester United   109   632   0.17     22   Kane , Harry Harry Kane   Tottenham Hotspur   108   153   0.71     23   Crouch , Peter Peter Crouch   Aston Villa , Southampton , Liverpool , Portsmouth , Tottenham Hotspur , Stoke City   108   462   0.23     23   Scholes , Paul Paul Scholes   Manchester United   107   499   0.21     25   Bent , Darren Darren Bent   Ipswich Town , Charlton Athletic , Tottenham Hotspur , Sunderland , Aston Villa , Fulham   106   276   0.38     26   Drogba , Didier Didier Drogba   Chelsea   104   254   0.41     27   Lukaku , Romelu Romelu Lukaku   West Bromwich Albion , Everton , Manchester United   101   220   0.46     28   Le Tissier , Matt Matt Le Tissier   Southampton   100   270   0.37     Italics show players still playing professional football ; Bold shows players still playing in the Premier League .   </t>
  </si>
  <si>
    <t>Alan Shearer</t>
  </si>
  <si>
    <t xml:space="preserve"> Hierarchy of the Catholic Church </t>
  </si>
  <si>
    <t>what is the difference between priest and bishop</t>
  </si>
  <si>
    <t xml:space="preserve"> All clergy , including deacons , priests , and bishops , may preach , teach , baptize , witness marriages , and conduct funeral liturgies . Only priests and bishops can celebrate the sacraments of the Eucharist ( though others may be ministers of Holy Communion ) , Penance ( Reconciliation , Confession ) , Confirmation ( priests may administer this sacrament with prior ecclesiastical approval ) , and Anointing of the Sick . Only bishops can administer the sacrament of Holy Orders , by which men are ordained as bishops , priests or deacons . </t>
  </si>
  <si>
    <t xml:space="preserve"> Uluru </t>
  </si>
  <si>
    <t>what is the elevation of uluru-kata (in meters) in australia</t>
  </si>
  <si>
    <t xml:space="preserve">   Uluru ( Uluṟu )     Ayers Rock         Aerial view of Uluru     Country   Australia     State   Northern Territory         Elevation   863 m ( 2,831 ft )     Prominence   348 m ( 1,142 ft )     Coordinates   25 ° 20 ′ 42 '' S 131 ° 02 ′ 10 '' E ﻿ / ﻿ 25.34500 ° S 131.03611 ° E ﻿ / - 25.34500 ; 131.03611 Coordinates : 25 ° 20 ′ 42 '' S 131 ° 02 ′ 10 '' E ﻿ / ﻿ 25.34500 ° S 131.03611 ° E ﻿ / - 25.34500 ; 131.03611         Geology   arkose     Orogeny   Petermann         UNESCO World Heritage Site     Name   Uluṟu -- Kata Tjuṯa National Park     Year   1987 ( # 11 )     Number   447     Criteria   v , vi , vii , ix         Location in Australia     Wikimedia Commons : Uluru     Website : www.environment.gov.au/       </t>
  </si>
  <si>
    <t>863 m</t>
  </si>
  <si>
    <t xml:space="preserve"> A Great Day in Harlem ( photograph ) </t>
  </si>
  <si>
    <t>a great day in harlem who is who</t>
  </si>
  <si>
    <t xml:space="preserve">     Red Allen   Buster Bailey   Count Basie   Emmett Berry   Art Blakey   Lawrence Brown   Scoville Browne   Buck Clayton   Bill Crump   Vic Dickenson   Roy Eldridge   Art Farmer       Bud Freeman   Dizzy Gillespie   Tyree Glenn   Benny Golson   Sonny Greer   Johnny Griffin   Gigi Gryce   Coleman Hawkins   J.C. Heard   Jay C. Higginbotham   Milt Hinton   Chubby Jackson       Hilton Jefferson   Osie Johnson   Hank Jones   Jo Jones   Jimmy Jones   Taft Jordan   Max Kaminsky   Gene Krupa   Eddie Locke   Marian McPartland   Charles Mingus   Miff Mole       Thelonious Monk   Gerry Mulligan   Oscar Pettiford   Rudy Powell   Luckey Roberts   Sonny Rollins   Jimmy Rushing   Pee Wee Russell   Sahib Shihab   Horace Silver   Zutty Singleton   Stuff Smith       Rex Stewart   Maxine Sullivan   Joe Thomas   Wilbur Ware   Dickie Wells   George Wettling   Ernie Wilkins   Mary Lou Williams   Lester Young     </t>
  </si>
  <si>
    <t xml:space="preserve"> Knight Rider ( franchise ) </t>
  </si>
  <si>
    <t>how many seasons are there of knight rider</t>
  </si>
  <si>
    <t xml:space="preserve"> The original Knight Rider series followed the adventures of Michael Knight , a modern - day crime fighter who uses a technologically advanced , artificially intelligent automobile . This car is virtually indestructible , due to a high - tech coating applied to it . This series debuted in 1982 and ran for four seasons on NBC . These adventures were continued with the television films Knight Rider 2000 and Knight Rider 2010 and the short - lived Team Knight Rider . One other television movie , Knight Rider , served as a pilot for the 2008 television series Knight Rider . In 1985 , a spin - off series , Code of Vengeance , also premiered . </t>
  </si>
  <si>
    <t xml:space="preserve"> Somebody That I Used to Know </t>
  </si>
  <si>
    <t>who the girl in somebody that i used to know</t>
  </si>
  <si>
    <t xml:space="preserve"> `` Somebody That I Used To Know '' has been performed several times on major US TV shows such as The Voice , American Idol , and Saturday Night Live . It was covered by Canadian indie rock group Walk off the Earth using a single guitar played simultaneously by all five band members and by actors Darren Criss and Matt Bomer in the Glee episode `` Big Brother '' . The hit song 's accompanying music video was directed by Australian artist Natasha Pincus . The video , which has received over 1.1 billion views on YouTube as of August 2018 , premiered on 5 July 2011 . It shows Gotye and Kimbra naked against a white backdrop . While they sing , a pattern of paint gradually covers their skin and the backdrop via stop motion animation . </t>
  </si>
  <si>
    <t>Kimbra</t>
  </si>
  <si>
    <t xml:space="preserve"> United States Declaration of Independence </t>
  </si>
  <si>
    <t>what does the 5th paragraph of the declaration of independence mean</t>
  </si>
  <si>
    <t xml:space="preserve">   Introduction  Asserts as a matter of Natural Law the ability of a people to assume political independence ; acknowledges that the grounds for such independence must be reasonable , and therefore explicable , and ought to be explained .    In CONGRESS , July 4 , 1776 . The unanimous Declaration of the thirteen united States of America ,  When in the Course of human events , it becomes necessary for one people to dissolve the political bands which have connected them with another , and to assume among the powers of the earth , the separate and equal station to which the Laws of Nature and of Nature 's God entitle them , a decent respect to the opinions of mankind requires that they should declare the causes which impel them to the separation .      Preamble  Outlines a general philosophy of government that justifies revolution when government harms natural rights .     We hold these truths to be self - evident , that all men are created equal , that they are endowed by their Creator with certain unalienable Rights , that among these are Life , Liberty and the pursuit of Happiness .   That to secure these rights , Governments are instituted among Men , deriving their just powers from the consent of the governed , That whenever any Form of Government becomes destructive of these ends , it is the Right of the People to alter or to abolish it , and to institute new Government , laying its foundation on such principles and organizing its powers in such form , as to them shall seem most likely to effect their Safety and Happiness . Prudence , indeed , will dictate that Governments long established should not be changed for light and transient causes ; and accordingly all experience hath shewn , that mankind are more disposed to suffer , while evils are sufferable , than to right themselves by abolishing the forms to which they are accustomed . But when a long train of abuses and usurpations , pursuing invariably the same Object evinces a design to reduce them under absolute Despotism , it is their right , it is their duty , to throw off such Government , and to provide new Guards for their future security .      Indictment  A bill of particulars documenting the king 's `` repeated injuries and usurpations '' of the Americans ' rights and liberties .     Such has been the patient sufferance of these Colonies ; and such is now the necessity which constrains them to alter their former Systems of Government . The history of the present King of Great Britain is a history of repeated injuries and usurpations , all having in direct object the establishment of an absolute Tyranny over these States . To prove this , let Facts be submitted to a candid world .   He has refused his Assent to Laws , the most wholesome and necessary for the public good .   He has forbidden his Governors to pass Laws of immediate and pressing importance , unless suspended in their operation till his Assent should be obtained ; and when so suspended , he has utterly neglected to attend to them .   He has refused to pass other Laws for the accommodation of large districts of people , unless those people would relinquish the right of Representation in the Legislature , a right inestimable to them and formidable to tyrants only .   He has called together legislative bodies at places unusual , uncomfortable , and distant from the depository of their Public Records , for the sole purpose of fatiguing them into compliance with his measures .   He has dissolved Representative Houses repeatedly , for opposing with manly firmness of his invasions on the rights of the people .   He has refused for a long time , after such dissolutions , to cause others to be elected , whereby the Legislative Powers , incapable of Annihilation , have returned to the People at large for their exercise ; the State remaining in the mean time exposed to all the dangers of invasion from without , and convulsions within .   He has endeavoured to prevent the population of these States ; for that purpose obstructing the Laws for Naturalization of Foreigners ; refusing to pass others to encourage their migrations hither , and raising the conditions of new Appropriations of Lands .   He has obstructed the Administration of Justice by refusing his Assent to Laws for establishing Judiciary Powers .   He has made Judges dependent on his Will alone for the tenure of their offices , and the amount and payment of their salaries .   He has erected a multitude of New Offices , and sent hither swarms of Officers to harass our people and eat out their substance .   He has kept among us , in times of peace , Standing Armies without the Consent of our legislatures .   He has affected to render the Military independent of and superior to the Civil Power .   He has combined with others to subject us to a jurisdiction foreign to our constitution , and unacknowledged by our laws ; giving his Assent to their Acts of pretended Legislation :   For quartering large bodies of armed troops among us :   For protecting them , by a mock Trial from punishment for any Murders which they should commit on the Inhabitants of these States :   For cutting off our Trade with all parts of the world :   For imposing Taxes on us without our Consent :   For depriving us in many cases , of the benefit of Trial by Jury :   For transporting us beyond Seas to be tried for pretended offences :   For abolishing the free System of English Laws in a neighbouring Province , establishing therein an Arbitrary government , and enlarging its Boundaries so as to render it at once an example and fit instrument for introducing the same absolute rule into these Colonies   For taking away our Charters , abolishing our most valuable Laws and altering fundamentally the Forms of our Governments :   For suspending our own Legislatures , and declaring themselves invested with power to legislate for us in all cases whatsoever .   He has abdicated Government here , by declaring us out of his Protection and waging War against us .   He has plundered our seas , ravaged our coasts , burnt our towns , and destroyed the lives of our people .   He is at this time transporting large Armies of foreign Mercenaries to compleat the works of death , desolation , and tyranny , already begun with circumstances of Cruelty &amp; Perfidy scarcely paralleled in the most barbarous ages , and totally unworthy the Head of a civilized nation .   He has constrained our fellow Citizens taken Captive on the high Seas to bear Arms against their Country , to become the executioners of their friends and Brethren , or to fall themselves by their Hands .   He has excited domestic insurrections amongst us , and has endeavoured to bring on the inhabitants of our frontiers , the merciless Indian Savages whose known rule of warfare , is an undistinguished destruction of all ages , sexes and conditions .   In every stage of these Oppressions We have Petitioned for Redress in the most humble terms : Our repeated Petitions have been answered only by repeated injury . A Prince , whose character is thus marked by every act which may define a Tyrant , is unfit to be the ruler of a free people .      Denunciation  This section essentially finishes the case for independence . The conditions that justified revolution have been shown .     Nor have We been wanting in attentions to our British brethren . We have warned them from time to time of attempts by their legislature to extend an unwarrantable jurisdiction over us . We have reminded them of the circumstances of our emigration and settlement here . We have appealed to their native justice and magnanimity , and we have conjured them by the ties of our common kindred to disavow these usurpations , which , would inevitably interrupt our connections and correspondence . They too have been deaf to the voice of justice and of consanguinity . We must , therefore , acquiesce in the necessity , which denounces our Separation , and hold them , as we hold the rest of mankind , Enemies in War , in Peace Friends .      Conclusion  The signers assert that there exist conditions under which people must change their government , that the British have produced such conditions and , by necessity , the colonies must throw off political ties with the British Crown and become independent states . The conclusion contains , at its core , the Lee Resolution that had been passed on July 2 .     We , therefore , the Representatives of the united States of America , in General Congress , Assembled , appealing to the Supreme Judge of the world for the rectitude of our intentions , do , in the Name , and by Authority of the good People of these Colonies , solemnly publish and declare , That these united Colonies are , and of Right ought to be Free and Independent States ; that they are Absolved from all Allegiance to the British Crown , and that all political connection between them and the State of Great Britain , is and ought to be totally dissolved ; and that as Free and Independent States , they have full Power to levy War , conclude Peace , contract Alliances , establish Commerce , and to do all other Acts and Things which Independent States may of right do . And for the support of this Declaration , with a firm reliance on the protection of divine Providence , we mutually pledge to each other our Lives , our Fortunes and our sacred Honor .      Signatures  The first and most famous signature on the engrossed copy was that of John Hancock , President of the Continental Congress . Two future presidents ( Thomas Jefferson and John Adams ) and a father and great - grandfather of two other presidents ( Benjamin Harrison ) were among the signatories . Edward Rutledge ( age 26 ) was the youngest signer , and Benjamin Franklin ( age 70 ) was the oldest signer . The fifty - six signers of the Declaration represented the new states as follows ( from north to south ) :      New Hampshire : Josiah Bartlett , William Whipple , Matthew Thornton   Massachusetts : Samuel Adams , John Adams , John Hancock , Robert Treat Paine , Elbridge Gerry   Rhode Island : Stephen Hopkins , William Ellery   Connecticut : Roger Sherman , Samuel Huntington , William Williams , Oliver Wolcott   New York : William Floyd , Philip Livingston , Francis Lewis , Lewis Morris   New Jersey : Richard Stockton , John Witherspoon , Francis Hopkinson , John Hart , Abraham Clark   Pennsylvania : Robert Morris , Benjamin Rush , Benjamin Franklin , John Morton , George Clymer , James Smith , George Taylor , James Wilson , George Ross   Delaware : George Read , Caesar Rodney , Thomas McKean   Maryland : Samuel Chase , William Paca , Thomas Stone , Charles Carroll of Carrollton   Virginia : George Wythe , Richard Henry Lee , Thomas Jefferson , Benjamin Harrison , Thomas Nelson Jr. , Francis Lightfoot Lee , Carter Braxton   North Carolina : William Hooper , Joseph Hewes , John Penn   South Carolina : Edward Rutledge , Thomas Heyward Jr. , Thomas Lynch Jr. , Arthur Middleton   Georgia : Button Gwinnett , Lyman Hall , George Walton     </t>
  </si>
  <si>
    <t xml:space="preserve"> Scarecrow ( Oz ) </t>
  </si>
  <si>
    <t>when does scarecrow appear in wizard of oz</t>
  </si>
  <si>
    <t xml:space="preserve"> In Baum 's classic 1900 novel The Wonderful Wizard of Oz , the living scarecrow encounters Dorothy Gale in a field in the Munchkin Country while she is on her way to the Emerald City . He tells her about his creation and of how he at first scared away the crows , before an older one realised he was a straw man , causing the other crows to start eating the corn . The old crow then told the Scarecrow of the importance of brains . The `` mindless '' Scarecrow joins Dorothy in the hope that The Wizard will give him a brain . They are later joined by the Tin Woodman and the Cowardly Lion . When the group goes to the West , he kills the Witch 's crows by twisting their necks . He is taken apart by the Flying Monkeys and his clothes thrown up a tree , but when his clothes are filled with straw he is back again . After Dorothy and her friends have completed their mission to kill the Wicked Witch of the West , the Wizard gives the Scarecrow brains ( made out of bran , pins and needles -- in reality a placebo , as he has been the most intelligent of the travelers all along ) . Before he leaves Oz in a balloon , the Wizard appoints the Scarecrow to rule the Emerald City in his stead . He accompanies Dorothy and the others to the palace of the Good Witch of the South Glinda , and she uses the Golden Cap to summon the Winged Monkeys , who take the Scarecrow back to the Emerald City . </t>
  </si>
  <si>
    <t xml:space="preserve"> Jaren Jackson </t>
  </si>
  <si>
    <t>where did jaren jackson senior play college basketball</t>
  </si>
  <si>
    <t xml:space="preserve"> Jaren Jackson Sr. ( born October 27 , 1967 ) is an American professional basketball coach and former professional basketball player . A 6'4 '' ( 1.93 m ) shooting guard born in New Orleans , Louisiana , Jackson played at Georgetown University from 1985 to 1989 and graduated with a bachelor 's degree in finance . He was never drafted into the NBA but played 13 seasons for multiple teams . He is best known for his tenure with the San Antonio Spurs , who he helped win their first NBA championship in 1999 . </t>
  </si>
  <si>
    <t>Georgetown University</t>
  </si>
  <si>
    <t xml:space="preserve"> History of time in the United States </t>
  </si>
  <si>
    <t>when did the us first start using daylight savings time</t>
  </si>
  <si>
    <t xml:space="preserve"> Daylight saving time was established by the Standard Time Act of 1918 . The Act was intended to save electricity for seven months of the year , during World War I. DST was repealed in 1919 over a Presidential veto , but standard time in time zones remained in law , with the Interstate Commerce Commission ( ICC ) having the authority over time zone boundaries . Daylight time became a local matter . </t>
  </si>
  <si>
    <t>1918</t>
  </si>
  <si>
    <t xml:space="preserve"> List of National Basketball Association annual scoring Leaders </t>
  </si>
  <si>
    <t>who led the nba in scoring last year</t>
  </si>
  <si>
    <t xml:space="preserve">   Season   Player   Age   Pos   Team   Games played   Field goals made   3 - point field goals made   Free throws made   Total points   Points per game   Ref     1946 -- 47   Joe Fulks *   25   F / C   Philadelphia Warriors   60   475   --   439   1,389   23.2       1947 -- 48   Max Zaslofsky   22   G / F   Chicago Stags   48   373   --   261   1,007   21.0       1948 -- 49   George Mikan *   24     Minneapolis Lakers   60   583   --   532   1,698   28.3       1949 -- 50   George Mikan * ( 2 )   25     Minneapolis Lakers   68   649   --   567   1,865   27.4       1950 -- 51   George Mikan * ( 3 )   26     Minneapolis Lakers   68   678   --   576   1,932   28.4       1951 -- 52   Paul Arizin *   23   F / G   Philadelphia Warriors   66   548   --   578   1,674   25.4       1952 -- 53   Neil Johnston *   23     Philadelphia Warriors   70   504   --   556   1,564   22.3       1953 -- 54   Neil Johnston * ( 2 )   24     Philadelphia Warriors   72   591   --   577   1,759   24.5       1954 -- 55   Neil Johnston * ( 3 )   25     Philadelphia Warriors   72   521   --   589   1,631   22.7       1955 -- 56   Bob Pettit *   23   F / C   St. Louis Hawks   72   646   --   557   1,849   25.7       1956 -- 57   Paul Arizin * ( 2 )   28   F / G   Philadelphia Warriors   71   613   --   591   1,817   25.6       1957 -- 58   George Yardley *   29   F / G   Detroit Pistons   72   673   --   655   2,001   27.8       1958 -- 59   Bob Pettit * ( 2 )   26   F / C   St. Louis Hawks   72   719   --   667   2,105   29.2       1959 -- 60   Wilt Chamberlain *   23     Philadelphia Warriors   72   1,065   --   577   2,707   37.6       1960 -- 61   Wilt Chamberlain * ( 2 )   24     Philadelphia Warriors   79   1,251   --   531   3,033   38.4       1961 -- 62   Wilt Chamberlain * ( 3 )   25     Philadelphia Warriors   80   1,597   --   835   4,029   50.4       1962 -- 63   Wilt Chamberlain * ( 4 )   26     San Francisco Warriors   80   1,463   --   660   3,586   44.8       1963 -- 64   Wilt Chamberlain * ( 5 )   27     San Francisco Warriors   80   1,204   --   540   2,948   36.9       1964 -- 65   Wilt Chamberlain * ( 6 )   28     San Francisco Warriors Philadelphia 76ers   73   1,063   --   408   2,534   34.7       1965 -- 66   Wilt Chamberlain * ( 7 )   29     Philadelphia 76ers   79   1,074   --   501   2,649   33.5       1966 -- 67   Rick Barry *   22     San Francisco Warriors   78   1,011   --   753   2,775   35.6       1967 -- 68   Dave Bing *   24     Detroit Pistons   79   835   --   472   2,142   27.1       1968 -- 69   Elvin Hayes *   23   F / C   San Diego Rockets   82   930   --   467   2,327   28.4       1969 -- 70   Jerry West *   31     Los Angeles Lakers   74   831   --   647   2,309   31.2       1970 -- 71   Lew Alcindor *   23     Milwaukee Bucks   82   1,063   --   470   2,596   31.7       1971 -- 72   Kareem Abdul - Jabbar * ( 2 )   24     Milwaukee Bucks   81   1,159   --   504   2,822   34.8       1972 -- 73   Nate Archibald *   24     Kansas City - Omaha Kings   80   1,028   --   663   2,719   34.0       1973 -- 74   Bob McAdoo *   22   C / F   Buffalo Braves   74   901   --   459   2,261   30.6       1974 -- 75   Bob McAdoo * ( 2 )   23   C / F   Buffalo Braves   82   1,095   --   641   2,831   34.5       1975 -- 76   Bob McAdoo * ( 3 )   24   C / F   Buffalo Braves   78   934   --   559   2,427   31.1       1976 -- 77   Pete Maravich *   29     New Orleans Jazz   73   886   --   501   2,273   31.1       1977 -- 78   George Gervin *   25   G / F   San Antonio Spurs   82   864   --   504   2,232   27.2       1978 -- 79   George Gervin * ( 2 )   26   G / F   San Antonio Spurs   80   947   --   471   2,365   29.6       1979 -- 80   George Gervin * ( 3 )   27   G / F   San Antonio Spurs   78   1,024   32   505   2,585   33.1       1980 -- 81   Adrian Dantley *   24   F / G   Utah Jazz   80   909     632   2,452   30.7       1981 -- 82   George Gervin * ( 4 )   29   G / F   San Antonio Spurs   79   993   10   555   2,551   32.3       1982 -- 83   Alex English *   29     Denver Nuggets   82   959     406   2,326   28.4       1983 -- 84   Adrian Dantley * ( 2 )   27   F / G   Utah Jazz   79   802     813   2,418   30.6       1984 -- 85   Bernard King *   28     New York Knicks   55   691     426   1,809   32.9       1985 -- 86   Dominique Wilkins *   26     Atlanta Hawks   78   888   13   577   2,366   30.3       1986 -- 87   Michael Jordan *   23     Chicago Bulls   82   1,098   12   833   3,041   37.1       1987 -- 88   Michael Jordan * ( 2 )   24     Chicago Bulls   82   1,069   7   723   2,868   35.0       1988 -- 89   Michael Jordan * ( 3 )   25     Chicago Bulls   81   966   27   674   2,633   32.5       1989 -- 90   Michael Jordan * ( 4 )   26     Chicago Bulls   82   1,034   92   593   2,753   33.6       1990 -- 91   Michael Jordan * ( 5 )   27     Chicago Bulls   82   990   29   571   2,580   31.5       1991 -- 92   Michael Jordan * ( 6 )   28     Chicago Bulls   80   943   27   491   2,404   30.1       1992 -- 93   Michael Jordan * ( 7 )   29     Chicago Bulls   78   992   81   476   2,541   32.6       1993 -- 94   David Robinson *   28     San Antonio Spurs   80   840   10   693   2,383   29.8       1994 -- 95   Shaquille O'Neal *   22     Orlando Magic   79   930   0   455   2,315   29.3       1995 -- 96   Michael Jordan * ( 8 )   32     Chicago Bulls   82   916   111   548   2,491   30.4       1996 -- 97   Michael Jordan * ( 9 )   33     Chicago Bulls   82   920   111   480   2,431   29.6       1997 -- 98   Michael Jordan * ( 10 )   34     Chicago Bulls   82   881   30   565   2,357   28.7       1998 -- 99   Allen Iverson *   23     Philadelphia 76ers   48   435   58   356   1,284   26.8       1999 -- 00   Shaquille O'Neal * ( 2 )   27     Los Angeles Lakers   79   956   0   432   2,344   29.7       2000 -- 01   Allen Iverson * ( 2 )   25     Philadelphia 76ers   71   762   98   585   2,207   31.1       2001 -- 02   Allen Iverson * ( 3 )   26     Philadelphia 76ers   60   665   78   475   1,883   31.4       2002 -- 03   Tracy McGrady *   23   G / F   Orlando Magic   75   829   173   576   2,407   32.1       2003 -- 04   Tracy McGrady * ( 2 )   24   G / F   Orlando Magic   67   653   174   398   1,878   28.0       2004 -- 05   Allen Iverson * ( 4 )   29     Philadelphia 76ers   75   771   104   656   2,302   30.7       2005 -- 06   Kobe Bryant   27     Los Angeles Lakers   80   978   180   696   2,832   35.4       2006 -- 07   Kobe Bryant ( 2 )   28     Los Angeles Lakers   77   813   137   667   2,430   31.6       2007 -- 08   LeBron James ^   23     Cleveland Cavaliers   75   794   113   549   2,250   30.0       2008 -- 09   Dwyane Wade ^   27     Miami Heat   79   854   88   590   2,386   30.2       2009 -- 10   Kevin Durant ^   21     Oklahoma City Thunder   82   794   128   756   2,472   30.1       2010 -- 11   Kevin Durant ^ ( 2 )   22     Oklahoma City Thunder   78   711   145   594   2,161   27.7       2011 -- 12   Kevin Durant ^ ( 3 )   23     Oklahoma City Thunder   66   643   133   431   1,850   28.0       2012 -- 13   Carmelo Anthony ^   28     New York Knicks   67   669   157   425   1,920   28.7       2013 -- 14   Kevin Durant ^ ( 4 )   25     Oklahoma City Thunder   81   849   192   703   2,593   32.0       2014 -- 15   Russell Westbrook ^   26     Oklahoma City Thunder   67   627   86   546   1,886   28.1       2015 -- 16   Stephen Curry ^   28     Golden State Warriors   79   805   402   363   2,375   30.1       2016 -- 17   Russell Westbrook ^ ( 2 )   28     Oklahoma City Thunder   81   824   200   710   2,558   31.6       2017 -- 18   James Harden   28     Houston Rockets   72   651   265   624   2,191   30.4     </t>
  </si>
  <si>
    <t>James Harden</t>
  </si>
  <si>
    <t xml:space="preserve"> Crimean war </t>
  </si>
  <si>
    <t>what countries were involved in the crimean war what were the causes of the war</t>
  </si>
  <si>
    <t xml:space="preserve"> The Crimean War ( French : Guerre de Crimée ; Russian : Кры́мская война́ , translit . Krymskaya voina or Russian : Восто́чная война́ , translit . Vostochnaya voina , lit . ' Eastern War ' ; Turkish : Kırım Savaşı ; Italian : Guerra di Crimea ) was a military conflict fought from October 1853 to February 1856 in which the Russian Empire lost to an alliance of the Ottoman Empire , France , Britain and Sardinia . The immediate cause involved the rights of Christian minorities in the Holy Land , which was a part of the Ottoman Empire . The French promoted the rights of Roman Catholics , while Russia promoted those of the Eastern Orthodox Church . The longer - term causes involved the decline of the Ottoman Empire and the unwillingness of Britain and France to allow Russia to gain territory and power at Ottoman expense . It has widely been noted that the causes , in one case involving an argument over a key , have never revealed a `` greater confusion of purpose '' , yet led to a war noted for its `` notoriously incompetent international butchery '' . </t>
  </si>
  <si>
    <t xml:space="preserve"> Cross ( surname ) </t>
  </si>
  <si>
    <t>where does the last name cross come from</t>
  </si>
  <si>
    <t xml:space="preserve"> Cross is an English topographic surname for someone who lived on a road near a stone cross . </t>
  </si>
  <si>
    <t xml:space="preserve"> 2017 FIFA U-17 World Cup </t>
  </si>
  <si>
    <t>which country's team has won the 2017 fifa under 17 worldcup</t>
  </si>
  <si>
    <t xml:space="preserve"> 2017 FIFA U-17 World Cup   २०१७ फीफा अंडर - १७ विश्व कप         Tournament details     Host country   India     Dates   6 -- 28 October     Teams   24 ( from 6 confederations )     Venue ( s )   6 ( in 6 host cities )     Final positions     Champions   England ( 1st title )     Runners - up   Spain     Third place   Brazil     Fourth place   Mali     Tournament statistics     Matches played   52     Goals scored   183 ( 3.52 per match )     Attendance   1,347,133 ( 25,906 per match )     Top scorer ( s )   Rhian Brewster ( 8 goals )     Best player   Phil Foden     Best goalkeeper   Gabriel Brazão     Fair play award   Brazil     ← 2015 2019 →   </t>
  </si>
  <si>
    <t>England</t>
  </si>
  <si>
    <t>when is season 4 of the flash coming</t>
  </si>
  <si>
    <t xml:space="preserve"> The fourth season began airing on October 10 , 2017 , on The CW . </t>
  </si>
  <si>
    <t>October 10 , 2017</t>
  </si>
  <si>
    <t xml:space="preserve"> Chief technology officer </t>
  </si>
  <si>
    <t>role of a cto in an it company</t>
  </si>
  <si>
    <t xml:space="preserve"> A chief technology officer ( CTO ) , sometimes known as a chief technical officer , is an executive - level position in a company or other entity whose occupation is focused on scientific and technological issues within an organization . </t>
  </si>
  <si>
    <t>an executive - level position in a company or other entity whose occupation is focused on scientific and technological issues within an organization</t>
  </si>
  <si>
    <t xml:space="preserve"> Consumer ( food chain ) </t>
  </si>
  <si>
    <t>who are the consumers in a food chain</t>
  </si>
  <si>
    <t xml:space="preserve"> Consumers are organisms that eat organisms from a different population . These organisms are formally referred to as heterotrophs , which include animals , some bacteria and fungi . Such organisms may consume by various means , including predation , parasitization , and biodegradation . </t>
  </si>
  <si>
    <t>organisms that eat organisms from a different population</t>
  </si>
  <si>
    <t xml:space="preserve"> Space Race </t>
  </si>
  <si>
    <t>who were the two superpowers during the cold war space race</t>
  </si>
  <si>
    <t xml:space="preserve"> The Space Race refers to the 20th - century competition between two Cold War rivals , the Soviet Union ( USSR ) and the United States ( US ) , for dominance in spaceflight capability . It had its origins in the missile - based nuclear arms race between the two nations that occurred following World War II , aided by captured German missile technology and personnel from the Aggregat program . The technological superiority required for such dominance was seen as necessary for national security , and symbolic of ideological superiority . The Space Race spawned pioneering efforts to launch artificial satellites , uncrewed space probes of the Moon , Venus , and Mars , and human spaceflight in low Earth orbit and to the Moon . </t>
  </si>
  <si>
    <t>the Soviet Union ( USSR )</t>
  </si>
  <si>
    <t xml:space="preserve"> Gone for a Burton </t>
  </si>
  <si>
    <t>where does the saying gone for a burton come from</t>
  </si>
  <si>
    <t xml:space="preserve"> Gone for a Burton is a British English expression meaning to be missing or to die . The term was popularised by the RAF around the time of World War II . It migrated to the USA quickly and in June 1943 a story titled Husky Goes Down for a Burton appeared in Boys ' Life , the magazine of the Boy Scouts of America . The etymology is disputed . </t>
  </si>
  <si>
    <t xml:space="preserve"> Ai n't </t>
  </si>
  <si>
    <t>when did they add ain't to the dictionary</t>
  </si>
  <si>
    <t xml:space="preserve"> Webster 's Third New International Dictionary , published in 1961 , went against then - standard practice when it included the following usage note in its entry on ai n't : `` though disapproved by many and more common in less educated speech , used orally in most parts of the U.S. by many cultivated speakers esp. in the phrase ai n't I . '' Many commentators disapproved of the dictionary 's relatively permissive attitude toward the word , which was inspired , in part , by the belief of its editor , Philip Gove , that `` distinctions of usage were elitist and artificial '' . </t>
  </si>
  <si>
    <t xml:space="preserve"> Sing ( 2016 American film ) </t>
  </si>
  <si>
    <t>who played the koala in the movie sing</t>
  </si>
  <si>
    <t xml:space="preserve"> Matthew McConaughey as Buster Moon , an optimistic koala who plans to save his theater from closure by holding a singing competition . </t>
  </si>
  <si>
    <t>Matthew McConaughey</t>
  </si>
  <si>
    <t xml:space="preserve"> Thalamus </t>
  </si>
  <si>
    <t>where is the thalmus located in the brain</t>
  </si>
  <si>
    <t xml:space="preserve"> The thalamus ( from Greek θάλαμος , `` chamber '' ) is the large mass of gray matter in the dorsal part of the diencephalon of the brain with several functions such as relaying of sensory signals , including motor signals , to the cerebral cortex , and the regulation of consciousness , sleep , and alertness . </t>
  </si>
  <si>
    <t>dorsal part of the diencephalon</t>
  </si>
  <si>
    <t xml:space="preserve"> 1967 -- 68 Football League </t>
  </si>
  <si>
    <t>who won the football league championship in 1968</t>
  </si>
  <si>
    <t xml:space="preserve"> The Football League   Season   1967 -- 68     Champions   Manchester City     ← 1966 -- 67 1968 -- 69 →   </t>
  </si>
  <si>
    <t>Manchester City</t>
  </si>
  <si>
    <t xml:space="preserve"> History of Texas ( 1845 -- 1860 ) </t>
  </si>
  <si>
    <t>just before texas became a us state in 1845 texas was</t>
  </si>
  <si>
    <t xml:space="preserve"> In 1845 , the Republic of Texas was annexed to the United States of America , becoming the 28th U.S. state . Border disputes between the new state and Mexico , which had never recognized Texas independence and still considered the area a renegade Mexican state , led to the Mexican -- American War ( 1846 -- 1848 ) . When the war concluded , Mexico relinquished its claim on Texas , as well as other regions in what is now the southwestern United States . Texas ' annexation as a state that tolerated slavery had caused tension in the United States among slave states and those that did not allow slavery . The tension was partially defused with the Compromise of 1850 , in which Texas ceded some of its territory to the federal government to become non-slave - owning areas but gained El Paso . </t>
  </si>
  <si>
    <t>annexed to the United States of America</t>
  </si>
  <si>
    <t xml:space="preserve"> A Song of Ice and Fire </t>
  </si>
  <si>
    <t>which is the last game of thrones book</t>
  </si>
  <si>
    <t xml:space="preserve"> A Song of Ice and Fire is a series of epic fantasy novels by the American novelist and screenwriter George R.R. Martin . He began the first volume of the series , A Game of Thrones , in 1991 and had it published in 1996 . Martin , who initially envisioned the series as a trilogy , has published five out of a planned seven volumes . The fifth and most recent volume of the series published in 2011 , A Dance with Dragons , took Martin six years to write . He is still writing the sixth novel , The Winds of Winter . </t>
  </si>
  <si>
    <t>A Song of Ice and Fire</t>
  </si>
  <si>
    <t xml:space="preserve"> List of presidents of the United States by age </t>
  </si>
  <si>
    <t>who is the youngest elected president of usa</t>
  </si>
  <si>
    <t xml:space="preserve"> The median age at accession to the presidency is roughly 55 years and 6 months , which is about how old Benjamin Harrison was at the time of his inauguration . The youngest person to assume the office was Theodore Roosevelt , who became president following William McKinley 's assassination , at the age of 7004156620000000000 ♠ 42 years , 322 days . The youngest person elected president was John F. Kennedy , who was inaugurated into office at the age of 7004159420000000000 ♠ 43 years , 236 days . Assassinated three years into his term , he became the youngest at the time of leaving office ( 7004169780000000000 ♠ 46 years , 177 days ) ; the youngest person at the time of leaving office after serving a full four - year term was Theodore Roosevelt ( 7004183900000000000 ♠ 50 years , 128 days ) . The oldest person at the time of entering office was Donald Trump , at the age of 7004257880000000000 ♠ 70 years , 220 days ; Ronald Reagan was the oldest person in office , at the age of 7004284730000000000 ♠ 77 years , 349 days when his presidency ended in January 1989 . </t>
  </si>
  <si>
    <t>John F. Kennedy</t>
  </si>
  <si>
    <t>names of super gurus of super dancer 2</t>
  </si>
  <si>
    <t xml:space="preserve">   Contestant   From   Choreographer   Notes     Bishal Sharma   Jorhat , Assam   Vaibhav Ghuge   Winner     Vaishnavi Prajapati   Panipat , Haryana   Manan Sachdeva   Finalist Power card entry on 26 November 2017     Ritik Diwaker   Kanpur , Uttar Pradesh   Pratik Utekar   Finalist     Akash Thapa   Dehradun , Uttarakhand   Vivek Chachere   Finalist     Shagun Singh   Bhilai , Chhattisgarh   Aishwarya Radhakrishnan   Eliminated on 18 March 2018     Akash Mitra   Patna , Bihar   Rishikaysh Jogadaand   Power card entrant ( Eliminated on February 2018 )     Muskan Sharma   Indore , Madhya Pradesh   Paul Marshal   Eliminated on 11 February 2018     Mishti Sinha   Ahmednagar , Maharashtra   Omkar Shinde  Palden Lama Mawroh    Left the show due to injury on 26 January 2018  Power card entry on 26 November 2017   Eliminated on 12 November 2017      Arushi Saxena   Ludhiana , Punjab   Nishant Bhat   Eliminated on 14 January 2018     Vivek Jogdande   Aurangabad , Maharashtra   Ruel Dausan Varindani   Eliminated on 19 November 2017     Jyoti Ranjan Sahu   Bhubaneswar , Odisha   Anuradha Iyengar   Eliminated on 19 November 2017     Abir Rahman   Kolkata , West Bengal   Sonali Kar   Eliminated on 12 November 2017     Kunal Jyoti Rabha   Guwahati , Assam   Palden Lama Mawroh   Eliminated on 29 October 2017     Chandresh Delwar   Indore , Madhya Pradesh   Khushboo Gupta   Eliminated on 29 October 2017   </t>
  </si>
  <si>
    <t xml:space="preserve"> The Stand ( miniseries ) </t>
  </si>
  <si>
    <t>who did rob lowe play in the stand</t>
  </si>
  <si>
    <t xml:space="preserve"> The townspeople are taken to a CDC facility in Vermont . All but Stu succumb to the superflu , which kills 99.4 % of the world 's population in two weeks . The scattered survivors include would - be rock star Larry Underwood ( Adam Storke ) ; deaf mute Nick Andros ( Rob Lowe ) ; Frannie Goldsmith ( Molly Ringwald ) and her unborn child from Jesse , her boyfriend prior to the plague ; her teenaged neighbor Harold Lauder ( Corin Nemec ) ; imprisoned criminal Lloyd Henreid ( Miguel Ferrer ) ; and `` Trashcan Man '' ( Matt Frewer ) , a mentally ill arsonist and scavenger . The survivors soon begin having visions , either from kindly Mother Abagail ( Ruby Dee ) or from the demonic Randall Flagg ( Jamey Sheridan ) . The two sets of survivors are instructed in dreams to either travel to Nebraska to meet Abagail , or to Las Vegas to join Flagg . </t>
  </si>
  <si>
    <t>Nick Andros</t>
  </si>
  <si>
    <t xml:space="preserve"> Special district ( United States ) </t>
  </si>
  <si>
    <t>local governments that provide a single service or a closely related set of services are</t>
  </si>
  <si>
    <t xml:space="preserve"> Special districts ( also known as special service districts , special district governments , limited purpose entities , or special - purpose districts in the United States ) are independent , special - purpose governmental units that exist separately from local governments such as county , municipal , and township governments , with substantial administrative and fiscal independence . They are formed to perform a single function or a set of related functions . The term special district governments as defined by the U.S. Census Bureau excludes school districts . In 2007 , the U.S. had more than 39,000 special district governments . </t>
  </si>
  <si>
    <t>Special districts</t>
  </si>
  <si>
    <t xml:space="preserve"> Rift valley </t>
  </si>
  <si>
    <t>a rift valley is evidence of which kind of plate boundary</t>
  </si>
  <si>
    <t xml:space="preserve"> A rift valley is a linear - shaped lowland between several highlands or mountain ranges created by the action of a geologic rift or fault . A rift valley is formed on a divergent plate boundary , a crustal extension , a spreading apart of the surface , which is subsequently further deepened by the forces of erosion . When the tensional forces were strong enough to cause the plate to split apart , a center block dropped between the two blocks at its flanks , forming a graben . The drop of the center creates the nearly parallel steeply dipping walls of a rift valley when it is new . That feature is the beginning of the rift valley , but as the process continues , the valley widens , until it becomes a large basin that fills with sediment from the rift walls and the surrounding area . One of the best known examples of this process is the East African Rift . On Earth , rifts can occur at all elevations , from the sea floor to plateaus and mountain ranges in continental crust or in oceanic crust . They are often associated with a number of adjoining subsidiary or co-extensive valleys , which are typically considered part of the principal rift valley geologically . </t>
  </si>
  <si>
    <t>a divergent plate boundary</t>
  </si>
  <si>
    <t xml:space="preserve"> Merlot </t>
  </si>
  <si>
    <t>where was the merlot wine grape originally grown</t>
  </si>
  <si>
    <t xml:space="preserve"> The earliest recorded mention of Merlot ( under the synonym of Merlau ) was in the notes of a local Bordeaux official who in 1784 labeled wine made from the grape in the Libournais region as one of the area 's best . In 1824 , the word Merlot itself appeared in an article on Médoc wine where it was described that the grape was named after the local black bird ( called merlau in the local variant of Occitan language , mèrle in standard ) who liked eating the ripe grapes on the vine . Other descriptions of the grape from the 19th century called the variety lou seme doù flube ( meaning `` the seedling from the river '' ) with the grape thought to have originated on one of the islands found along the Garonne river . </t>
  </si>
  <si>
    <t>thought to have originated on one of the islands found along the Garonne river</t>
  </si>
  <si>
    <t xml:space="preserve"> Stations of the Cross </t>
  </si>
  <si>
    <t>when is the station of the cross done</t>
  </si>
  <si>
    <t xml:space="preserve"> Commonly , a series of 14 images will be arranged in numbered order along a path and the faithful travel from image to image , in order , stopping at each station to say the selected prayers and reflections . This will be done individually or in a procession most commonly during Lent , especially on Good Friday , in a spirit of reparation for the sufferings and insults that Jesus endured during his passion . </t>
  </si>
  <si>
    <t>most commonly during Lent , especially on Good Friday</t>
  </si>
  <si>
    <t xml:space="preserve"> Wheel of Fortune ( U.S. game show ) </t>
  </si>
  <si>
    <t>which is older jeopardy or wheel of fortune</t>
  </si>
  <si>
    <t xml:space="preserve"> Merv Griffin conceived Wheel of Fortune just as the original version of Jeopardy ! , another show he had created , was ending its 11 - year run on NBC with Art Fleming as its host . Griffin decided to create a Hangman - style game after recalling long car trips as a child , on which he and his sister played Hangman . After he discussed the idea with Merv Griffin Enterprises ' staff , they thought that the idea would work as a game show if it had a `` hook '' . He decided to add a roulette - style wheel because he was always `` drawn to '' such wheels when he saw them in casinos . He and MGE 's then - president Murray Schwartz consulted an executive of Caesars Palace to find out how to build such a wheel . </t>
  </si>
  <si>
    <t>Jeopardy !</t>
  </si>
  <si>
    <t xml:space="preserve"> National Heroes Acre ( Zimbabwe ) </t>
  </si>
  <si>
    <t>names of heroines buried at zimbabwe national heroes acre</t>
  </si>
  <si>
    <t xml:space="preserve">  Cephas Cele   Felix Ngwarati Muchemwa   sabina mugabe   Edgar Tekere   Samuel `` Mayor Urimbo '' Mamutse   dzingai mutumbuka   Lameck Makanda   Daniel Nyamayaro Madzimbamuto   stanford shamu ( solo maimbodei )   Joshua Mqabuko Nyongolo Nkomo   Simon C. Mazorodze   Josiah Magama Tongogara   Sally Hayfron Mugabe   Jason Ziyaphapha Moyo   Alfred Nikita Mangena   Herbert Wiltshire Chitepo   Leopold Takawira   Masotsha Ndlovu   T.M. George Silundika   Johanna `` Mama '' MaFuyana   Major General Charlse Njodzi Dauramanzi   Edson Jonasi Mudadirwa Zvobgo   Julia Tukai Zvobgo   Simon Vengai Muzenda   Lookout Masuku   Herbert Sylvester Masiyiwa Ushewokunze   Moven Mahachi   Ernest R. Kadungure   Sydney Donald Malunga   Joseph Culverwell   General Solomon Rex Nhongo Mutusva - Mujuru   Brig General John Zingoni   Josiah Tungamirai   Brigadier General Gumbo   Zororo Duri   Christopher Machingura Ushewokunze   Sikwili Kohli Moyo   Vitalis Zvinavashe   Chenjerai Hunzvi   Border Gezi   Robson Manyika   Josiah Mushore Chinamano   Swithun Mombeshora   Sabina Mugabe   Maurice Nyagumbo   Bernard Chidzero   Elliot Manyika   David Ishemunyoro Karimanzira   Livingstone Mernard Negidi Muzariri   Brig. Gen. Armstrong Gunda   Misheck `` Makasha '' Chando   Guy Clutton - Brock   John Landa Nkomo   Herbert Mahlaba   Lt. Gen. ( Rtd ) Amoth Chingombe   Edson Ncube   Elias Kanengoni   Nathan Shamuyarira   Kantibhai Gordanbhai   George Lifa ( Maj. Gen )   Cornelius Nhloko   Lieutenant Colonel Harold Chirenda   Mike Karakadzai   Kumbirayi Kangai   Enos Nkala   Solomon Chirume Tawengwa   George Bodzo Nyandoro   Joseph Msika   Witness Mangwende   Gary Settled Tamayi Hlomayi Magadzire   Vivian Mwashita   Victoria Chitepo   Charles Utete   Cephas G. Msipa   Peter Chanetsa   Shuvai Mahofa  </t>
  </si>
  <si>
    <t xml:space="preserve"> King James Version </t>
  </si>
  <si>
    <t>who translated the king james bible to english</t>
  </si>
  <si>
    <t xml:space="preserve"> James gave the translators instructions intended to ensure that the new version would conform to the ecclesiology and reflect the episcopal structure of the Church of England and its belief in an ordained clergy . The translation was done by 47 scholars , all of whom were members of the Church of England . In common with most other translations of the period , the New Testament was translated from Greek , the Old Testament from Hebrew and Aramaic , and the Apocrypha from Greek and Latin . In the Book of Common Prayer ( 1662 ) , the text of the Authorized Version replaced the text of the Great Bible for Epistle and Gospel readings ( but not for the Psalter , which substantially retained Coverdale 's Great Bible version ) and as such was authorised by Act of Parliament . </t>
  </si>
  <si>
    <t>47 scholars , all of whom were members of the Church of England</t>
  </si>
  <si>
    <t xml:space="preserve"> Meant to Be ( Bebe Rexha song ) </t>
  </si>
  <si>
    <t>who sang the song if it's meant to be</t>
  </si>
  <si>
    <t xml:space="preserve"> `` Meant to Be '' is a song recorded by American singer Bebe Rexha featuring vocals from American country music duo Florida Georgia Line , from Rexha 's third extended play ( EP ) All Your Fault : Pt. 2 and debut studio album Expectations . It was released to American contemporary hit radio on October 24 , 2017 , by Warner Bros. Records as the second single from the EP . </t>
  </si>
  <si>
    <t>Bebe Rexha</t>
  </si>
  <si>
    <t xml:space="preserve"> Do n't throw the baby out with the bathwater </t>
  </si>
  <si>
    <t>don't throw the baby out with the bath water origin</t>
  </si>
  <si>
    <t xml:space="preserve"> Some claim the phrase originates from a time when the whole household shared the same bath water . The head of household ( Lord ) would bathe first , followed by the men , then the Lady and the women , then the children , followed lastly by the baby . The water would be so black from dirt that a baby could be accidentally `` tossed out with the bathwater '' . Others state there is no historical evidence that there is any connection with the practice of several family members using the same bath water , the baby being bathed last . </t>
  </si>
  <si>
    <t xml:space="preserve"> Pulling Double Booty </t>
  </si>
  <si>
    <t>american dad jeff breaks up with hayley episode</t>
  </si>
  <si>
    <t xml:space="preserve"> Stan sneaks the cookie dough Francine tells him not to eat and hides it before she finds out . Hayley and Jeff then announce that they are going to the store to buy beads so Jeff could open his own bead store . Hayley says good - bye and `` I love you '' but Stan just says `` OK '' . Francine asks why he ca n't admit he loves Hayley . Stan says he can but only plans to when she is in last moment of incurable cancer so she dies happy . At the CIA , Bullock gives a lecture that body doubles are for work purposes only after Saunders ' double reveals the ruse of him making love with a stewardess while intoxicated . At the mall , Hayley goes on a destructive rampage after Jeff ends their relationship . Stan rushes to the mall and reprimands Jeff , also explaining Hayley goes on a rampage every time a boyfriend breaks up with her . Stan eventually stops her with 19 tranquilizer darts and brings her home . He informs Francine that the police officers will make Hayley go to jail if she goes on another rampage after this . </t>
  </si>
  <si>
    <t xml:space="preserve"> Tigris -- Euphrates river system </t>
  </si>
  <si>
    <t>the area between the tigris and euphrates rivers</t>
  </si>
  <si>
    <t xml:space="preserve"> The ecoregion is characterized by two large rivers , the Tigris and Euphrates . The rivers have several small tributaries which feed into the system from shallow freshwater lakes , swamps , and marshes , all surrounded by desert . The hydrology of these vast marshes is extremely important to the ecology of the entire upper Persian Gulf . Historically , the area is known as Mesopotamia . As part of the larger Fertile Crescent , it saw the earliest emergence of literate urban civilization in the Uruk period , for which reason it is often described as a `` Cradle of Civilization '' . </t>
  </si>
  <si>
    <t>Mesopotamia</t>
  </si>
  <si>
    <t xml:space="preserve"> APA Ethics code </t>
  </si>
  <si>
    <t>the most recent revision of the apa ethics code was published in</t>
  </si>
  <si>
    <t xml:space="preserve"> The first version was published by the APA in 1953 . The need for such a document came after psychologists were taking on more professional and public roles post-World War II . A committee was developed and reviewed situations submitted by psychologists in the field who felt they had encountered ethical dilemmas . The committee organized these situations into themes and included them in the first document which was 170 pages in length . Over the years , a distinction was made between aspirational principles and enforceable standards . Since , there have been nine revisions with the most recent published in 2002 and amended in 2010 . </t>
  </si>
  <si>
    <t>2010</t>
  </si>
  <si>
    <t xml:space="preserve"> An apple a day keeps the doctor away </t>
  </si>
  <si>
    <t>where does an apple a day keeps the doctor away come from</t>
  </si>
  <si>
    <t xml:space="preserve"> First recorded in the 1860s , the proverb originated in Wales , and was particularly prevalent in Pembrokshire . The first English version of the saying was `` Eat an apple on going to bed , and you 'll keep the doctor from earning his bread . '' The current phrasing ( `` An apple a day keeps the doctor away '' ) was first used in print in 1922 . </t>
  </si>
  <si>
    <t>the proverb originated in Wales , and was particularly prevalent in Pembrokshire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</si>
</sst>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73.29"/>
    <col customWidth="1" min="7" max="7" width="94.0"/>
    <col customWidth="1" min="8" max="8" width="8.71"/>
    <col customWidth="1" min="9" max="9" width="548.14"/>
    <col customWidth="1" min="10" max="26" width="8.71"/>
  </cols>
  <sheetData>
    <row r="1">
      <c r="B1" s="1" t="s">
        <v>0</v>
      </c>
      <c r="C1" s="1" t="s">
        <v>1</v>
      </c>
      <c r="D1" s="1" t="s">
        <v>2</v>
      </c>
      <c r="E1" s="1" t="s">
        <v>3</v>
      </c>
      <c r="F1" s="2" t="s">
        <v>4</v>
      </c>
      <c r="G1" s="2" t="s">
        <v>5</v>
      </c>
      <c r="H1" s="2" t="s">
        <v>6</v>
      </c>
      <c r="I1" s="2" t="s">
        <v>7</v>
      </c>
    </row>
    <row r="2">
      <c r="A2" s="1">
        <v>0.0</v>
      </c>
      <c r="B2" s="3" t="s">
        <v>8</v>
      </c>
      <c r="C2" s="3" t="s">
        <v>9</v>
      </c>
      <c r="D2" s="3" t="s">
        <v>10</v>
      </c>
      <c r="E2" s="3" t="s">
        <v>11</v>
      </c>
      <c r="F2" s="3" t="str">
        <f>IFERROR(__xludf.DUMMYFUNCTION("GOOGLETRANSLATE(B2)")," Marketing de email")</f>
        <v> Marketing de email</v>
      </c>
      <c r="G2" s="3" t="str">
        <f>IFERROR(__xludf.DUMMYFUNCTION("GOOGLETRANSLATE(C2)"),"que é o uso mais comum do marketing de e-mail de entrada")</f>
        <v>que é o uso mais comum do marketing de e-mail de entrada</v>
      </c>
      <c r="H2" s="3" t="str">
        <f>IFERROR(__xludf.DUMMYFUNCTION("GOOGLETRANSLATE(D2)")," Um exemplo comum de marketing de permissão é um boletim informativo enviado aos clientes de uma empresa de publicidade. Esses boletins informam os clientes sobre os próximos eventos ou promoções ou novos produtos. Nesse tipo de publicidade, uma empresa q"&amp;"ue deseja enviar um boletim informativo para seus clientes pode pedir a eles no ponto de compra se eles desejarem receber o boletim.")</f>
        <v> Um exemplo comum de marketing de permissão é um boletim informativo enviado aos clientes de uma empresa de publicidade. Esses boletins informam os clientes sobre os próximos eventos ou promoções ou novos produtos. Nesse tipo de publicidade, uma empresa que deseja enviar um boletim informativo para seus clientes pode pedir a eles no ponto de compra se eles desejarem receber o boletim.</v>
      </c>
      <c r="I2" s="3" t="str">
        <f>IFERROR(__xludf.DUMMYFUNCTION("GOOGLETRANSLATE(E2)"),"Um boletim informativo enviado aos clientes de uma empresa de publicidade")</f>
        <v>Um boletim informativo enviado aos clientes de uma empresa de publicidade</v>
      </c>
    </row>
    <row r="3">
      <c r="A3" s="1">
        <v>1.0</v>
      </c>
      <c r="B3" s="3" t="s">
        <v>12</v>
      </c>
      <c r="C3" s="3" t="s">
        <v>13</v>
      </c>
      <c r="D3" s="3" t="s">
        <v>14</v>
      </c>
      <c r="E3" s="3" t="s">
        <v>15</v>
      </c>
      <c r="F3" s="3" t="str">
        <f>IFERROR(__xludf.DUMMYFUNCTION("GOOGLETRANSLATE(B3)")," A mãe (como eu conheci sua mãe)")</f>
        <v> A mãe (como eu conheci sua mãe)</v>
      </c>
      <c r="G3" s="3" t="str">
        <f>IFERROR(__xludf.DUMMYFUNCTION("GOOGLETRANSLATE(C3)"),"Como eu sou sua mãe que é a mãe")</f>
        <v>Como eu sou sua mãe que é a mãe</v>
      </c>
      <c r="H3" s="3" t="str">
        <f>IFERROR(__xludf.DUMMYFUNCTION("GOOGLETRANSLATE(D3)")," Tracy McConnell, mais conhecida como `` The Mother '', é o personagem -título da comédia da CBS Television How I Met Your Mother. O show, narrado pelo futuro Ted, conta a história de como Ted Mosby conheceu a mãe. Tracy McConnell aparece em 8 episódios d"&amp;"e `` Lucky Penny '' a `` The Time Travelers '' como um personagem invisível; Ela foi vista totalmente em `` algo novo '' e foi promovida a um personagem principal na 9ª temporada. A mãe é interpretada por Cristin Milioti.")</f>
        <v> Tracy McConnell, mais conhecida como `` The Mother '', é o personagem -título da comédia da CBS Television How I Met Your Mother. O show, narrado pelo futuro Ted, conta a história de como Ted Mosby conheceu a mãe. Tracy McConnell aparece em 8 episódios de `` Lucky Penny '' a `` The Time Travelers '' como um personagem invisível; Ela foi vista totalmente em `` algo novo '' e foi promovida a um personagem principal na 9ª temporada. A mãe é interpretada por Cristin Milioti.</v>
      </c>
      <c r="I3" s="3" t="str">
        <f>IFERROR(__xludf.DUMMYFUNCTION("GOOGLETRANSLATE(E3)"),"Tracy McConnell")</f>
        <v>Tracy McConnell</v>
      </c>
    </row>
    <row r="4">
      <c r="A4" s="1">
        <v>2.0</v>
      </c>
      <c r="B4" s="3" t="s">
        <v>16</v>
      </c>
      <c r="C4" s="3" t="s">
        <v>17</v>
      </c>
      <c r="D4" s="3" t="s">
        <v>18</v>
      </c>
      <c r="F4" s="3" t="str">
        <f>IFERROR(__xludf.DUMMYFUNCTION("GOOGLETRANSLATE(B4)")," Fertilização humana")</f>
        <v> Fertilização humana</v>
      </c>
      <c r="G4" s="3" t="str">
        <f>IFERROR(__xludf.DUMMYFUNCTION("GOOGLETRANSLATE(C4)"),"Que tipo de fertilização ocorre em humanos")</f>
        <v>Que tipo de fertilização ocorre em humanos</v>
      </c>
      <c r="H4" s="3" t="str">
        <f>IFERROR(__xludf.DUMMYFUNCTION("GOOGLETRANSLATE(D4)")," O processo de fertilização envolve um esperma que se fundem com um óvulo. A sequência mais comum começa com a ejaculação durante a cópula, segue com ovulação e acaba com fertilização. Várias exceções a essa sequência são possíveis, incluindo inseminação "&amp;"artificial, fertilização in vitro, ejaculação externa sem cópula ou cópula logo após a ovulação. Ao encontrar o oócito secundário, o acrossoma dos espermatozóides produz enzimas que permitem se enterrar através do casaco de geléia externa do ovo. O plasma"&amp;" de esperma então funde com a membrana plasmática do ovo, a cabeça do esperma se desconecta de seu flagelo e o ovo viaja pelo tubo de Falópio para chegar ao útero.")</f>
        <v> O processo de fertilização envolve um esperma que se fundem com um óvulo. A sequência mais comum começa com a ejaculação durante a cópula, segue com ovulação e acaba com fertilização. Várias exceções a essa sequência são possíveis, incluindo inseminação artificial, fertilização in vitro, ejaculação externa sem cópula ou cópula logo após a ovulação. Ao encontrar o oócito secundário, o acrossoma dos espermatozóides produz enzimas que permitem se enterrar através do casaco de geléia externa do ovo. O plasma de esperma então funde com a membrana plasmática do ovo, a cabeça do esperma se desconecta de seu flagelo e o ovo viaja pelo tubo de Falópio para chegar ao útero.</v>
      </c>
      <c r="I4" s="3" t="str">
        <f>IFERROR(__xludf.DUMMYFUNCTION("GOOGLETRANSLATE(E4)"),"#VALUE!")</f>
        <v>#VALUE!</v>
      </c>
    </row>
    <row r="5">
      <c r="A5" s="1">
        <v>3.0</v>
      </c>
      <c r="B5" s="3" t="s">
        <v>19</v>
      </c>
      <c r="C5" s="3" t="s">
        <v>20</v>
      </c>
      <c r="D5" s="3" t="s">
        <v>21</v>
      </c>
      <c r="F5" s="3" t="str">
        <f>IFERROR(__xludf.DUMMYFUNCTION("GOOGLETRANSLATE(B5)")," Lista de líderes de quarterback da carreira da Liga Nacional de Futebol")</f>
        <v> Lista de líderes de quarterback da carreira da Liga Nacional de Futebol</v>
      </c>
      <c r="G5" s="3" t="str">
        <f>IFERROR(__xludf.DUMMYFUNCTION("GOOGLETRANSLATE(C5)"),"quem teve mais vitórias na NFL")</f>
        <v>quem teve mais vitórias na NFL</v>
      </c>
      <c r="H5" s="3" t="str">
        <f>IFERROR(__xludf.DUMMYFUNCTION("GOOGLETRANSLATE(D5)")," O quarterback ativo Tom Brady detém os recordes da maioria das vitórias com 220, a maioria das vitórias regulares da temporada com 195 e a maioria das vitórias na pós -temporada com 25, na semana 16 da temporada da NFL de 2017. Tendo jogado toda a sua ca"&amp;"rreira no New England Patriots, cada um dos registros de vitória de Brady também se aplica a vitórias com uma única equipe.")</f>
        <v> O quarterback ativo Tom Brady detém os recordes da maioria das vitórias com 220, a maioria das vitórias regulares da temporada com 195 e a maioria das vitórias na pós -temporada com 25, na semana 16 da temporada da NFL de 2017. Tendo jogado toda a sua carreira no New England Patriots, cada um dos registros de vitória de Brady também se aplica a vitórias com uma única equipe.</v>
      </c>
      <c r="I5" s="3" t="str">
        <f>IFERROR(__xludf.DUMMYFUNCTION("GOOGLETRANSLATE(E5)"),"#VALUE!")</f>
        <v>#VALUE!</v>
      </c>
    </row>
    <row r="6">
      <c r="A6" s="1">
        <v>4.0</v>
      </c>
      <c r="B6" s="3" t="s">
        <v>22</v>
      </c>
      <c r="C6" s="3" t="s">
        <v>23</v>
      </c>
      <c r="D6" s="3" t="s">
        <v>24</v>
      </c>
      <c r="E6" s="3" t="s">
        <v>25</v>
      </c>
      <c r="F6" s="3" t="str">
        <f>IFERROR(__xludf.DUMMYFUNCTION("GOOGLETRANSLATE(B6)")," Pom Clementieff")</f>
        <v> Pom Clementieff</v>
      </c>
      <c r="G6" s="3" t="str">
        <f>IFERROR(__xludf.DUMMYFUNCTION("GOOGLETRANSLATE(C6)"),"que interpretou o Mantis Guardians da Galáxia 2")</f>
        <v>que interpretou o Mantis Guardians da Galáxia 2</v>
      </c>
      <c r="H6" s="3" t="str">
        <f>IFERROR(__xludf.DUMMYFUNCTION("GOOGLETRANSLATE(D6)")," Pom Klementieff (nascido em 3 de maio de 1986) é uma atriz francesa. Ela foi treinada na Cours Florent Drama School, em Paris, e apareceu em filmes como Loup (2009), Sleepless Night (2011) e Game de Hacker (2015). Ela interpreta o papel de Mantis no film"&amp;"e Guardiões da Galáxia Vol. 2 (2017) e aparecerá no mesmo papel no filme Vingadores: Guerra do Infinito (2018).")</f>
        <v> Pom Klementieff (nascido em 3 de maio de 1986) é uma atriz francesa. Ela foi treinada na Cours Florent Drama School, em Paris, e apareceu em filmes como Loup (2009), Sleepless Night (2011) e Game de Hacker (2015). Ela interpreta o papel de Mantis no filme Guardiões da Galáxia Vol. 2 (2017) e aparecerá no mesmo papel no filme Vingadores: Guerra do Infinito (2018).</v>
      </c>
      <c r="I6" s="3" t="str">
        <f>IFERROR(__xludf.DUMMYFUNCTION("GOOGLETRANSLATE(E6)"),"Pom Clementieff")</f>
        <v>Pom Clementieff</v>
      </c>
    </row>
    <row r="7">
      <c r="A7" s="1">
        <v>5.0</v>
      </c>
      <c r="B7" s="3" t="s">
        <v>26</v>
      </c>
      <c r="C7" s="3" t="s">
        <v>27</v>
      </c>
      <c r="D7" s="3" t="s">
        <v>28</v>
      </c>
      <c r="F7" s="3" t="str">
        <f>IFERROR(__xludf.DUMMYFUNCTION("GOOGLETRANSLATE(B7)")," História dos Acadianos")</f>
        <v> História dos Acadianos</v>
      </c>
      <c r="G7" s="3" t="str">
        <f>IFERROR(__xludf.DUMMYFUNCTION("GOOGLETRANSLATE(C7)"),"Que tribo indiana os acadianos formaram amizades e alianças com")</f>
        <v>Que tribo indiana os acadianos formaram amizades e alianças com</v>
      </c>
      <c r="H7" s="3" t="str">
        <f>IFERROR(__xludf.DUMMYFUNCTION("GOOGLETRANSLATE(D7)")," A sobrevivência dos assentamentos acadianos foi baseada em cooperação bem -sucedida com os povos indígenas da região. Nos primeiros anos do assentamento acadiano, isso incluiu um pequeno número de casamentos registrados entre colonos acadianos e mulheres"&amp;" indígenas. Alguns registros sobreviveram a mostrar casamentos entre colonos acadianos e mulheres indígenas nos ritos católicos romanos formais, por exemplo, o casamento da turnê de Charles La com uma mulher de Mi'kmaw em 1626. Também foram relatados caso"&amp;"s de colonos acadianos se casando com cônjuges indígenas de acordo com os ritos de Mi'kmaq, e posteriormente vivendo nas comunidades de Mi'kmaq. Muitos colonos também trouxeram esposas francesas para Acadia, como a segunda esposa de La Tour, Françoise - M"&amp;"arie Jacquelin, que se juntou a ele em Acadia em 1640.")</f>
        <v> A sobrevivência dos assentamentos acadianos foi baseada em cooperação bem -sucedida com os povos indígenas da região. Nos primeiros anos do assentamento acadiano, isso incluiu um pequeno número de casamentos registrados entre colonos acadianos e mulheres indígenas. Alguns registros sobreviveram a mostrar casamentos entre colonos acadianos e mulheres indígenas nos ritos católicos romanos formais, por exemplo, o casamento da turnê de Charles La com uma mulher de Mi'kmaw em 1626. Também foram relatados casos de colonos acadianos se casando com cônjuges indígenas de acordo com os ritos de Mi'kmaq, e posteriormente vivendo nas comunidades de Mi'kmaq. Muitos colonos também trouxeram esposas francesas para Acadia, como a segunda esposa de La Tour, Françoise - Marie Jacquelin, que se juntou a ele em Acadia em 1640.</v>
      </c>
      <c r="I7" s="3" t="str">
        <f>IFERROR(__xludf.DUMMYFUNCTION("GOOGLETRANSLATE(E7)"),"#VALUE!")</f>
        <v>#VALUE!</v>
      </c>
    </row>
    <row r="8">
      <c r="A8" s="1">
        <v>6.0</v>
      </c>
      <c r="B8" s="3" t="s">
        <v>29</v>
      </c>
      <c r="C8" s="3" t="s">
        <v>30</v>
      </c>
      <c r="D8" s="3" t="s">
        <v>31</v>
      </c>
      <c r="F8" s="3" t="str">
        <f>IFERROR(__xludf.DUMMYFUNCTION("GOOGLETRANSLATE(B8)")," Vice -Ministro Chefe de Jammu e Caxemira")</f>
        <v> Vice -Ministro Chefe de Jammu e Caxemira</v>
      </c>
      <c r="G8" s="3" t="str">
        <f>IFERROR(__xludf.DUMMYFUNCTION("GOOGLETRANSLATE(C8)"),"quem é vice cm de j e k")</f>
        <v>quem é vice cm de j e k</v>
      </c>
      <c r="H8" s="3" t="str">
        <f>IFERROR(__xludf.DUMMYFUNCTION("GOOGLETRANSLATE(D8)"),"   Vice -Ministro -Chefe de Jammu e Caxemira Vapa Despertadora desde 20 de junho de 2018 O governador de Jammu e a Caxemira Inaugural Bakshi Ghulam Mohammad (como vice -primeiro -ministro) Formação 5 de março de 1948")</f>
        <v>   Vice -Ministro -Chefe de Jammu e Caxemira Vapa Despertadora desde 20 de junho de 2018 O governador de Jammu e a Caxemira Inaugural Bakshi Ghulam Mohammad (como vice -primeiro -ministro) Formação 5 de março de 1948</v>
      </c>
      <c r="I8" s="3" t="str">
        <f>IFERROR(__xludf.DUMMYFUNCTION("GOOGLETRANSLATE(E8)"),"#VALUE!")</f>
        <v>#VALUE!</v>
      </c>
    </row>
    <row r="9">
      <c r="A9" s="1">
        <v>7.0</v>
      </c>
      <c r="B9" s="3" t="s">
        <v>32</v>
      </c>
      <c r="C9" s="3" t="s">
        <v>33</v>
      </c>
      <c r="D9" s="3" t="s">
        <v>34</v>
      </c>
      <c r="E9" s="3" t="s">
        <v>35</v>
      </c>
      <c r="F9" s="3" t="str">
        <f>IFERROR(__xludf.DUMMYFUNCTION("GOOGLETRANSLATE(B9)")," Nashville Sound")</f>
        <v> Nashville Sound</v>
      </c>
      <c r="G9" s="3" t="str">
        <f>IFERROR(__xludf.DUMMYFUNCTION("GOOGLETRANSLATE(C9)"),"O som de Nashville trouxe um som polido e cosmopolita para a música country por")</f>
        <v>O som de Nashville trouxe um som polido e cosmopolita para a música country por</v>
      </c>
      <c r="H9" s="3" t="str">
        <f>IFERROR(__xludf.DUMMYFUNCTION("GOOGLETRANSLATE(D9)")," No início dos anos 1960, o som de Nashville começou a ser desafiado pelo som rival de Bakersfield no lado do país e pela invasão britânica do lado pop; Compondo esses problemas foram as mortes repentinas, em acidentes de avião separados, de Patsy Cline e"&amp;" Jim Reeves, duas das maiores estrelas do Nashville Sound. A estrutura da música pop de Nashville tornou -se mais pronunciada e se transformou no que se chamava CountryPolitan - um som mais suave tipificado através do uso de arranjos exuberantes de cordas"&amp;" com uma orquestra real e, muitas vezes, vocais de fundo fornecidos por um coral. O CountryPolitan foi direcionado diretamente para os principais mercados e vendeu bem durante o final dos anos 1960 até o início dos anos 1970. Entre os arquitetos deste som"&amp;" estavam os produtores Billy Sherrill (que foi fundamental para moldar o início da carreira de Tammy Wynette) e Glenn Sutton. Os artistas que tipificaram o som do Countrypolitan incluíram inicialmente Wynette, Glen Campbell (que gravou em Hollywood e não "&amp;"Nashville), Lynn Anderson, Charlie Rich e Charley Pride, sendo este último um exemplo raro de um artista de country africano -americano que vende.")</f>
        <v> No início dos anos 1960, o som de Nashville começou a ser desafiado pelo som rival de Bakersfield no lado do país e pela invasão britânica do lado pop; Compondo esses problemas foram as mortes repentinas, em acidentes de avião separados, de Patsy Cline e Jim Reeves, duas das maiores estrelas do Nashville Sound. A estrutura da música pop de Nashville tornou -se mais pronunciada e se transformou no que se chamava CountryPolitan - um som mais suave tipificado através do uso de arranjos exuberantes de cordas com uma orquestra real e, muitas vezes, vocais de fundo fornecidos por um coral. O CountryPolitan foi direcionado diretamente para os principais mercados e vendeu bem durante o final dos anos 1960 até o início dos anos 1970. Entre os arquitetos deste som estavam os produtores Billy Sherrill (que foi fundamental para moldar o início da carreira de Tammy Wynette) e Glenn Sutton. Os artistas que tipificaram o som do Countrypolitan incluíram inicialmente Wynette, Glen Campbell (que gravou em Hollywood e não Nashville), Lynn Anderson, Charlie Rich e Charley Pride, sendo este último um exemplo raro de um artista de country africano -americano que vende.</v>
      </c>
      <c r="I9" s="3" t="str">
        <f>IFERROR(__xludf.DUMMYFUNCTION("GOOGLETRANSLATE(E9)"),"O uso de arranjos de cordas exuberantes com uma orquestra real e, muitas vezes, vocais de fundo fornecidos por um coral")</f>
        <v>O uso de arranjos de cordas exuberantes com uma orquestra real e, muitas vezes, vocais de fundo fornecidos por um coral</v>
      </c>
    </row>
    <row r="10">
      <c r="A10" s="1">
        <v>8.0</v>
      </c>
      <c r="B10" s="3" t="s">
        <v>36</v>
      </c>
      <c r="C10" s="3" t="s">
        <v>37</v>
      </c>
      <c r="D10" s="3" t="s">
        <v>38</v>
      </c>
      <c r="E10" s="3" t="s">
        <v>39</v>
      </c>
      <c r="F10" s="3" t="str">
        <f>IFERROR(__xludf.DUMMYFUNCTION("GOOGLETRANSLATE(B10)")," Lista de emissoras da Premier League")</f>
        <v> Lista de emissoras da Premier League</v>
      </c>
      <c r="G10" s="3" t="str">
        <f>IFERROR(__xludf.DUMMYFUNCTION("GOOGLETRANSLATE(C10)"),"Em que canal é a Premier League na França")</f>
        <v>Em que canal é a Premier League na França</v>
      </c>
      <c r="H10" s="3" t="str">
        <f>IFERROR(__xludf.DUMMYFUNCTION("GOOGLETRANSLATE(D10)"),"   Country   Language   Broadcasters     Albania   Albanian   SuperSport     Kosovo     Serbia   Serbian Croatian Macedonian Slovenian   Sport Klub     Croatia     Bosnia and Herzegovina     Montenegro     Macedonia     Slovenia     Andorra   Spanish   Mo"&amp;"vistar+     Armenia   Armenian   Armenia 2     Austria   German   DAZN     Azerbaijan   Azerbaijani   AzTV     Belarus   Belarusian   Beltelradio     Belgium   Dutch French   Play Sports VOO Sport     Bulgaria   Bulgarian   Diema Sport     Cyprus   Greek "&amp;"CytaVision República Tcheca DIGI DIGI Sport Dinamarca TV dinamarquesa Danish Sport 6'Eren Estonia Estonian Viasat Esporte Báltico Finlândia Finnish Viast Sport France French SFR Sport Georgia Georgiana Silknet Silknet Germany Dazn Greece Greece Cosmote Es"&amp;"porte Esportivo Húngaro Húngaro Speler Esporte Itália Sky Italian Sport Letônia Letônia Viasat Esporte Báltico Liechtenstein alemão Dazn Lituânia alemã Lituânia Viasat Esporte Báltico Luxemburgo French Voo Sport Malta Inglês GO Esportes Holandesos Sports "&amp;"Sports Sports Sports Sports Sports Sports Sports Romanos Rominados TV Rominados 2 Polônia Polonista Polonista+ Portúscula portuária portuária Portuga Sport Sport Sport Sport Tv Romano / Norwegian TV2 PolonSon Polonns Polon Polon Polon PolonSeaMaMa portuga"&amp;" portuga portuga Sport Sport Sport Sport Sport Tv Romano / Norwegian TV2 PolonSon Polon Polon Polon Polon Pollia portugar portugare por português Matida russa TV San Marino Sky Italian Sport Esporte Eslováquia Tcheca Digi Esporte Espanha Espanha Movistar+"&amp;" Suécia Viasat Sport Suíça Switzerland Alemã francesa Dazn Sfr Sport Sport Turquia Sport Ucrânia Ucrânia Ucrânia O futebol ucraniano tv")</f>
        <v>   Country   Language   Broadcasters     Albania   Albanian   SuperSport     Kosovo     Serbia   Serbian Croatian Macedonian Slovenian   Sport Klub     Croatia     Bosnia and Herzegovina     Montenegro     Macedonia     Slovenia     Andorra   Spanish   Movistar+     Armenia   Armenian   Armenia 2     Austria   German   DAZN     Azerbaijan   Azerbaijani   AzTV     Belarus   Belarusian   Beltelradio     Belgium   Dutch French   Play Sports VOO Sport     Bulgaria   Bulgarian   Diema Sport     Cyprus   Greek CytaVision República Tcheca DIGI DIGI Sport Dinamarca TV dinamarquesa Danish Sport 6'Eren Estonia Estonian Viasat Esporte Báltico Finlândia Finnish Viast Sport France French SFR Sport Georgia Georgiana Silknet Silknet Germany Dazn Greece Greece Cosmote Esporte Esportivo Húngaro Húngaro Speler Esporte Itália Sky Italian Sport Letônia Letônia Viasat Esporte Báltico Liechtenstein alemão Dazn Lituânia alemã Lituânia Viasat Esporte Báltico Luxemburgo French Voo Sport Malta Inglês GO Esportes Holandesos Sports Sports Sports Sports Sports Sports Sports Sports Romanos Rominados TV Rominados 2 Polônia Polonista Polonista+ Portúscula portuária portuária Portuga Sport Sport Sport Sport Tv Romano / Norwegian TV2 PolonSon Polonns Polon Polon Polon PolonSeaMaMa portuga portuga portuga Sport Sport Sport Sport Sport Tv Romano / Norwegian TV2 PolonSon Polon Polon Polon Polon Pollia portugar portugare por português Matida russa TV San Marino Sky Italian Sport Esporte Eslováquia Tcheca Digi Esporte Espanha Espanha Movistar+ Suécia Viasat Sport Suíça Switzerland Alemã francesa Dazn Sfr Sport Sport Turquia Sport Ucrânia Ucrânia Ucrânia O futebol ucraniano tv</v>
      </c>
      <c r="I10" s="3" t="str">
        <f>IFERROR(__xludf.DUMMYFUNCTION("GOOGLETRANSLATE(E10)"),"SFR Sport")</f>
        <v>SFR Sport</v>
      </c>
    </row>
    <row r="11">
      <c r="A11" s="1">
        <v>9.0</v>
      </c>
      <c r="B11" s="3" t="s">
        <v>40</v>
      </c>
      <c r="C11" s="3" t="s">
        <v>41</v>
      </c>
      <c r="D11" s="3" t="s">
        <v>42</v>
      </c>
      <c r="F11" s="3" t="str">
        <f>IFERROR(__xludf.DUMMYFUNCTION("GOOGLETRANSLATE(B11)")," Kit de desenvolvimento do Java")</f>
        <v> Kit de desenvolvimento do Java</v>
      </c>
      <c r="G11" s="3" t="str">
        <f>IFERROR(__xludf.DUMMYFUNCTION("GOOGLETRANSLATE(C11)"),"Qual é a utilidade do JDK em Java")</f>
        <v>Qual é a utilidade do JDK em Java</v>
      </c>
      <c r="H11" s="3" t="str">
        <f>IFERROR(__xludf.DUMMYFUNCTION("GOOGLETRANSLATE(D11)")," O Java Development Kit (JDK) é uma implementação de qualquer uma das plataformas Java, Standard Edition, Java Platform, Enterprise Edition ou Java Platform, Micro Edition Platforms lançadas pela Oracle Corporation na forma de um produto binário destinado"&amp;" a desenvolvedores de Java on Solaris, Linux, MacOS ou Windows. O JDK inclui uma JVM particular e alguns outros recursos para concluir o desenvolvimento de um aplicativo Java. Desde a introdução da plataforma Java, foi de longe o kit de desenvolvimento de"&amp;" software mais usado (SDK). Em 17 de novembro de 2006, a Sun anunciou que o lançaria sob a licença pública geral da GNU (GPL), tornando -o software livre. Isso aconteceu em grande parte em 8 de maio de 2007, quando a Sun contribuiu com o código -fonte par"&amp;"a o OpenJDK.")</f>
        <v> O Java Development Kit (JDK) é uma implementação de qualquer uma das plataformas Java, Standard Edition, Java Platform, Enterprise Edition ou Java Platform, Micro Edition Platforms lançadas pela Oracle Corporation na forma de um produto binário destinado a desenvolvedores de Java on Solaris, Linux, MacOS ou Windows. O JDK inclui uma JVM particular e alguns outros recursos para concluir o desenvolvimento de um aplicativo Java. Desde a introdução da plataforma Java, foi de longe o kit de desenvolvimento de software mais usado (SDK). Em 17 de novembro de 2006, a Sun anunciou que o lançaria sob a licença pública geral da GNU (GPL), tornando -o software livre. Isso aconteceu em grande parte em 8 de maio de 2007, quando a Sun contribuiu com o código -fonte para o OpenJDK.</v>
      </c>
      <c r="I11" s="3" t="str">
        <f>IFERROR(__xludf.DUMMYFUNCTION("GOOGLETRANSLATE(E11)"),"#VALUE!")</f>
        <v>#VALUE!</v>
      </c>
    </row>
    <row r="12">
      <c r="A12" s="1">
        <v>10.0</v>
      </c>
      <c r="B12" s="3" t="s">
        <v>43</v>
      </c>
      <c r="C12" s="3" t="s">
        <v>44</v>
      </c>
      <c r="D12" s="3" t="s">
        <v>45</v>
      </c>
      <c r="E12" s="3" t="s">
        <v>46</v>
      </c>
      <c r="F12" s="3" t="str">
        <f>IFERROR(__xludf.DUMMYFUNCTION("GOOGLETRANSLATE(B12)")," Permissão do aluno")</f>
        <v> Permissão do aluno</v>
      </c>
      <c r="G12" s="3" t="str">
        <f>IFERROR(__xludf.DUMMYFUNCTION("GOOGLETRANSLATE(C12)"),"quem precisa estar no carro com um motorista de permissão")</f>
        <v>quem precisa estar no carro com um motorista de permissão</v>
      </c>
      <c r="H12" s="3" t="str">
        <f>IFERROR(__xludf.DUMMYFUNCTION("GOOGLETRANSLATE(D12)")," Normalmente, um motorista que opera com a permissão de um aluno deve ser acompanhado por um motorista licenciado por adultos com pelo menos 21 anos de idade ou mais e no banco do passageiro do veículo o tempo todo.")</f>
        <v> Normalmente, um motorista que opera com a permissão de um aluno deve ser acompanhado por um motorista licenciado por adultos com pelo menos 21 anos de idade ou mais e no banco do passageiro do veículo o tempo todo.</v>
      </c>
      <c r="I12" s="3" t="str">
        <f>IFERROR(__xludf.DUMMYFUNCTION("GOOGLETRANSLATE(E12)"),"Um motorista licenciado adulto que tem pelo menos 21 anos de idade ou mais e no banco do passageiro do veículo o tempo todo")</f>
        <v>Um motorista licenciado adulto que tem pelo menos 21 anos de idade ou mais e no banco do passageiro do veículo o tempo todo</v>
      </c>
    </row>
    <row r="13">
      <c r="A13" s="1">
        <v>11.0</v>
      </c>
      <c r="B13" s="3" t="s">
        <v>47</v>
      </c>
      <c r="C13" s="3" t="s">
        <v>48</v>
      </c>
      <c r="D13" s="3" t="s">
        <v>49</v>
      </c>
      <c r="E13" s="3" t="s">
        <v>50</v>
      </c>
      <c r="F13" s="3" t="str">
        <f>IFERROR(__xludf.DUMMYFUNCTION("GOOGLETRANSLATE(B13)")," Deus não está morto: uma luz nas trevas")</f>
        <v> Deus não está morto: uma luz nas trevas</v>
      </c>
      <c r="G13" s="3" t="str">
        <f>IFERROR(__xludf.DUMMYFUNCTION("GOOGLETRANSLATE(C13)"),"Deus não está morto uma luz na data de lançamento das trevas")</f>
        <v>Deus não está morto uma luz na data de lançamento das trevas</v>
      </c>
      <c r="H13" s="3" t="str">
        <f>IFERROR(__xludf.DUMMYFUNCTION("GOOGLETRANSLATE(D13)")," A fotografia principal foi concluída em Little Rock, Arkansas, em dezembro de 2017. Foi lançado nos Estados Unidos em 30 de março de 2018. Ao contrário dos dois primeiros filmes, uma luz nas trevas era uma bomba de bilheteria, fazendo menos em toda a sua"&amp;" corrida teatral (US $ 5,7 milhões) do que os outros arrecadados em seus respectivos fins de semana de abertura (US $ 9,7 milhões e US $ 7,6 milhões).")</f>
        <v> A fotografia principal foi concluída em Little Rock, Arkansas, em dezembro de 2017. Foi lançado nos Estados Unidos em 30 de março de 2018. Ao contrário dos dois primeiros filmes, uma luz nas trevas era uma bomba de bilheteria, fazendo menos em toda a sua corrida teatral (US $ 5,7 milhões) do que os outros arrecadados em seus respectivos fins de semana de abertura (US $ 9,7 milhões e US $ 7,6 milhões).</v>
      </c>
      <c r="I13" s="3" t="str">
        <f>IFERROR(__xludf.DUMMYFUNCTION("GOOGLETRANSLATE(E13)"),"30 de março de 2018")</f>
        <v>30 de março de 2018</v>
      </c>
    </row>
    <row r="14">
      <c r="A14" s="1">
        <v>12.0</v>
      </c>
      <c r="B14" s="3" t="s">
        <v>51</v>
      </c>
      <c r="C14" s="3" t="s">
        <v>52</v>
      </c>
      <c r="D14" s="3" t="s">
        <v>53</v>
      </c>
      <c r="E14" s="3" t="s">
        <v>54</v>
      </c>
      <c r="F14" s="3" t="str">
        <f>IFERROR(__xludf.DUMMYFUNCTION("GOOGLETRANSLATE(B14)")," Presidente da Assembléia Geral das Nações Unidas")</f>
        <v> Presidente da Assembléia Geral das Nações Unidas</v>
      </c>
      <c r="G14" s="3" t="str">
        <f>IFERROR(__xludf.DUMMYFUNCTION("GOOGLETRANSLATE(C14)"),"Quem é o atual presidente da Assembléia Geral da ONU")</f>
        <v>Quem é o atual presidente da Assembléia Geral da ONU</v>
      </c>
      <c r="H14" s="3" t="str">
        <f>IFERROR(__xludf.DUMMYFUNCTION("GOOGLETRANSLATE(D14)")," Miroslav Lajčák, da Eslováquia, foi eleito presidente da Assembléia Geral das Nações Unidas de sua 72ª sessão, a partir de setembro de 2017.")</f>
        <v> Miroslav Lajčák, da Eslováquia, foi eleito presidente da Assembléia Geral das Nações Unidas de sua 72ª sessão, a partir de setembro de 2017.</v>
      </c>
      <c r="I14" s="3" t="str">
        <f>IFERROR(__xludf.DUMMYFUNCTION("GOOGLETRANSLATE(E14)"),"Miroslav Lajčák da Eslováquia")</f>
        <v>Miroslav Lajčák da Eslováquia</v>
      </c>
    </row>
    <row r="15">
      <c r="A15" s="1">
        <v>13.0</v>
      </c>
      <c r="B15" s="3" t="s">
        <v>55</v>
      </c>
      <c r="C15" s="3" t="s">
        <v>56</v>
      </c>
      <c r="D15" s="3" t="s">
        <v>57</v>
      </c>
      <c r="E15" s="3" t="s">
        <v>58</v>
      </c>
      <c r="F15" s="3" t="str">
        <f>IFERROR(__xludf.DUMMYFUNCTION("GOOGLETRANSLATE(B15)")," Powerball")</f>
        <v> Powerball</v>
      </c>
      <c r="G15" s="3" t="str">
        <f>IFERROR(__xludf.DUMMYFUNCTION("GOOGLETRANSLATE(C15)"),"Quando eles puxam os números da bola de power 2016")</f>
        <v>Quando eles puxam os números da bola de power 2016</v>
      </c>
      <c r="H15" s="3" t="str">
        <f>IFERROR(__xludf.DUMMYFUNCTION("GOOGLETRANSLATE(D15)")," Os desenhos para o Powerball são realizados toda quarta e sábado à noite às 22h99. Hora do Leste . Desde 7 de outubro de 2015, o jogo usou uma matriz de 5/69 (bolas brancas) + 1/6 de 26 (Powerballs) da qual os números vencedores são escolhidos, resultand"&amp;"o em chances de 1 em 292.201.338 de ganhar um jackpot por peça. Cada jogo custa US $ 2 ou US $ 3 com a opção Power Play. (Originalmente, as peças do Powerball custam US $ 1; quando o PowerPlay começou, esses jogos foram de US $ 2.) O corte oficial para a "&amp;"venda de ingressos é das 22:00. Hora do Leste ; Algumas loterias cortaram as vendas mais cedo. Os desenhos geralmente são mantidos no estúdio da Loteria da Flórida em Tallahassee.")</f>
        <v> Os desenhos para o Powerball são realizados toda quarta e sábado à noite às 22h99. Hora do Leste . Desde 7 de outubro de 2015, o jogo usou uma matriz de 5/69 (bolas brancas) + 1/6 de 26 (Powerballs) da qual os números vencedores são escolhidos, resultando em chances de 1 em 292.201.338 de ganhar um jackpot por peça. Cada jogo custa US $ 2 ou US $ 3 com a opção Power Play. (Originalmente, as peças do Powerball custam US $ 1; quando o PowerPlay começou, esses jogos foram de US $ 2.) O corte oficial para a venda de ingressos é das 22:00. Hora do Leste ; Algumas loterias cortaram as vendas mais cedo. Os desenhos geralmente são mantidos no estúdio da Loteria da Flórida em Tallahassee.</v>
      </c>
      <c r="I15" s="3" t="str">
        <f>IFERROR(__xludf.DUMMYFUNCTION("GOOGLETRANSLATE(E15)"),"Toda quarta e sábado à noite às 22h59 Hora do Leste")</f>
        <v>Toda quarta e sábado à noite às 22h59 Hora do Leste</v>
      </c>
    </row>
    <row r="16">
      <c r="A16" s="1">
        <v>14.0</v>
      </c>
      <c r="B16" s="3" t="s">
        <v>59</v>
      </c>
      <c r="C16" s="3" t="s">
        <v>60</v>
      </c>
      <c r="D16" s="3" t="s">
        <v>61</v>
      </c>
      <c r="E16" s="3" t="s">
        <v>62</v>
      </c>
      <c r="F16" s="3" t="str">
        <f>IFERROR(__xludf.DUMMYFUNCTION("GOOGLETRANSLATE(B16)")," Eclipse solar de 21 de agosto de 2017")</f>
        <v> Eclipse solar de 21 de agosto de 2017</v>
      </c>
      <c r="G16" s="3" t="str">
        <f>IFERROR(__xludf.DUMMYFUNCTION("GOOGLETRANSLATE(C16)"),"Quando o eclipse deveria ocorrer")</f>
        <v>Quando o eclipse deveria ocorrer</v>
      </c>
      <c r="H16" s="3" t="str">
        <f>IFERROR(__xludf.DUMMYFUNCTION("GOOGLETRANSLATE(D16)"),"   Eclipse solar de 21 de agosto de 2017 Totalidade como visto em Simpsonville, Carolina do Sul Tipo de Eclipse Natureza Total Gamma 0,4367 Magnitude 1,0306 Duração máxima do eclipse 160 seg (2 m 40 s) 37 ° 00 ′ n 87 ° 42 ′ W / 37 ° n 87,7 ° com 37; - 87,"&amp;"7 máx. Largura da banda 115 km (71 mi) vezes (UTC) (P1) Parcial Begin 15: 46: 48 (U1) Total começa 16: 48: 32 Maior eclipse 18: 26: 40 (U4) Fim total 20: 01: 35 (P4) Fim parcial 21: 04: 19 Referências Saros 145 (22 de 77) Catálogo # (SE5000) 9546")</f>
        <v>   Eclipse solar de 21 de agosto de 2017 Totalidade como visto em Simpsonville, Carolina do Sul Tipo de Eclipse Natureza Total Gamma 0,4367 Magnitude 1,0306 Duração máxima do eclipse 160 seg (2 m 40 s) 37 ° 00 ′ n 87 ° 42 ′ W / 37 ° n 87,7 ° com 37; - 87,7 máx. Largura da banda 115 km (71 mi) vezes (UTC) (P1) Parcial Begin 15: 46: 48 (U1) Total começa 16: 48: 32 Maior eclipse 18: 26: 40 (U4) Fim total 20: 01: 35 (P4) Fim parcial 21: 04: 19 Referências Saros 145 (22 de 77) Catálogo # (SE5000) 9546</v>
      </c>
      <c r="I16" s="3" t="str">
        <f>IFERROR(__xludf.DUMMYFUNCTION("GOOGLETRANSLATE(E16)"),"21 de agosto de 2017")</f>
        <v>21 de agosto de 2017</v>
      </c>
    </row>
    <row r="17">
      <c r="A17" s="1">
        <v>15.0</v>
      </c>
      <c r="B17" s="3" t="s">
        <v>63</v>
      </c>
      <c r="C17" s="3" t="s">
        <v>64</v>
      </c>
      <c r="D17" s="3" t="s">
        <v>65</v>
      </c>
      <c r="E17" s="3" t="s">
        <v>66</v>
      </c>
      <c r="F17" s="3" t="str">
        <f>IFERROR(__xludf.DUMMYFUNCTION("GOOGLETRANSLATE(B17)")," Dubai")</f>
        <v> Dubai</v>
      </c>
      <c r="G17" s="3" t="str">
        <f>IFERROR(__xludf.DUMMYFUNCTION("GOOGLETRANSLATE(C17)"),"Qual é o nome do mar ao redor de Dubai")</f>
        <v>Qual é o nome do mar ao redor de Dubai</v>
      </c>
      <c r="H17" s="3" t="str">
        <f>IFERROR(__xludf.DUMMYFUNCTION("GOOGLETRANSLATE(D17)")," Dubai ( / duːˈbaɪ / doo - por; árabe: cadeos dubay, pronúncia do Golfo: (dʊˈbɑj)) é a maior e mais populosa cidade dos Emirados Árabes Unidos (Emirados Árabes Unidos). Está localizado na costa sudeste do Golfo Pérsico e é a capital do emirado de Dubai, u"&amp;"m dos sete Emirados que compõem o país. Abu Dhabi e Dubai são os únicos dois Emirados a ter poder veto sobre questões críticas de importância nacional no Conselho Federal Supremo do país. A cidade de Dubai está localizada na costa norte do Emirado e lider"&amp;"a o Dubai - Sharjah - área metropolitana de Ajman. Dubai sediará a World Expo 2020.")</f>
        <v> Dubai ( / duːˈbaɪ / doo - por; árabe: cadeos dubay, pronúncia do Golfo: (dʊˈbɑj)) é a maior e mais populosa cidade dos Emirados Árabes Unidos (Emirados Árabes Unidos). Está localizado na costa sudeste do Golfo Pérsico e é a capital do emirado de Dubai, um dos sete Emirados que compõem o país. Abu Dhabi e Dubai são os únicos dois Emirados a ter poder veto sobre questões críticas de importância nacional no Conselho Federal Supremo do país. A cidade de Dubai está localizada na costa norte do Emirado e lidera o Dubai - Sharjah - área metropolitana de Ajman. Dubai sediará a World Expo 2020.</v>
      </c>
      <c r="I17" s="3" t="str">
        <f>IFERROR(__xludf.DUMMYFUNCTION("GOOGLETRANSLATE(E17)"),"Golfo persa")</f>
        <v>Golfo persa</v>
      </c>
    </row>
    <row r="18">
      <c r="A18" s="1">
        <v>16.0</v>
      </c>
      <c r="B18" s="3" t="s">
        <v>67</v>
      </c>
      <c r="C18" s="3" t="s">
        <v>68</v>
      </c>
      <c r="D18" s="3" t="s">
        <v>69</v>
      </c>
      <c r="E18" s="3" t="s">
        <v>70</v>
      </c>
      <c r="F18" s="3" t="str">
        <f>IFERROR(__xludf.DUMMYFUNCTION("GOOGLETRANSLATE(B18)")," Lista de líderes de pontuação na carreira da National Basketball Association")</f>
        <v> Lista de líderes de pontuação na carreira da National Basketball Association</v>
      </c>
      <c r="G18" s="3" t="str">
        <f>IFERROR(__xludf.DUMMYFUNCTION("GOOGLETRANSLATE(C18)"),"quem detém o recorde da NBA para a maioria dos pontos em uma carreira")</f>
        <v>quem detém o recorde da NBA para a maioria dos pontos em uma carreira</v>
      </c>
      <c r="H18" s="3" t="str">
        <f>IFERROR(__xludf.DUMMYFUNCTION("GOOGLETRANSLATE(D18)"),"   A equipe (s) dos jogadores de classificação jogou (s) jogando (s) jogos de pontos (s) de pontos (s) por pontos de campo médio de campo, os gols de campo de três pontos fizeram os arremessos livres feitos em Abdul - Jabbar, Kareem Kareem Abdul - Jabbar "&amp;"* Milwaukee Bucks (1969 - - 1975 ) Los Angeles Lakers ( 1975 -- 1989 )   38,387   1,560   24.6   15,837     6,712       Malone , Karl Karl Malone *   PF   Utah Jazz ( 1985 -- 2003 ) Los Angeles Lakers ( 2003 -- 2004 )   36,928   1,476   25.0   13,528   85"&amp;"   9,787       Bryant , Kobe Kobe Bryant Sg Los Angeles Lakers (1996 - 2016) 33.643 1.346 25,0 11.719 1.827 8.378 Jordan, Michael Michael Jordan * SG Chicago Bulls (1984 - 1993, 1995 - 1998) Washington Wizards (2001 - 2003). 581 7.327 5 Chamberlain, Wilt "&amp;"Wilt Chamberlain * Philadelphia / São Francisco Warriors (1959 - 1965) Philadelphia 76ers (1965 - 1968) Los Angeles Lakers (1968 - 1973) 31.419 1.045 30.1 12.681 0 PF / C Dallas Mavericks (1999 - presente) 31.187 1.471 21,2 11.034 1.918 7.201 7 James, LeB"&amp;"ron LeBron James ^ SF / PF Cleveland Cavaliers (2003 - 2010, 2014 - Presente) 27.2 11.240 1.607 6.838 8 O'Neal, Shaquille Shaquille O'Neal * Orlando Magic (1992 - 1996) Los Angeles Lakers (1996 - 2004) Miami Heat (2004 - 2008) (2009 -2010) Boston Celtics "&amp;"(2010 -2011) 28.596 1.207 23,7 11.330 5.935 9 Malone, Moses Malone * Buffalo Braves (1976) Houston Rockets (1976 -1982) Philadelphia 76ers (1982 -1986 -1993 -1976 -1982) 1994) Washington Bullets (1986 - 1988) Atlanta Hawks (1988 - 1991) Milwaukee Bucks (1"&amp;"991 - 1993) San Antonio Spurs (1994 - 1995) 27.409 1.329 20,6 9.435 8 ​​8.531 10 Hayes, Elvin Elvin Hayes * PF / C San Diego / Houston Rockets (1968 - 1972, 1981 - 1984) Baltimore / Capital / Washington Bullets (1972 - 1981) 27.313 1.303 21,0 10.976 5 5.3"&amp;"56 11 Olajuwon, Hakeem Hakeem Olajuwon * Houston Rockets (1984 - 2001) Toronto Raptors (2001 - 2002) 26.946 1.238 21,8 10.749 25 5.423 12 Robertson, Oscar Oscar Robertson * Pg Cincinnati Royals (1960 - 1970) Milwaukee Bucks (1970 - 1974) 26.710 1,040 25.7"&amp;".7,50. * SF Atlanta Hawks (1982 - 1994) Los Angeles Clippers (1994) Boston Celtics (1994 - 1995) San Antonio Spurs (1996 - 1997) Orlando Magic (1999) 26.668 1.074 24,8 9.963 711 6.031 14 Duncan, Tim Tim Duncan PF / C San Antonio Spurs (1997 - 2016) 26.496"&amp;" 1.392 19,0 10.285 30 5.896 15 Pierce, Paul Paul Pierce SF / SG Boston Celtics (1999 - 2013) Brooklyn Nets (2013 - 2014) Washington Wizards (2014 - 2015) ) Los Angeles Clippers (2015 - 2017) 26.397 1.343 19,7 8.668 2.143 6.918 16 Havlicek, John John Havli"&amp;"cek * SF / SG Boston Celtics (1962 - 1978) 26.395 1,270 20.8 10.513 0. Timberwolves (1995 - 2007, 2015 - 2016) Boston Celtics (2007 - 2013) Brooklyn Nets (2013 - 2015) 26.071 1.462 17,8 10.505 174 4.887 18 Inglês, Alex Alex Inglês * SF Milwaukee Bucks (19"&amp;"76 - 1978) Indiana Pacers (1978 - 1980) Denver Nuggets (1980 - 1990) Dallas Mavericks (1990 - 1991) 25.613 1.193 21,5 10.659 18 4.277 19 Anthony, Carmelo Carmelo Anthony ^ SF Denver Nuggets (2003), 2011), York Knick. 2011 - 2017) Oklahoma City Thunder. / "&amp;"SG Los Angeles Lakers (1960 -1974) 25.192 932 27,0 9.016 0 7.160 22 Carter, Vince Vince Carter ^ SG / SF Toronto Raptors (1999 -2004) New Jersey Nets (2004 -2009) Orlando Magic (2009 - -2004) 2010) Phoenix Suns (2010 - 2011) Dallas Mavericks (2011 - 2014)"&amp;" Memphis Grizzlies (2014 - 2017) Sacramento Kings (2017 - presente) 24.850 1.402 17,7 8.984 2.103 4,77 23 23 Ewing, Patrick Patrick Ewing * (1985 -2000) Seattle Supersonics (2000 -2001) Orlando Magic (2001 -2002) 24.815 1.183 21,0 9.702 19 5.392 24 Allen,"&amp;" Ray Ray Allen * SG Milwaukee Bucks (1996 -2003) Seattle Supersonics (2003 - 2007) Boston Celtics (2007 - 2012) Miami Heat (2012 - 2014) 24.505 1.300 18,9 8.567 2.973 4.398 25 Iverson, Allen Allen Iverson * SG / PG Philadelphia 76ers (1996 - 2006, 2009 - "&amp;"2010) 2006 -- 2008 ) Detroit Pistons ( 2008 -- 2009 ) Memphis Grizzlies ( 2009 )   24,368   914   26.7   8,467   1,059   6,375     26   Barkley , Charles Charles Barkley *   PF   Philadelphia 76ers ( 1984 -- 1992 ) Phoenix Suns ( 1992 -- 1996 ) Houston Ro"&amp;"ckets (1996 -2000) 23.757 1.073 22,1 8.435 538 6.349 27 Paróquia, Robert Robert Parish * Golden State Warriors (1976 -1980) Boston Celtics (1980 -1994) Charlotte Hornets (1994 -1996) Chicago Bultics (1996 - -1994) 1997) 23.334 1.611 14,5 9.614 0 4,106 28 "&amp;"Dantley, Adrian Adrian Dantley * SF Buffalo Braves (1976 - 1977) Indiana Pacers (1977) Los Angeles Lakers (1977 - 1979) - 1989) Dallas Mavericks (1989- 1990) Milwaukee Bucks (1991) 23.177 955 24,3 8.169 7 6.832 29 Baylor, Elgin Elgin Baylor * SF Minneapol"&amp;"is / Los Angeles Lakers (1958- 1971) 23.149 76 276 276 276 276 276 276 276 276 276 276 276 7. 7. 876 7. 876 276 276 276 7. 7. 876 276 276 276 276 7. 7. 7. 8. , Clyde Clyde Drexler *   SG   Portland Trail Blazers ( 1983 -- 1995 ) Houston Rockets ( 1995 -- "&amp;"1998 )   22,195   1,086   20.4   8,335   827   4,698     31   Wade , Dwyane Dwyane Wade ^   SG   Miami Heat ( 2003 -- 2016 , 2018 -- present ) Chicago Bulls (2016 -2017) Cleveland Cavaliers (2017 -2018) 22.058 979 22,5 8.028 462 5.540 32 Payton, Gary Gary"&amp;" Payton * PG Seattle Supersonics (1990 -2003) Milwaukee (2003) Los Angeles Lakers (2003 -2003) 2004) Boston Celtics (2004 - 2005) Miami Heat (2005 - 2007) 21.813 1.335 16,3 8.708 1.132 3.265 33 Bird, Larry Bird * SF / PF Boston Celtics (1979 - 1992) 21,79"&amp;"1 897.3.3.3.3.3.30, 33 33 33 33 31, 31,791, 897.3.3.3.3.30, 33 33 33 33, Larry Larry Bird * SF / PF Boston Celtics (1979 - 1992) 21.791 897.3.3.3.3.3.3084. , Hal Hal Greer * SG / PG Syracuse Nationals / Philadelphia 76ers (1958 - 1973) 21.586 1.122 19,2 8"&amp;".504 0 4.578 35 Bellamy, Walt Walt Bellamy * Chicago Packers / Zephyrs / 19615 (19615) - 1968) Detroit Pistons (1968- 1970) Atlanta Hawks (1970- 1974) New Orleans Jazz (1974) 20.941 1.043 20,1 7.914 0 5.113 36 Pettit, Bob Bob Pettit * PF / C Milwaukee / S"&amp;"t. Louis Hawks (1954 - 1965) 20.880 792 26,4 7.349 0 6.182 37 Durant, Kevin Kevin Durant ^ SF / SG Seattle Supersonics / Oklahoma City Thunder (2007- 2016) Golden State Warriors (2016- presente) 20.815 767 27,1 7,058 1,425 5. David David Robinson * San An"&amp;"tonio Spurs (1989 - 2003) 20.790 987 21,1 7.365 25 6.035 39 Gasol, Pau Pau Gasol ^ C / PF Memphis Grizzlies (2001 - 2008) Los Angeles Lakers (2008 - 2014) Chicago Bulls (2014 - 2016) San Antonio Spurs (2016- presente) 20.759 1.193 17,4 7.932 172 4.723 40 "&amp;"Gervin, George George Gervin * SG / SF San Antonio Spurs (1976- 1985) Chicago Bulls (1985) 20,708 791.2.2.2.2.285) 77 4.541 41 Richmond, Mitch Mitch Richmond * SG Golden State Warriors (1988 - 1991) Sacramento Kings (1991 - 1998) Washington Wizards (1999 "&amp;"- 2001) Los Angeles Lakers (2001 - 2002) 20.497 976 21,0 7,305 1,326 4,56) 42 Johnson, Joe Joe Johnson ^ SG / SF Boston Celtics (2001 - 2002) Phoenix Suns (2002 - 2005) Atlanta Hawks (2005 - 2012) Brooklyn Nets (2012 - 2016) Miami Heat (2016) Utah Jazz ( "&amp;"2016 - 2018) Houston Rockets (2018 - presente) 20.386 1.272 16,0 7.815 1.976 2.780 43 Chambers, Tom Tom Chambers PF San Diego Clippers (1981 - 1983) Seattle Supersonics (1983 - 1988) Phoenix Sols (1988 - 1993) ) Utah Jazz (1993 - 1995) Charlotte Hornets ("&amp;"1997) Philadelphia 76ers (1997) 20.049 1.107 18,1 7.378 227 5.066 44 Jamison, Antawn Jamison PF / SF Golden Warriors (1999 - 2003) Dallas Mawn Mawn ) Washington Wizards (2004 - 2010) Cleveland Cavaliers (2010 - 2012) Los Angeles Lakers (2012 - 2013) Los A"&amp;"ngeles Clippers (2013 - 2014) 20.042 1.083 18,5 7.679 1.163 3.521 45 Stockton, John Stockton * Pg Utah Jazz (1984 - 2003) 19.711 1.504 13,1 7.039 845 4.788 46 King, Bernard Bernard King * SF New Jersey Nets (1977 - 1979, 1993) Utah Jazz (1979) Golden Stat"&amp;"e Warriors (1980 - 1982) New York Knicks ( 1982 - 1985, 1987) Washington Bullets (1987 - 1991) 19.655 874 22,5 7.830 23 3,972 47 Robinson, Clifford Clifford Robinson PF / SF Portland Trail Blazers (1989 - 1997) 2001 - 2003) Golden State Warriors (2003 - 2"&amp;"005) New Jersey Nets (2005 - 2007) 19.591 1.380 14,2 7.389 1.253 3.560 48 Davis, Walter Walter Davis SG / SF Phoenix Suns (1977 - 1988) Denvers Nugs (1988) - 1991. San Antonio Spurs (1989 - 1995) Seattle Supersonics (1996 - 1997) Philadelphia 76ers (1997 "&amp;"- 1998) New York Knicks (1998) Golden State Warriors (1999 - 2000) 19.460 1.183 16,4 8.045 44 3,326 50 LANIER Bob Lanier * Detroit Pistons (1970 - 1980) Milwaukee Bucks (1980 - 1984) 19.248 959 20.1 7.761 3.724")</f>
        <v>   A equipe (s) dos jogadores de classificação jogou (s) jogando (s) jogos de pontos (s) de pontos (s) por pontos de campo médio de campo, os gols de campo de três pontos fizeram os arremessos livres feitos em Abdul - Jabbar, Kareem Kareem Abdul - Jabbar * Milwaukee Bucks (1969 - - 1975 ) Los Angeles Lakers ( 1975 -- 1989 )   38,387   1,560   24.6   15,837     6,712       Malone , Karl Karl Malone *   PF   Utah Jazz ( 1985 -- 2003 ) Los Angeles Lakers ( 2003 -- 2004 )   36,928   1,476   25.0   13,528   85   9,787       Bryant , Kobe Kobe Bryant Sg Los Angeles Lakers (1996 - 2016) 33.643 1.346 25,0 11.719 1.827 8.378 Jordan, Michael Michael Jordan * SG Chicago Bulls (1984 - 1993, 1995 - 1998) Washington Wizards (2001 - 2003). 581 7.327 5 Chamberlain, Wilt Wilt Chamberlain * Philadelphia / São Francisco Warriors (1959 - 1965) Philadelphia 76ers (1965 - 1968) Los Angeles Lakers (1968 - 1973) 31.419 1.045 30.1 12.681 0 PF / C Dallas Mavericks (1999 - presente) 31.187 1.471 21,2 11.034 1.918 7.201 7 James, LeBron LeBron James ^ SF / PF Cleveland Cavaliers (2003 - 2010, 2014 - Presente) 27.2 11.240 1.607 6.838 8 O'Neal, Shaquille Shaquille O'Neal * Orlando Magic (1992 - 1996) Los Angeles Lakers (1996 - 2004) Miami Heat (2004 - 2008) (2009 -2010) Boston Celtics (2010 -2011) 28.596 1.207 23,7 11.330 5.935 9 Malone, Moses Malone * Buffalo Braves (1976) Houston Rockets (1976 -1982) Philadelphia 76ers (1982 -1986 -1993 -1976 -1982) 1994) Washington Bullets (1986 - 1988) Atlanta Hawks (1988 - 1991) Milwaukee Bucks (1991 - 1993) San Antonio Spurs (1994 - 1995) 27.409 1.329 20,6 9.435 8 ​​8.531 10 Hayes, Elvin Elvin Hayes * PF / C San Diego / Houston Rockets (1968 - 1972, 1981 - 1984) Baltimore / Capital / Washington Bullets (1972 - 1981) 27.313 1.303 21,0 10.976 5 5.356 11 Olajuwon, Hakeem Hakeem Olajuwon * Houston Rockets (1984 - 2001) Toronto Raptors (2001 - 2002) 26.946 1.238 21,8 10.749 25 5.423 12 Robertson, Oscar Oscar Robertson * Pg Cincinnati Royals (1960 - 1970) Milwaukee Bucks (1970 - 1974) 26.710 1,040 25.7.7,50. * SF Atlanta Hawks (1982 - 1994) Los Angeles Clippers (1994) Boston Celtics (1994 - 1995) San Antonio Spurs (1996 - 1997) Orlando Magic (1999) 26.668 1.074 24,8 9.963 711 6.031 14 Duncan, Tim Tim Duncan PF / C San Antonio Spurs (1997 - 2016) 26.496 1.392 19,0 10.285 30 5.896 15 Pierce, Paul Paul Pierce SF / SG Boston Celtics (1999 - 2013) Brooklyn Nets (2013 - 2014) Washington Wizards (2014 - 2015) ) Los Angeles Clippers (2015 - 2017) 26.397 1.343 19,7 8.668 2.143 6.918 16 Havlicek, John John Havlicek * SF / SG Boston Celtics (1962 - 1978) 26.395 1,270 20.8 10.513 0. Timberwolves (1995 - 2007, 2015 - 2016) Boston Celtics (2007 - 2013) Brooklyn Nets (2013 - 2015) 26.071 1.462 17,8 10.505 174 4.887 18 Inglês, Alex Alex Inglês * SF Milwaukee Bucks (1976 - 1978) Indiana Pacers (1978 - 1980) Denver Nuggets (1980 - 1990) Dallas Mavericks (1990 - 1991) 25.613 1.193 21,5 10.659 18 4.277 19 Anthony, Carmelo Carmelo Anthony ^ SF Denver Nuggets (2003), 2011), York Knick. 2011 - 2017) Oklahoma City Thunder. / SG Los Angeles Lakers (1960 -1974) 25.192 932 27,0 9.016 0 7.160 22 Carter, Vince Vince Carter ^ SG / SF Toronto Raptors (1999 -2004) New Jersey Nets (2004 -2009) Orlando Magic (2009 - -2004) 2010) Phoenix Suns (2010 - 2011) Dallas Mavericks (2011 - 2014) Memphis Grizzlies (2014 - 2017) Sacramento Kings (2017 - presente) 24.850 1.402 17,7 8.984 2.103 4,77 23 23 Ewing, Patrick Patrick Ewing * (1985 -2000) Seattle Supersonics (2000 -2001) Orlando Magic (2001 -2002) 24.815 1.183 21,0 9.702 19 5.392 24 Allen, Ray Ray Allen * SG Milwaukee Bucks (1996 -2003) Seattle Supersonics (2003 - 2007) Boston Celtics (2007 - 2012) Miami Heat (2012 - 2014) 24.505 1.300 18,9 8.567 2.973 4.398 25 Iverson, Allen Allen Iverson * SG / PG Philadelphia 76ers (1996 - 2006, 2009 - 2010) 2006 -- 2008 ) Detroit Pistons ( 2008 -- 2009 ) Memphis Grizzlies ( 2009 )   24,368   914   26.7   8,467   1,059   6,375     26   Barkley , Charles Charles Barkley *   PF   Philadelphia 76ers ( 1984 -- 1992 ) Phoenix Suns ( 1992 -- 1996 ) Houston Rockets (1996 -2000) 23.757 1.073 22,1 8.435 538 6.349 27 Paróquia, Robert Robert Parish * Golden State Warriors (1976 -1980) Boston Celtics (1980 -1994) Charlotte Hornets (1994 -1996) Chicago Bultics (1996 - -1994) 1997) 23.334 1.611 14,5 9.614 0 4,106 28 Dantley, Adrian Adrian Dantley * SF Buffalo Braves (1976 - 1977) Indiana Pacers (1977) Los Angeles Lakers (1977 - 1979) - 1989) Dallas Mavericks (1989- 1990) Milwaukee Bucks (1991) 23.177 955 24,3 8.169 7 6.832 29 Baylor, Elgin Elgin Baylor * SF Minneapolis / Los Angeles Lakers (1958- 1971) 23.149 76 276 276 276 276 276 276 276 276 276 276 276 7. 7. 876 7. 876 276 276 276 7. 7. 876 276 276 276 276 7. 7. 7. 8. , Clyde Clyde Drexler *   SG   Portland Trail Blazers ( 1983 -- 1995 ) Houston Rockets ( 1995 -- 1998 )   22,195   1,086   20.4   8,335   827   4,698     31   Wade , Dwyane Dwyane Wade ^   SG   Miami Heat ( 2003 -- 2016 , 2018 -- present ) Chicago Bulls (2016 -2017) Cleveland Cavaliers (2017 -2018) 22.058 979 22,5 8.028 462 5.540 32 Payton, Gary Gary Payton * PG Seattle Supersonics (1990 -2003) Milwaukee (2003) Los Angeles Lakers (2003 -2003) 2004) Boston Celtics (2004 - 2005) Miami Heat (2005 - 2007) 21.813 1.335 16,3 8.708 1.132 3.265 33 Bird, Larry Bird * SF / PF Boston Celtics (1979 - 1992) 21,791 897.3.3.3.3.3.30, 33 33 33 33 31, 31,791, 897.3.3.3.3.30, 33 33 33 33, Larry Larry Bird * SF / PF Boston Celtics (1979 - 1992) 21.791 897.3.3.3.3.3.3084. , Hal Hal Greer * SG / PG Syracuse Nationals / Philadelphia 76ers (1958 - 1973) 21.586 1.122 19,2 8.504 0 4.578 35 Bellamy, Walt Walt Bellamy * Chicago Packers / Zephyrs / 19615 (19615) - 1968) Detroit Pistons (1968- 1970) Atlanta Hawks (1970- 1974) New Orleans Jazz (1974) 20.941 1.043 20,1 7.914 0 5.113 36 Pettit, Bob Bob Pettit * PF / C Milwaukee / St. Louis Hawks (1954 - 1965) 20.880 792 26,4 7.349 0 6.182 37 Durant, Kevin Kevin Durant ^ SF / SG Seattle Supersonics / Oklahoma City Thunder (2007- 2016) Golden State Warriors (2016- presente) 20.815 767 27,1 7,058 1,425 5. David David Robinson * San Antonio Spurs (1989 - 2003) 20.790 987 21,1 7.365 25 6.035 39 Gasol, Pau Pau Gasol ^ C / PF Memphis Grizzlies (2001 - 2008) Los Angeles Lakers (2008 - 2014) Chicago Bulls (2014 - 2016) San Antonio Spurs (2016- presente) 20.759 1.193 17,4 7.932 172 4.723 40 Gervin, George George Gervin * SG / SF San Antonio Spurs (1976- 1985) Chicago Bulls (1985) 20,708 791.2.2.2.2.285) 77 4.541 41 Richmond, Mitch Mitch Richmond * SG Golden State Warriors (1988 - 1991) Sacramento Kings (1991 - 1998) Washington Wizards (1999 - 2001) Los Angeles Lakers (2001 - 2002) 20.497 976 21,0 7,305 1,326 4,56) 42 Johnson, Joe Joe Johnson ^ SG / SF Boston Celtics (2001 - 2002) Phoenix Suns (2002 - 2005) Atlanta Hawks (2005 - 2012) Brooklyn Nets (2012 - 2016) Miami Heat (2016) Utah Jazz ( 2016 - 2018) Houston Rockets (2018 - presente) 20.386 1.272 16,0 7.815 1.976 2.780 43 Chambers, Tom Tom Chambers PF San Diego Clippers (1981 - 1983) Seattle Supersonics (1983 - 1988) Phoenix Sols (1988 - 1993) ) Utah Jazz (1993 - 1995) Charlotte Hornets (1997) Philadelphia 76ers (1997) 20.049 1.107 18,1 7.378 227 5.066 44 Jamison, Antawn Jamison PF / SF Golden Warriors (1999 - 2003) Dallas Mawn Mawn ) Washington Wizards (2004 - 2010) Cleveland Cavaliers (2010 - 2012) Los Angeles Lakers (2012 - 2013) Los Angeles Clippers (2013 - 2014) 20.042 1.083 18,5 7.679 1.163 3.521 45 Stockton, John Stockton * Pg Utah Jazz (1984 - 2003) 19.711 1.504 13,1 7.039 845 4.788 46 King, Bernard Bernard King * SF New Jersey Nets (1977 - 1979, 1993) Utah Jazz (1979) Golden State Warriors (1980 - 1982) New York Knicks ( 1982 - 1985, 1987) Washington Bullets (1987 - 1991) 19.655 874 22,5 7.830 23 3,972 47 Robinson, Clifford Clifford Robinson PF / SF Portland Trail Blazers (1989 - 1997) 2001 - 2003) Golden State Warriors (2003 - 2005) New Jersey Nets (2005 - 2007) 19.591 1.380 14,2 7.389 1.253 3.560 48 Davis, Walter Walter Davis SG / SF Phoenix Suns (1977 - 1988) Denvers Nugs (1988) - 1991. San Antonio Spurs (1989 - 1995) Seattle Supersonics (1996 - 1997) Philadelphia 76ers (1997 - 1998) New York Knicks (1998) Golden State Warriors (1999 - 2000) 19.460 1.183 16,4 8.045 44 3,326 50 LANIER Bob Lanier * Detroit Pistons (1970 - 1980) Milwaukee Bucks (1980 - 1984) 19.248 959 20.1 7.761 3.724</v>
      </c>
      <c r="I18" s="3" t="str">
        <f>IFERROR(__xludf.DUMMYFUNCTION("GOOGLETRANSLATE(E18)"),"Kareem Abdul - Jabbar")</f>
        <v>Kareem Abdul - Jabbar</v>
      </c>
    </row>
    <row r="19">
      <c r="A19" s="1">
        <v>17.0</v>
      </c>
      <c r="B19" s="3" t="s">
        <v>71</v>
      </c>
      <c r="C19" s="3" t="s">
        <v>72</v>
      </c>
      <c r="D19" s="3" t="s">
        <v>73</v>
      </c>
      <c r="F19" s="3" t="str">
        <f>IFERROR(__xludf.DUMMYFUNCTION("GOOGLETRANSLATE(B19)")," Era uma vez (6ª temporada)")</f>
        <v> Era uma vez (6ª temporada)</v>
      </c>
      <c r="G19" s="3" t="str">
        <f>IFERROR(__xludf.DUMMYFUNCTION("GOOGLETRANSLATE(C19)"),"Era uma vez a lista de episódios da 6ª temporada")</f>
        <v>Era uma vez a lista de episódios da 6ª temporada</v>
      </c>
      <c r="H19" s="3" t="str">
        <f>IFERROR(__xludf.DUMMYFUNCTION("GOOGLETRANSLATE(D19)"),"   Não . No. no título da temporada, dirigido por escrito pelos telespectadores originais da data do ar (milhões) 112 `` The Salvador '' Eagle Egilsson Edward Kitsis &amp; Adam Horowitz 25 de setembro de 2016 (2016 - 09 - 25) 3.99 No passado, Aladdin, Um `` S"&amp;"alvador '', é provocado por Jafar sobre a inevitável queda de todos os salvadores. Em Storybrooke, os refugiados chegam da terra de histórias não contadas. Emma experimenta tremores e visões; Um Hyde preso a ajuda a receber a visão de uma figura com capuz"&amp;" de uma figura encapuzada. Guiado por Morfeu, o ouro entra nos sonhos de Belle para levantar a maldição para dormir; Ele tenta renovar seu amor, mas ela o rejeita. `` Morfeu '' revela que ele é realmente o filho não nascido e desejou esse resultado. Belle"&amp;" acorda e deixa ouro. Henry convence Regina que Hades pode ter mentido sobre a alma de Robin Hood ter sido destruída. Zelena se muda com Regina, mas, depois de saber que sua irmã a culpa pela morte de Robin Hood, sai e é abordada pela rainha do mal. 113 `"&amp;"` a amargo Draft '' Ron Underwood Andrew Chambliss &amp; Dana Horgan 2 de outubro de 2016 (2016 - 10 - 02) 3,72 No passado na floresta encantada, a rainha maligna oferece para ajudar na plotagem de vingança de Edmond Dantes, o conde de Monte Cristo, se ele ma"&amp;"ta Snow e David. Quando ele se apaixona por Snow's Handmaiden, ele renega e foge com ela até a terra de histórias não contadas para salvá -la de veneno. Em Storybrooke, a rainha do mal recruta Zelena e usa o coração de Edmond para colocá -lo contra Snow e"&amp;" David; Regina mata Edmond para salvar os outros e percebe que mantém a capacidade de escuridão. A rainha do mal declara que as `` histórias 'incontroláveis' indesejadas serão reproduzidas. Ela dá evidências de David de que a morte de seu pai não foi acid"&amp;"ental. Belle vive no navio de Hook; Em um acordo com o ouro, a rainha do mal não vai prejudicar ela ou o bebê. Emma conta a Archie sobre suas visões e observa que Regina não está presente nelas e pode ser a figura com capuz. 114 `` The Other Shoe '' Steve"&amp;" Pearlman Jane Espenson e Jerome Schwartz 9 de outubro de 2016 (2016 - 10 - 09) 4.11 No passado na floresta encantada, Cinderela conhece o príncipe Thomas na bola, mas foge quando ela acredita que ele ama sua irmã stedra Clorinda; Clorinda realmente plane"&amp;"ja fugir com o lasão de Thomas, Jacob, mas sua mãe, Lady Tremaine, a seqüestra na terra de histórias não contadas depois de forçar a Cinderela a trair a localização de Clorinda. Em Storybrooke, Ashley espera se reconciliar com Clorinda. Ajudado pela rainh"&amp;"a maligna, Tremaine atrai Ashley em uma armadilha para ela e Jacob. Ashley protege Jacob; Clorinda se reúne com ele e perdoa a Cinderela, enquanto Tremaine é preso. Emma luta para controlar sua magia. A baleia ajuda Jekyll a recriar seu soro, enquanto a r"&amp;"ainha e o maluco e a Hyde formam uma aliança e ela o libera. Branca de neve quer normalidade, mas Davi secretamente investiga a morte de seu pai; O ouro fornece informações em troca de David entregando uma mensagem a Belle. 115 `` Caso Estranho '' Alrick "&amp;"Riley David H. Goodman &amp; Nelson Soler 16 de outubro de 2016 (2016 - 10 - 16) 3,53 No passado na Inglaterra vitoriana, Jekyll pede a Academia de Ciência para a associação, mas o Dr. Lydgate o rejeita. Rumplestiltskin chega e magicamente aperfeiçoa o soro d"&amp;"e Jekyll; Jekyll se transforma em Hyde, que chantageia Lydgate para a associação de Jekyll. Mary é filha de Lydgate e o amor não correspondido de Jekyll; Ela e Hyde se apaixonam. Jekyll acidentalmente defene a Mary; Ele enquadra Hyde. Em Storybrooke, o ou"&amp;"ro aprisiona Belle no navio para protegê -la de Hyde; Mas é Jekyll quem tenta matar Belle em vingança pelo papel de Rumplestiltskin na morte de Mary. Hook salva Belle matando Jekyll e Hyde morre de feridas idênticas; Regina pede a Emma que a mate, se nece"&amp;"ssário, para parar a rainha do mal. Gold adverte Belle que seu filho precisará de sua proteção. Mary Margaret retoma o ensino, e sua assistente Shirin a inspira a desenhar sua vida como neve. Shirin é secretamente a princesa Jasmine, trabalhando com o Ora"&amp;"cle para procurar Aladdin. 116 5 `` Ratos da rua '' Norman Buckley Edward Kitsis &amp; Adam Horowitz 23 de outubro de 2016 (2016 - 10 - 23) 3,40 No passado em Agrabah, Aladdin busca uma arma mágica para jasmim, para salvar o reino de Jafar; Ele é a arma e um "&amp;"salvador. Jafar tentam Aladdin com tesouras mágicas que podem separá -lo de seu destino como salvador e de sua morte resultante. Aladdin rejeita Jafar e salva Jasmine. Em Storybrooke, o Oracle é assassinado. Emma ajuda Jasmine, esperando que a sobrevivênc"&amp;"ia de Aladdin garanta a sua. Tendo fingido sua morte, Aladdin se revela a Emma e confessa que ele condenou Agrabah usando as tesouras, que ele lhe dá; Ela pede a Hook para descartá -los, mas ele secretamente os mantém. A rainha do mal representa Archie a "&amp;"aprender sobre as visões de Emma e convence Zelena a transformar Archie de volta em um críquete. 117 6 `` Dark Waters '' Robert Duncan Andrew Chambliss &amp; Brigitte Hales 30 de outubro de 2016 (2016 - 10 - 30) 3,06 Durante a maldição escura, o capitão Nemo "&amp;"seqüestra o gancho e o convida a se juntar à tripulação `` Família '' Submarino, Nautilus, em sua busca pela `` ilha misteriosa '', que é a terra de histórias não contadas. Hook descobre que o primeiro companheiro é o seu meio -irmão, Liam, e decide sair "&amp;"para evitar o confronto; Mas Liam o ataca, em vez de ferir mortalmente Nemo, que entra. No presente, Archie é libertado. Henry confronta o gancho sobre as tesouras, e Liam os aprisiona em Nautilus. Hook se abre e Henry o aceita como família; Eles se salva"&amp;"m e descartam as tesouras. A medicina moderna salva Nemo; Ele, Liam e Hook fazem as pazes. Emma e Aladdin discutem ser um salvador. Jasmine revela que Agrabah desapareceu. Snow apóia Belle em seu ultrassom. A rainha do mal seduz ouro e oferece as tesouras"&amp;" recuperadas em troca de ajuda para tomar o coração de Snow. 118 7 `` Heartless '' Ralph Hemecker Jane Espenson 6 de novembro de 2016 (2016 - 11 - 06) 3,56 No passado, a neve fugitiva e o pastor David viajam separadamente para Longbourn; Ela para fugir do"&amp;" reino e ele para vender sua fazenda em dificuldades. Sem nunca ver os rostos um do outro, David salva a neve de um caçador de recompensas e ela o paga com dinheiro para salvar a fazenda, decidindo não fugir. Suas mãos tocam e uma muda mágica é criada. No"&amp;" presente, a rainha maligna ameaça destruir Storybrooke com a água do rio das almas perdidas, a menos que Mary Margaret e David entregam seus corações. Eles aprendem que a muda pode impedir a rainha, que a destrói logo após encontrar. Mas isso lhes mostro"&amp;"u sua reunião anterior e eles concluem que seu amor pode suportar qualquer coisa; Eles se rendem. A rainha lança uma maldição para dormir em seus corações; Como eles compartilham o coração de Snow, a maldição afeta os dois; Cada um pode acordar o outro, m"&amp;"as imediatamente sucumbe à maldição, para que nunca possam estar acordados juntos. Regina usa o relacionamento de Gold com a rainha para separar o último de Zelena, que ganha a inimizade do ouro ao expor seus esquemas a Belle. 119 8 `` eu 'eu serei seu es"&amp;"pelho' 'Jennifer Lynch Jerome Schwartz e Leah Fong 13 de novembro de 2016 (2016 - 11 - 13) 3.40 Regina e Emma tentam prender magicamente a rainha maligna do mundo atrás do espelho, mas ela Prende -os lá, onde o dragão já está preso. Henry se prepara para "&amp;"uma data com Violet; A rainha representa Regina e tenta manipulá -lo, mas ele a reconhece. Emma e Regina Discover Sidney estavam construindo um portal espelho para fora do mundo e tentam terminar, mas a rainha do mal força o dragão a atacar Emma e Regina,"&amp;" usando seu coração, e tenta fazer Henry matar o dragão com o martelo de Hephestus ; Em vez disso, ele o usa para libertar suas mães. Mary Margaret e David se ajustam a viver em turnos. Belle pede a Zelena para ajudá -la a escapar do Storybrooke via porta"&amp;"l mágico e eles formam uma aliança com Aladdin e Jasmine. Aladdin rouba a lâmpada do Genie e a varinha do feiticeiro da loja de ouro, mas o ouro pega a varinha de Zelena e coloca um dispositivo de rastreamento mágico em Belle. Ele pede à rainha que mate Z"&amp;"elena, pois a conexão entre os corações dele e de Zelena a protege dele. 120 9 `` Changelings '' Mairzee Almas David H. Goodman e Brian Ridings 27 de novembro de 2016 (2016 - 11 - 27) 3,28 na floresta encantada, enquanto servidos por Belle, Rumplestiltski"&amp;"n sequestra um bebê para usar como isca para a fada negra , a mãe que o abandonou; Ela escapa sem responder às perguntas dele. No presente, Belle recebe conselhos de seu filho ainda não nascido, enquanto o ouro se torna cada vez mais desequilibrado. Resse"&amp;"ntindo a ordem de Gold para atacar Zelena, a rainha do mal acelera a gravidez de Belle; Mãe Superior entrega o filho de Belle, Gideon, e o envia para se esconder; O ouro promete encontrá -lo. Quando o gênio foi libertado, Aladdin toma seu lugar. Zelena e "&amp;"Regina continuam a brigar. Emma obtém a espada de sua visão. 121 10 `` Gostaria que você estivesse aqui '' Ron Underwood Edward Kitsis &amp; Adam Horowitz 4 de dezembro de 2016 (2016 - 12 - 04) 3.27 The Black Fairy seqüestros Gideon. Emma descobre que a espad"&amp;"a pode matar a rainha do mal sem machucar Regina. A rainha rouba a lâmpada e deseja Emma a uma realidade alternativa onde ela nunca foi o Salvador; Regina a segue. David e seus aliados pegam a lâmpada da rainha, que é transformada em serpente pela figura "&amp;"com capuz, revelou -se o adulto Gideon. Jasmine deseja a si mesma e Aladdin a Agrabah. No `` Wish Realm '', Emma vive como uma princesa até Regina restaurar traumaticamente sua memória. Regina libera Rumplestiltskin em troca de um feijão mágico, mas o por"&amp;"tal para Storybrooke fecha enquanto Regina é distraída pela aparência de Robin Hood. 122 11 `` mais difícil que o resto '' Billy Gierhart Edward Kitsis &amp; Adam Horowitz 5 de março de 2017 (2017 - 03 - 05) 3.03 Em 1990, Minnesota, uma jovem Emma é informada"&amp;" por um adolescente que ela tem o poder de mudar seu destino . Nos dias atuais, depois que eles perdem a saída do reino do desejo, Emma e Regina encontram outra opção de fuga quando se deparam com agosto, que concorda em ajudar a criar um novo portal. Reg"&amp;"ina vai encontrar Robin Hood para ver se ele estava melhor sem ela. Depois que Regina encontra Robin, eles são capturados pelo xerife de Nottingham e mais tarde pelo Reino do Wish Rumple. Robin acredita em Regina quando ela diz a ele sobre o fato de estar"&amp;"em em uma realidade alternativa. Emma descobre que agosto era a adolescente que conheceu em Minnesota e o inspira a completar o portal. Emma, ​​Regina e Robin retornam a Storybrooke, onde Gideon explica a ouro e belle sua intenção de matar Emma para que e"&amp;"le possa adquirir seus poderes salvadores e matar a fada negra, um movimento que tem David Furious e Belle em questão. Emma e Gideon finalmente se encontram para a batalha, mas Emma sobrevive, escolhendo seu próprio destino. Gideon se retira, proclamando "&amp;"isso longe de terminar. Gold e Belle decidem trabalhar juntos para o bem de seu filho. 123 12 `` assassinato mais falta '' Morgan Beggs Jerome Schwartz e Jane Espenson 12 de março de 2017 (2017 - 03 - 12) 3.06 Os eventos de como Robert, o pai de David e J"&amp;"ames, foi assassinado. Que Robert aprende o que aconteceu com James depois de fugir do rei George. Com a ajuda de Rumple, ele o rastreia para a ilha de prazer, mas sua reunião é interrompida pelo rei George, que ordena a execução de Robert. Sua morte afet"&amp;"a David nos dias atuais, depois que ele vê visões de Robert e pede a Hook para ajudá -lo, apesar de ser reformado. Quando Hook fica preocupado com o fato de David estar levando essa investigação longe demais indo atrás de Albert, ele intervém e traz David"&amp;" de volta à sanidade. Hook também está preocupado se David lhe dará sua bênção para se casar com Emma, ​​mas David faz. Enquanto isso, Regina tenta fazer o Wish Realm Robin assimilado em Storybrooke, mas logo questiona por que ele concordou em segui -la, "&amp;"pois acontece que ele tinha algo mais planejado depois de roubar um baú do cofre. A verdade sobre quem realmente assassinou Robert é revelado quando agosto dá a Hook Páginas que ele tirou do livro de Henry. Quando Hook vê uma ilustração do pai de David, e"&amp;"le o reconhece e se lembra de assassiná -lo durante um assalto na floresta encantada, para que não houvesse testemunha de seu crime. 124 13 `` doente - padrões de corpo '' Ron Underwood Andrew Chambliss &amp; Dana Horgan 19 de março de 2017 (2017 - 03 - 19) 2"&amp;".71 Durante a primeira guerra de Ogros, Beowulf lidera uma acusação assustadora no campo de batalha na floresta encantada da antiga. Depois que todo soldado foi morto, Beowulf se rende à morte, assim como Rumplestiltskin intervém, matando todos os ogros. "&amp;"Aclamado como um herói na vila, Beowulf está irritado com o novo título de Rumple. Ele cria um ardil para levar Rumple à sua morte. Temendo que ele não seria capaz de seguir adiante ao proteger os moradores sem magia negra, Rumple concede sua adaga a Bael"&amp;"fire como uma apólice de seguro. Após uma troca turbulenta e ameaça para enquadrar Rumplestiltskin como assassino, Beowulf retira. Sentindo a pressão de sua ameaça, Bae ordena que seu pai o mate. Mais tarde, Rumple doses Bae com uma poção de memória para "&amp;"apagar a provação de sua mente e restaurar sua inocência. Em Storybrooke, Rumple reconhece um padrão familiar em Gideon, que faz progressos em sua busca para matar Emma Swan à custa da vitalidade da Blue Fairy. Hook se preocupa com as repercussões de dize"&amp;"r a Emma seu segredo recém -revelado. Enquanto isso, Emma, ​​sem saber, força uma proposta depois de acontecer no anel de noivado de Hook. Robin of Locksley tenta fugir da cidade, mas sem sucesso. A rainha do mal escapa de seu confinamento reptiliano e do"&amp;"utrina Robin. 125 14 `` Página 23 '' Kate Woods David H. Goodman &amp; Brigitte Hales 26 de março de 2017 (2017 - 03 - 26) 2,85 Na floresta encantada, a rainha do mal está em busca de um feitiço que a ajudará a acabar Para sempre, mas seu pai tem amor em ment"&amp;"e pela filha e a leva em uma busca à flecha de Cupid. No entanto, a rainha do mal rebraia a flecha para seguir o ódio e descobre que a pessoa que ela mais despreza é ela mesma. Em Storybrooke, a rainha e Regina do mal enfrentam um confronto final. Quando "&amp;"Regina vence a vantagem, ela se lembra do auto -tiro da rainha do mal e divide uniformemente a luz e a escuridão em seus corações, para compartilhar seu amor e ódio e permitir que a rainha do mal se reformasse. Depois que Emma diminui o noivado, Hook deci"&amp;"de embarcar no Nautilus com o capitão Nemo. Hook mais tarde muda de idéia após uma conversa com a neve, mas, antes que ele possa voltar, Gideon seqüestra o navio e a envia de Storybrooke. 126 15 `` Um lugar maravilhoso '' Steve Pearlman Jane Espenson &amp; Je"&amp;"rome Schwartz 2 de abril de 2017 (2017 - 04 - 02) 2,80 Perto para a esperança, Regina sugere uma `` Night 'Night Out' 'para Emma com ela e Neve . Enquanto estava no bar, ela confia no mixologista e derrama uma lágrima. Enquanto isso, o Nautilus é transpor"&amp;"tado para a floresta encantada, onde Aladdin e Jasmine Board. Eles ainda precisam localizar Agrabah e estão se cansando. Depois de Hook e Jasmine confiam um ao outro, o navio é irrevogavelmente danificado e Jasmine usa um Genie deseja realocar o grupo par"&amp;"a a ilha onde Jafar está localizado. Eles descobrem uma cabana pertencente a Ariel e ao príncipe Eric. Ariel coletou uma lâmpada de gênio que abriga Jafar. Jasmine é capaz de influenciá -lo a divulgar a localização do Agrabah escondido antes de derrotá -l"&amp;"o com poeira mágica. Através do beijo de True Love, Aladdin e Jasmine, juntamente com Hook e Ariel, são transportados para a cidade restaurada e a maldição de Genie de Aladdin está quebrada. Ariel fornece gancho com um meio de chegar a Emma. Emma recebe a"&amp;" mensagem e Gideon, que não se disfarçam mais de mixologista, ameaça que ele use suas lágrimas para impedir Hook de voltar para Storybrooke, a menos que ela o ajude a matar a fada negra. Flashbacks para o primeiro encontro de Ariel e Jasmine mostram a pri"&amp;"ncesa Falter sob os truques de Jafar. 127 16 `` Mãe 'SO Little Helper' 'Billy Gierhart História de: Edward Kitsis e Adam Horowitz Teleplay por: Paul Karp 9 de abril de 2017 (2017 - 04 - 09) 2.60 em Storybrooke, Gold revela a Emma e Snow que o preto Fairy "&amp;"é sua mãe e que o elenco de maldição escura Regina foi criada pela fada negra. Emma concorda em ajudar Gideon a matar a fada negra, mas é dupla - cruzada por Gideon e deixou para morrer nas mãos de uma aranha gigante. Gideon abre um portal com a espada, p"&amp;"ermitindo que a fada negra entre em Storybrooke. Enquanto isso, na floresta encantada, Hook apostou no Jolly Roger por um feijão mágico em um jogo de cartas com Barba Negra. À medida que o Barba Negra e o gancho passam pelo portal, ele se dirige graças a "&amp;"Gideon e a dupla acaba em Neverland, na corrida dos remanescentes dos meninos perdidos de Peter Pan. De volta a Storybrooke, Henry experimenta uma mudança desorientadora em seus poderes de autor, então ele e Regina procuram ajuda da única pessoa que pode "&amp;"ajudá -los: o autor anterior, Isaac. Isaac revela a Regina e Henry que estão chegando ao fim da história em que o Salvador deve travar a batalha final. Os flashbacks revelam os abusos que a fada negra infligiu a Gideon e que a fada negra arrancou o coraçã"&amp;"o de Gideon e o está controlando para matar Emma. 128 17 `` acordado '' Sharat Raju Andrew Chambliss &amp; Leah Fong 16 de abril de 2017 (2017 - 04 - 16) 2.51 Regina trabalha febrilmente para acordar neve e encantador a partir da maldição do sono. O ouro fica"&amp;" cara a cara com a fada negra, o poderoso inimigo Emma deve lutar na batalha final. Hook, ainda em Neverland, se encontra com Tiger Lily, que lhe dá um pedaço de uma varinha de fada antiga para ajudar Emma a derrotar a fada negra. Gold confronta a fada ne"&amp;"gra sobre seu manipulação de Gideon com seu coração e ela sustenta que Storybrooke seria destruído se os dois lutassem. Uma flor de pixie permite que Emma abra uma porta para Neverland e Rescue Hook, que então reprova corretamente. Os habitantes da cidade"&amp;" se reúnem em torno dos pais adormecidos de Emma e cada uma das pequenas quantidades da maldição do sono para si mesma, diluindo -a e permitindo que a neve e Davi finalmente se reúnam. Em 1993, uma flor de pixie desperta neve e encantador de si mesmos ama"&amp;"ldiçoados, mas um Rumplestiltskin despertado diz que deve tomar uma decisão difícil de garantir que Emma cumpra seu destino como Salvador. 129 18 `` Onde os pássaros azuis voam '' Michael Schultz David H. Goodman &amp; Brigitte Hales 23 de abril de 2017 (2017"&amp;" - 04 - 23) 2.69 No passado de Zelena, seu amigo de infância Stanum pede sua ajuda para encontrar o coração carmesim Um artefato mágico que seria capaz de restaurar sua forma humana depois de ter sido amaldiçoado pela bruxa perversa do norte para se trans"&amp;"formar lentamente em lata. A recusa de Zelena em desistir de sua mágica leva ao seu Stanum traindo, enquanto ela mantém o coração e o deixa para se tornar o homem de lata. No presente, a fada negra tenta Zelena com uma oferta para se juntar a ela, apenas "&amp;"para que Zelena se opusesse a ela. Regina é trazida para o caos tentando parar sua irmã e eles encontram a fada negra e Gideon nas minas de cristal, com a fada negra enganando Zelena a utilizar sua magia escura instável para fortalecê -la para a batalha f"&amp;"inal. Percebendo que não há mais nada para suas costas em Oz, Zelena decide ajudar os moradores a lutar contra a fada negra usando o coração carmesim para desistir de sua magia, desfazendo a bagunça que ela fez nas minas. Emma então usa sua magia e um dos"&amp;" cristais para tirar a mãe superior de seu coma com alguma ajuda de Regina e Zelena. 130 19 `` The Black Fairy '' Alrick Riley Jerome Schwartz e Dana Horgan 30 de abril de 2017 (2017 - 04 - 30) 3.05 A origem do verdadeiro destino de Rumplestiltskin é reve"&amp;"lado Lily que ele estava destinado a se tornar o Salvador. Quando Fiona teme para o filho e escolhe o poder sobre proteger Rumple, isso resulta em que ela se torne a fada negra e a fada azul que a bania para o reino escuro. No presente, enquanto todos pro"&amp;"curam a varinha desaparecida, Gold leva Gideon e Emma ao mundo dos sonhos para procurar o coração de Gideon, onde os eventos dos flashbacks se desenrolam. Gold então confronta Fiona, mas ela revela a verdadeira razão por trás de que ele foi abandonado. Ma"&amp;"is tarde, Gold recupera o coração de Gideon e diz a todos que a fada negra está morta, abrindo caminho para o casamento de Emma e Hook. No entanto, Gold e Fiona fazem um acordo que verá a batalha final, com Emma sendo o salvador que lutará nela. Enquanto "&amp;"isso, Regina ajuda Zelena a se ajustar à vida sem seus poderes. 131 20 `` The Song in Your Heart '' Ron Underwood David H. Goodman e Andrew Chambliss 7 de maio de 2017 (2017 - 05 - 07) 2.87 No passado, a neve faz um desejo que concede toda a floresta enca"&amp;"ntada a capacidade de usar O presente da música como força, que também se espalha para Oz. Quando Regina é afetada pelo desejo, ela encontra uma maneira de acabar com isso antes que a primeira maldição ocorra, mas a fada azul, que concedeu a Snow the Wish"&amp;", diz a Snow e David que o desejo fará parte do destino de Emma. No passado de Emma, ​​sua chance de fazer uso de seu talento é retida ao saber que ela ficará sozinha. Isso voltaria a provocar Emma nos dias atuais, enquanto Fiona retorna para usar essa fr"&amp;"aqueza para levar o coração de Emma antes de liberar uma nova maldição no dia do casamento, com a ajuda do ouro congelando sua família. Quando Henry descobrir a página do livro que revela a música no coração de Emma a tornará mais forte, não apenas encora"&amp;"ja Emma, ​​mas também impede Fiona de esmagar seu coração, mas Fiona ainda diz a Emma que a batalha continuará. No dia do casamento, Emma e Hook finalmente se casam, bem a tempo das nuvens escuras da maldição da Black Fairy para irromper da torre do relóg"&amp;"io e as engolir às 18:00, montando a batalha final. 132 133 21 22 22 `` A batalha final '' Steve Pearlman Ralph Hemecker Edward Kitsis &amp; Adam Horowitz 14 de maio de 2017 (2017 - 05 - 14) 2.95 A maldição de Fiona altera o storybrooke, institucionalizando a"&amp;" Emma e deixando apenas Henry e ouro `` despertar , '' Enquanto envia outros aliados de Emma para seus reinos domésticos. A batalha final começa sobre a crença de Emma; Se ela parar de acreditar nos reinos da história, eles serão consumidos pela escuridão"&amp;" e deixarão de existir. Se todos os reinos forem destruídos, Fiona ganharia poderes desmarcados e seria capaz de quebrar as leis da magia à vontade. Na floresta encantada, os personagens banidos se reúnem no castelo de Regina; David e Hook obtêm um feijão"&amp;" mágico e a rainha do mal se sacrifica, impedindo a escuridão para adiar a destruição do grupo. Fiona convence Emma a destruir o livro, mas Henry Hand - desenha um que restaura sua crença a tempo de salvar todos no castelo. O ouro mata Fiona, que escondeu"&amp;" Belle e a transformou em um covarde; Isso quebra a maldição, que restaura as memórias de todos e os reunia em Storybrooke. No entanto, Gideon ainda está sob ordens para matar Emma. O ouro tenta libertar o coração de Gideon; No entanto, um feitiço lançado"&amp;" pela fada negra o impede de fazê -lo. Emma deita sua espada, permitindo que Gideon a empalba; Isso libera a magia leve de Emma e termina a batalha. Com o ouro e Emma tendo escolhido o bem, Gideon é devolvido à infância e os reinos são restaurados, e aque"&amp;"les que morreram na crise são revividos. Os personagens embarcam em seus `` felizes felizes. “Muitos anos depois, na nova floresta encantada, um adulto Henry desaparece enquanto defendia sua filha Lucy de uma entidade não identificada. Guiado por Tiger Li"&amp;"ly, Lucy viaja para Seattle, onde Henry não se lembra mais dela.")</f>
        <v>   Não . No. no título da temporada, dirigido por escrito pelos telespectadores originais da data do ar (milhões) 112 `` The Salvador '' Eagle Egilsson Edward Kitsis &amp; Adam Horowitz 25 de setembro de 2016 (2016 - 09 - 25) 3.99 No passado, Aladdin, Um `` Salvador '', é provocado por Jafar sobre a inevitável queda de todos os salvadores. Em Storybrooke, os refugiados chegam da terra de histórias não contadas. Emma experimenta tremores e visões; Um Hyde preso a ajuda a receber a visão de uma figura com capuz de uma figura encapuzada. Guiado por Morfeu, o ouro entra nos sonhos de Belle para levantar a maldição para dormir; Ele tenta renovar seu amor, mas ela o rejeita. `` Morfeu '' revela que ele é realmente o filho não nascido e desejou esse resultado. Belle acorda e deixa ouro. Henry convence Regina que Hades pode ter mentido sobre a alma de Robin Hood ter sido destruída. Zelena se muda com Regina, mas, depois de saber que sua irmã a culpa pela morte de Robin Hood, sai e é abordada pela rainha do mal. 113 `` a amargo Draft '' Ron Underwood Andrew Chambliss &amp; Dana Horgan 2 de outubro de 2016 (2016 - 10 - 02) 3,72 No passado na floresta encantada, a rainha maligna oferece para ajudar na plotagem de vingança de Edmond Dantes, o conde de Monte Cristo, se ele mata Snow e David. Quando ele se apaixona por Snow's Handmaiden, ele renega e foge com ela até a terra de histórias não contadas para salvá -la de veneno. Em Storybrooke, a rainha do mal recruta Zelena e usa o coração de Edmond para colocá -lo contra Snow e David; Regina mata Edmond para salvar os outros e percebe que mantém a capacidade de escuridão. A rainha do mal declara que as `` histórias 'incontroláveis' indesejadas serão reproduzidas. Ela dá evidências de David de que a morte de seu pai não foi acidental. Belle vive no navio de Hook; Em um acordo com o ouro, a rainha do mal não vai prejudicar ela ou o bebê. Emma conta a Archie sobre suas visões e observa que Regina não está presente nelas e pode ser a figura com capuz. 114 `` The Other Shoe '' Steve Pearlman Jane Espenson e Jerome Schwartz 9 de outubro de 2016 (2016 - 10 - 09) 4.11 No passado na floresta encantada, Cinderela conhece o príncipe Thomas na bola, mas foge quando ela acredita que ele ama sua irmã stedra Clorinda; Clorinda realmente planeja fugir com o lasão de Thomas, Jacob, mas sua mãe, Lady Tremaine, a seqüestra na terra de histórias não contadas depois de forçar a Cinderela a trair a localização de Clorinda. Em Storybrooke, Ashley espera se reconciliar com Clorinda. Ajudado pela rainha maligna, Tremaine atrai Ashley em uma armadilha para ela e Jacob. Ashley protege Jacob; Clorinda se reúne com ele e perdoa a Cinderela, enquanto Tremaine é preso. Emma luta para controlar sua magia. A baleia ajuda Jekyll a recriar seu soro, enquanto a rainha e o maluco e a Hyde formam uma aliança e ela o libera. Branca de neve quer normalidade, mas Davi secretamente investiga a morte de seu pai; O ouro fornece informações em troca de David entregando uma mensagem a Belle. 115 `` Caso Estranho '' Alrick Riley David H. Goodman &amp; Nelson Soler 16 de outubro de 2016 (2016 - 10 - 16) 3,53 No passado na Inglaterra vitoriana, Jekyll pede a Academia de Ciência para a associação, mas o Dr. Lydgate o rejeita. Rumplestiltskin chega e magicamente aperfeiçoa o soro de Jekyll; Jekyll se transforma em Hyde, que chantageia Lydgate para a associação de Jekyll. Mary é filha de Lydgate e o amor não correspondido de Jekyll; Ela e Hyde se apaixonam. Jekyll acidentalmente defene a Mary; Ele enquadra Hyde. Em Storybrooke, o ouro aprisiona Belle no navio para protegê -la de Hyde; Mas é Jekyll quem tenta matar Belle em vingança pelo papel de Rumplestiltskin na morte de Mary. Hook salva Belle matando Jekyll e Hyde morre de feridas idênticas; Regina pede a Emma que a mate, se necessário, para parar a rainha do mal. Gold adverte Belle que seu filho precisará de sua proteção. Mary Margaret retoma o ensino, e sua assistente Shirin a inspira a desenhar sua vida como neve. Shirin é secretamente a princesa Jasmine, trabalhando com o Oracle para procurar Aladdin. 116 5 `` Ratos da rua '' Norman Buckley Edward Kitsis &amp; Adam Horowitz 23 de outubro de 2016 (2016 - 10 - 23) 3,40 No passado em Agrabah, Aladdin busca uma arma mágica para jasmim, para salvar o reino de Jafar; Ele é a arma e um salvador. Jafar tentam Aladdin com tesouras mágicas que podem separá -lo de seu destino como salvador e de sua morte resultante. Aladdin rejeita Jafar e salva Jasmine. Em Storybrooke, o Oracle é assassinado. Emma ajuda Jasmine, esperando que a sobrevivência de Aladdin garanta a sua. Tendo fingido sua morte, Aladdin se revela a Emma e confessa que ele condenou Agrabah usando as tesouras, que ele lhe dá; Ela pede a Hook para descartá -los, mas ele secretamente os mantém. A rainha do mal representa Archie a aprender sobre as visões de Emma e convence Zelena a transformar Archie de volta em um críquete. 117 6 `` Dark Waters '' Robert Duncan Andrew Chambliss &amp; Brigitte Hales 30 de outubro de 2016 (2016 - 10 - 30) 3,06 Durante a maldição escura, o capitão Nemo seqüestra o gancho e o convida a se juntar à tripulação `` Família '' Submarino, Nautilus, em sua busca pela `` ilha misteriosa '', que é a terra de histórias não contadas. Hook descobre que o primeiro companheiro é o seu meio -irmão, Liam, e decide sair para evitar o confronto; Mas Liam o ataca, em vez de ferir mortalmente Nemo, que entra. No presente, Archie é libertado. Henry confronta o gancho sobre as tesouras, e Liam os aprisiona em Nautilus. Hook se abre e Henry o aceita como família; Eles se salvam e descartam as tesouras. A medicina moderna salva Nemo; Ele, Liam e Hook fazem as pazes. Emma e Aladdin discutem ser um salvador. Jasmine revela que Agrabah desapareceu. Snow apóia Belle em seu ultrassom. A rainha do mal seduz ouro e oferece as tesouras recuperadas em troca de ajuda para tomar o coração de Snow. 118 7 `` Heartless '' Ralph Hemecker Jane Espenson 6 de novembro de 2016 (2016 - 11 - 06) 3,56 No passado, a neve fugitiva e o pastor David viajam separadamente para Longbourn; Ela para fugir do reino e ele para vender sua fazenda em dificuldades. Sem nunca ver os rostos um do outro, David salva a neve de um caçador de recompensas e ela o paga com dinheiro para salvar a fazenda, decidindo não fugir. Suas mãos tocam e uma muda mágica é criada. No presente, a rainha maligna ameaça destruir Storybrooke com a água do rio das almas perdidas, a menos que Mary Margaret e David entregam seus corações. Eles aprendem que a muda pode impedir a rainha, que a destrói logo após encontrar. Mas isso lhes mostrou sua reunião anterior e eles concluem que seu amor pode suportar qualquer coisa; Eles se rendem. A rainha lança uma maldição para dormir em seus corações; Como eles compartilham o coração de Snow, a maldição afeta os dois; Cada um pode acordar o outro, mas imediatamente sucumbe à maldição, para que nunca possam estar acordados juntos. Regina usa o relacionamento de Gold com a rainha para separar o último de Zelena, que ganha a inimizade do ouro ao expor seus esquemas a Belle. 119 8 `` eu 'eu serei seu espelho' 'Jennifer Lynch Jerome Schwartz e Leah Fong 13 de novembro de 2016 (2016 - 11 - 13) 3.40 Regina e Emma tentam prender magicamente a rainha maligna do mundo atrás do espelho, mas ela Prende -os lá, onde o dragão já está preso. Henry se prepara para uma data com Violet; A rainha representa Regina e tenta manipulá -lo, mas ele a reconhece. Emma e Regina Discover Sidney estavam construindo um portal espelho para fora do mundo e tentam terminar, mas a rainha do mal força o dragão a atacar Emma e Regina, usando seu coração, e tenta fazer Henry matar o dragão com o martelo de Hephestus ; Em vez disso, ele o usa para libertar suas mães. Mary Margaret e David se ajustam a viver em turnos. Belle pede a Zelena para ajudá -la a escapar do Storybrooke via portal mágico e eles formam uma aliança com Aladdin e Jasmine. Aladdin rouba a lâmpada do Genie e a varinha do feiticeiro da loja de ouro, mas o ouro pega a varinha de Zelena e coloca um dispositivo de rastreamento mágico em Belle. Ele pede à rainha que mate Zelena, pois a conexão entre os corações dele e de Zelena a protege dele. 120 9 `` Changelings '' Mairzee Almas David H. Goodman e Brian Ridings 27 de novembro de 2016 (2016 - 11 - 27) 3,28 na floresta encantada, enquanto servidos por Belle, Rumplestiltskin sequestra um bebê para usar como isca para a fada negra , a mãe que o abandonou; Ela escapa sem responder às perguntas dele. No presente, Belle recebe conselhos de seu filho ainda não nascido, enquanto o ouro se torna cada vez mais desequilibrado. Ressentindo a ordem de Gold para atacar Zelena, a rainha do mal acelera a gravidez de Belle; Mãe Superior entrega o filho de Belle, Gideon, e o envia para se esconder; O ouro promete encontrá -lo. Quando o gênio foi libertado, Aladdin toma seu lugar. Zelena e Regina continuam a brigar. Emma obtém a espada de sua visão. 121 10 `` Gostaria que você estivesse aqui '' Ron Underwood Edward Kitsis &amp; Adam Horowitz 4 de dezembro de 2016 (2016 - 12 - 04) 3.27 The Black Fairy seqüestros Gideon. Emma descobre que a espada pode matar a rainha do mal sem machucar Regina. A rainha rouba a lâmpada e deseja Emma a uma realidade alternativa onde ela nunca foi o Salvador; Regina a segue. David e seus aliados pegam a lâmpada da rainha, que é transformada em serpente pela figura com capuz, revelou -se o adulto Gideon. Jasmine deseja a si mesma e Aladdin a Agrabah. No `` Wish Realm '', Emma vive como uma princesa até Regina restaurar traumaticamente sua memória. Regina libera Rumplestiltskin em troca de um feijão mágico, mas o portal para Storybrooke fecha enquanto Regina é distraída pela aparência de Robin Hood. 122 11 `` mais difícil que o resto '' Billy Gierhart Edward Kitsis &amp; Adam Horowitz 5 de março de 2017 (2017 - 03 - 05) 3.03 Em 1990, Minnesota, uma jovem Emma é informada por um adolescente que ela tem o poder de mudar seu destino . Nos dias atuais, depois que eles perdem a saída do reino do desejo, Emma e Regina encontram outra opção de fuga quando se deparam com agosto, que concorda em ajudar a criar um novo portal. Regina vai encontrar Robin Hood para ver se ele estava melhor sem ela. Depois que Regina encontra Robin, eles são capturados pelo xerife de Nottingham e mais tarde pelo Reino do Wish Rumple. Robin acredita em Regina quando ela diz a ele sobre o fato de estarem em uma realidade alternativa. Emma descobre que agosto era a adolescente que conheceu em Minnesota e o inspira a completar o portal. Emma, ​​Regina e Robin retornam a Storybrooke, onde Gideon explica a ouro e belle sua intenção de matar Emma para que ele possa adquirir seus poderes salvadores e matar a fada negra, um movimento que tem David Furious e Belle em questão. Emma e Gideon finalmente se encontram para a batalha, mas Emma sobrevive, escolhendo seu próprio destino. Gideon se retira, proclamando isso longe de terminar. Gold e Belle decidem trabalhar juntos para o bem de seu filho. 123 12 `` assassinato mais falta '' Morgan Beggs Jerome Schwartz e Jane Espenson 12 de março de 2017 (2017 - 03 - 12) 3.06 Os eventos de como Robert, o pai de David e James, foi assassinado. Que Robert aprende o que aconteceu com James depois de fugir do rei George. Com a ajuda de Rumple, ele o rastreia para a ilha de prazer, mas sua reunião é interrompida pelo rei George, que ordena a execução de Robert. Sua morte afeta David nos dias atuais, depois que ele vê visões de Robert e pede a Hook para ajudá -lo, apesar de ser reformado. Quando Hook fica preocupado com o fato de David estar levando essa investigação longe demais indo atrás de Albert, ele intervém e traz David de volta à sanidade. Hook também está preocupado se David lhe dará sua bênção para se casar com Emma, ​​mas David faz. Enquanto isso, Regina tenta fazer o Wish Realm Robin assimilado em Storybrooke, mas logo questiona por que ele concordou em segui -la, pois acontece que ele tinha algo mais planejado depois de roubar um baú do cofre. A verdade sobre quem realmente assassinou Robert é revelado quando agosto dá a Hook Páginas que ele tirou do livro de Henry. Quando Hook vê uma ilustração do pai de David, ele o reconhece e se lembra de assassiná -lo durante um assalto na floresta encantada, para que não houvesse testemunha de seu crime. 124 13 `` doente - padrões de corpo '' Ron Underwood Andrew Chambliss &amp; Dana Horgan 19 de março de 2017 (2017 - 03 - 19) 2.71 Durante a primeira guerra de Ogros, Beowulf lidera uma acusação assustadora no campo de batalha na floresta encantada da antiga. Depois que todo soldado foi morto, Beowulf se rende à morte, assim como Rumplestiltskin intervém, matando todos os ogros. Aclamado como um herói na vila, Beowulf está irritado com o novo título de Rumple. Ele cria um ardil para levar Rumple à sua morte. Temendo que ele não seria capaz de seguir adiante ao proteger os moradores sem magia negra, Rumple concede sua adaga a Baelfire como uma apólice de seguro. Após uma troca turbulenta e ameaça para enquadrar Rumplestiltskin como assassino, Beowulf retira. Sentindo a pressão de sua ameaça, Bae ordena que seu pai o mate. Mais tarde, Rumple doses Bae com uma poção de memória para apagar a provação de sua mente e restaurar sua inocência. Em Storybrooke, Rumple reconhece um padrão familiar em Gideon, que faz progressos em sua busca para matar Emma Swan à custa da vitalidade da Blue Fairy. Hook se preocupa com as repercussões de dizer a Emma seu segredo recém -revelado. Enquanto isso, Emma, ​​sem saber, força uma proposta depois de acontecer no anel de noivado de Hook. Robin of Locksley tenta fugir da cidade, mas sem sucesso. A rainha do mal escapa de seu confinamento reptiliano e doutrina Robin. 125 14 `` Página 23 '' Kate Woods David H. Goodman &amp; Brigitte Hales 26 de março de 2017 (2017 - 03 - 26) 2,85 Na floresta encantada, a rainha do mal está em busca de um feitiço que a ajudará a acabar Para sempre, mas seu pai tem amor em mente pela filha e a leva em uma busca à flecha de Cupid. No entanto, a rainha do mal rebraia a flecha para seguir o ódio e descobre que a pessoa que ela mais despreza é ela mesma. Em Storybrooke, a rainha e Regina do mal enfrentam um confronto final. Quando Regina vence a vantagem, ela se lembra do auto -tiro da rainha do mal e divide uniformemente a luz e a escuridão em seus corações, para compartilhar seu amor e ódio e permitir que a rainha do mal se reformasse. Depois que Emma diminui o noivado, Hook decide embarcar no Nautilus com o capitão Nemo. Hook mais tarde muda de idéia após uma conversa com a neve, mas, antes que ele possa voltar, Gideon seqüestra o navio e a envia de Storybrooke. 126 15 `` Um lugar maravilhoso '' Steve Pearlman Jane Espenson &amp; Jerome Schwartz 2 de abril de 2017 (2017 - 04 - 02) 2,80 Perto para a esperança, Regina sugere uma `` Night 'Night Out' 'para Emma com ela e Neve . Enquanto estava no bar, ela confia no mixologista e derrama uma lágrima. Enquanto isso, o Nautilus é transportado para a floresta encantada, onde Aladdin e Jasmine Board. Eles ainda precisam localizar Agrabah e estão se cansando. Depois de Hook e Jasmine confiam um ao outro, o navio é irrevogavelmente danificado e Jasmine usa um Genie deseja realocar o grupo para a ilha onde Jafar está localizado. Eles descobrem uma cabana pertencente a Ariel e ao príncipe Eric. Ariel coletou uma lâmpada de gênio que abriga Jafar. Jasmine é capaz de influenciá -lo a divulgar a localização do Agrabah escondido antes de derrotá -lo com poeira mágica. Através do beijo de True Love, Aladdin e Jasmine, juntamente com Hook e Ariel, são transportados para a cidade restaurada e a maldição de Genie de Aladdin está quebrada. Ariel fornece gancho com um meio de chegar a Emma. Emma recebe a mensagem e Gideon, que não se disfarçam mais de mixologista, ameaça que ele use suas lágrimas para impedir Hook de voltar para Storybrooke, a menos que ela o ajude a matar a fada negra. Flashbacks para o primeiro encontro de Ariel e Jasmine mostram a princesa Falter sob os truques de Jafar. 127 16 `` Mãe 'SO Little Helper' 'Billy Gierhart História de: Edward Kitsis e Adam Horowitz Teleplay por: Paul Karp 9 de abril de 2017 (2017 - 04 - 09) 2.60 em Storybrooke, Gold revela a Emma e Snow que o preto Fairy é sua mãe e que o elenco de maldição escura Regina foi criada pela fada negra. Emma concorda em ajudar Gideon a matar a fada negra, mas é dupla - cruzada por Gideon e deixou para morrer nas mãos de uma aranha gigante. Gideon abre um portal com a espada, permitindo que a fada negra entre em Storybrooke. Enquanto isso, na floresta encantada, Hook apostou no Jolly Roger por um feijão mágico em um jogo de cartas com Barba Negra. À medida que o Barba Negra e o gancho passam pelo portal, ele se dirige graças a Gideon e a dupla acaba em Neverland, na corrida dos remanescentes dos meninos perdidos de Peter Pan. De volta a Storybrooke, Henry experimenta uma mudança desorientadora em seus poderes de autor, então ele e Regina procuram ajuda da única pessoa que pode ajudá -los: o autor anterior, Isaac. Isaac revela a Regina e Henry que estão chegando ao fim da história em que o Salvador deve travar a batalha final. Os flashbacks revelam os abusos que a fada negra infligiu a Gideon e que a fada negra arrancou o coração de Gideon e o está controlando para matar Emma. 128 17 `` acordado '' Sharat Raju Andrew Chambliss &amp; Leah Fong 16 de abril de 2017 (2017 - 04 - 16) 2.51 Regina trabalha febrilmente para acordar neve e encantador a partir da maldição do sono. O ouro fica cara a cara com a fada negra, o poderoso inimigo Emma deve lutar na batalha final. Hook, ainda em Neverland, se encontra com Tiger Lily, que lhe dá um pedaço de uma varinha de fada antiga para ajudar Emma a derrotar a fada negra. Gold confronta a fada negra sobre seu manipulação de Gideon com seu coração e ela sustenta que Storybrooke seria destruído se os dois lutassem. Uma flor de pixie permite que Emma abra uma porta para Neverland e Rescue Hook, que então reprova corretamente. Os habitantes da cidade se reúnem em torno dos pais adormecidos de Emma e cada uma das pequenas quantidades da maldição do sono para si mesma, diluindo -a e permitindo que a neve e Davi finalmente se reúnam. Em 1993, uma flor de pixie desperta neve e encantador de si mesmos amaldiçoados, mas um Rumplestiltskin despertado diz que deve tomar uma decisão difícil de garantir que Emma cumpra seu destino como Salvador. 129 18 `` Onde os pássaros azuis voam '' Michael Schultz David H. Goodman &amp; Brigitte Hales 23 de abril de 2017 (2017 - 04 - 23) 2.69 No passado de Zelena, seu amigo de infância Stanum pede sua ajuda para encontrar o coração carmesim Um artefato mágico que seria capaz de restaurar sua forma humana depois de ter sido amaldiçoado pela bruxa perversa do norte para se transformar lentamente em lata. A recusa de Zelena em desistir de sua mágica leva ao seu Stanum traindo, enquanto ela mantém o coração e o deixa para se tornar o homem de lata. No presente, a fada negra tenta Zelena com uma oferta para se juntar a ela, apenas para que Zelena se opusesse a ela. Regina é trazida para o caos tentando parar sua irmã e eles encontram a fada negra e Gideon nas minas de cristal, com a fada negra enganando Zelena a utilizar sua magia escura instável para fortalecê -la para a batalha final. Percebendo que não há mais nada para suas costas em Oz, Zelena decide ajudar os moradores a lutar contra a fada negra usando o coração carmesim para desistir de sua magia, desfazendo a bagunça que ela fez nas minas. Emma então usa sua magia e um dos cristais para tirar a mãe superior de seu coma com alguma ajuda de Regina e Zelena. 130 19 `` The Black Fairy '' Alrick Riley Jerome Schwartz e Dana Horgan 30 de abril de 2017 (2017 - 04 - 30) 3.05 A origem do verdadeiro destino de Rumplestiltskin é revelado Lily que ele estava destinado a se tornar o Salvador. Quando Fiona teme para o filho e escolhe o poder sobre proteger Rumple, isso resulta em que ela se torne a fada negra e a fada azul que a bania para o reino escuro. No presente, enquanto todos procuram a varinha desaparecida, Gold leva Gideon e Emma ao mundo dos sonhos para procurar o coração de Gideon, onde os eventos dos flashbacks se desenrolam. Gold então confronta Fiona, mas ela revela a verdadeira razão por trás de que ele foi abandonado. Mais tarde, Gold recupera o coração de Gideon e diz a todos que a fada negra está morta, abrindo caminho para o casamento de Emma e Hook. No entanto, Gold e Fiona fazem um acordo que verá a batalha final, com Emma sendo o salvador que lutará nela. Enquanto isso, Regina ajuda Zelena a se ajustar à vida sem seus poderes. 131 20 `` The Song in Your Heart '' Ron Underwood David H. Goodman e Andrew Chambliss 7 de maio de 2017 (2017 - 05 - 07) 2.87 No passado, a neve faz um desejo que concede toda a floresta encantada a capacidade de usar O presente da música como força, que também se espalha para Oz. Quando Regina é afetada pelo desejo, ela encontra uma maneira de acabar com isso antes que a primeira maldição ocorra, mas a fada azul, que concedeu a Snow the Wish, diz a Snow e David que o desejo fará parte do destino de Emma. No passado de Emma, ​​sua chance de fazer uso de seu talento é retida ao saber que ela ficará sozinha. Isso voltaria a provocar Emma nos dias atuais, enquanto Fiona retorna para usar essa fraqueza para levar o coração de Emma antes de liberar uma nova maldição no dia do casamento, com a ajuda do ouro congelando sua família. Quando Henry descobrir a página do livro que revela a música no coração de Emma a tornará mais forte, não apenas encoraja Emma, ​​mas também impede Fiona de esmagar seu coração, mas Fiona ainda diz a Emma que a batalha continuará. No dia do casamento, Emma e Hook finalmente se casam, bem a tempo das nuvens escuras da maldição da Black Fairy para irromper da torre do relógio e as engolir às 18:00, montando a batalha final. 132 133 21 22 22 `` A batalha final '' Steve Pearlman Ralph Hemecker Edward Kitsis &amp; Adam Horowitz 14 de maio de 2017 (2017 - 05 - 14) 2.95 A maldição de Fiona altera o storybrooke, institucionalizando a Emma e deixando apenas Henry e ouro `` despertar , '' Enquanto envia outros aliados de Emma para seus reinos domésticos. A batalha final começa sobre a crença de Emma; Se ela parar de acreditar nos reinos da história, eles serão consumidos pela escuridão e deixarão de existir. Se todos os reinos forem destruídos, Fiona ganharia poderes desmarcados e seria capaz de quebrar as leis da magia à vontade. Na floresta encantada, os personagens banidos se reúnem no castelo de Regina; David e Hook obtêm um feijão mágico e a rainha do mal se sacrifica, impedindo a escuridão para adiar a destruição do grupo. Fiona convence Emma a destruir o livro, mas Henry Hand - desenha um que restaura sua crença a tempo de salvar todos no castelo. O ouro mata Fiona, que escondeu Belle e a transformou em um covarde; Isso quebra a maldição, que restaura as memórias de todos e os reunia em Storybrooke. No entanto, Gideon ainda está sob ordens para matar Emma. O ouro tenta libertar o coração de Gideon; No entanto, um feitiço lançado pela fada negra o impede de fazê -lo. Emma deita sua espada, permitindo que Gideon a empalba; Isso libera a magia leve de Emma e termina a batalha. Com o ouro e Emma tendo escolhido o bem, Gideon é devolvido à infância e os reinos são restaurados, e aqueles que morreram na crise são revividos. Os personagens embarcam em seus `` felizes felizes. “Muitos anos depois, na nova floresta encantada, um adulto Henry desaparece enquanto defendia sua filha Lucy de uma entidade não identificada. Guiado por Tiger Lily, Lucy viaja para Seattle, onde Henry não se lembra mais dela.</v>
      </c>
      <c r="I19" s="3" t="str">
        <f>IFERROR(__xludf.DUMMYFUNCTION("GOOGLETRANSLATE(E19)"),"#VALUE!")</f>
        <v>#VALUE!</v>
      </c>
    </row>
    <row r="20">
      <c r="A20" s="1">
        <v>18.0</v>
      </c>
      <c r="B20" s="3" t="s">
        <v>74</v>
      </c>
      <c r="C20" s="3" t="s">
        <v>75</v>
      </c>
      <c r="D20" s="3" t="s">
        <v>76</v>
      </c>
      <c r="F20" s="3" t="str">
        <f>IFERROR(__xludf.DUMMYFUNCTION("GOOGLETRANSLATE(B20)")," Leis de armas na Geórgia")</f>
        <v> Leis de armas na Geórgia</v>
      </c>
      <c r="G20" s="3" t="str">
        <f>IFERROR(__xludf.DUMMYFUNCTION("GOOGLETRANSLATE(C20)"),"onde está uma georgia oculta a permissão de transporte válida")</f>
        <v>onde está uma georgia oculta a permissão de transporte válida</v>
      </c>
      <c r="H20" s="3" t="str">
        <f>IFERROR(__xludf.DUMMYFUNCTION("GOOGLETRANSLATE(D20)")," Georgia Reciprocates in recognizing firearms licenses with the following state states : Alabama , Alaska , Arizona , Arkansas , Colorida , Idaho , Indiana , Iowa , Kentucky Re , North Carolina , North Dakota , Ohio , Oklahoma , Pennsylvania , South Carol"&amp;"ina , South Dakota , Texsee , Texas, Utah, Virgínia, Virgínia Ocidental, Wisconsin e Wyoming")</f>
        <v> Georgia Reciprocates in recognizing firearms licenses with the following state states : Alabama , Alaska , Arizona , Arkansas , Colorida , Idaho , Indiana , Iowa , Kentucky Re , North Carolina , North Dakota , Ohio , Oklahoma , Pennsylvania , South Carolina , South Dakota , Texsee , Texas, Utah, Virgínia, Virgínia Ocidental, Wisconsin e Wyoming</v>
      </c>
      <c r="I20" s="3" t="str">
        <f>IFERROR(__xludf.DUMMYFUNCTION("GOOGLETRANSLATE(E20)"),"#VALUE!")</f>
        <v>#VALUE!</v>
      </c>
    </row>
    <row r="21" ht="15.75" customHeight="1">
      <c r="A21" s="1">
        <v>19.0</v>
      </c>
      <c r="B21" s="3" t="s">
        <v>77</v>
      </c>
      <c r="C21" s="3" t="s">
        <v>78</v>
      </c>
      <c r="D21" s="3" t="s">
        <v>79</v>
      </c>
      <c r="E21" s="3" t="s">
        <v>80</v>
      </c>
      <c r="F21" s="3" t="str">
        <f>IFERROR(__xludf.DUMMYFUNCTION("GOOGLETRANSLATE(B21)")," Maze Runner: The Death Cure")</f>
        <v> Maze Runner: The Death Cure</v>
      </c>
      <c r="G21" s="3" t="str">
        <f>IFERROR(__xludf.DUMMYFUNCTION("GOOGLETRANSLATE(C21)"),"Quando o novo filme do Maze Runner saiu")</f>
        <v>Quando o novo filme do Maze Runner saiu</v>
      </c>
      <c r="H21" s="3" t="str">
        <f>IFERROR(__xludf.DUMMYFUNCTION("GOOGLETRANSLATE(D21)")," Maze Runner: The Death Cure foi originalmente lançado em 17 de fevereiro de 2017, nos Estados Unidos na 20th Century Fox, mas o estúdio reagendou o lançamento do filme para 26 de janeiro de 2018 em teatros e IMAX, permitindo tempo para O Brien para se re"&amp;"cuperar de ferimentos que sofreu durante as filmagens. O filme recebeu críticas mistas da Critics e arrecadou mais de US $ 272 milhões em todo o mundo.")</f>
        <v> Maze Runner: The Death Cure foi originalmente lançado em 17 de fevereiro de 2017, nos Estados Unidos na 20th Century Fox, mas o estúdio reagendou o lançamento do filme para 26 de janeiro de 2018 em teatros e IMAX, permitindo tempo para O Brien para se recuperar de ferimentos que sofreu durante as filmagens. O filme recebeu críticas mistas da Critics e arrecadou mais de US $ 272 milhões em todo o mundo.</v>
      </c>
      <c r="I21" s="3" t="str">
        <f>IFERROR(__xludf.DUMMYFUNCTION("GOOGLETRANSLATE(E21)"),"26 de janeiro de 2018")</f>
        <v>26 de janeiro de 2018</v>
      </c>
    </row>
    <row r="22" ht="15.75" customHeight="1">
      <c r="A22" s="1">
        <v>20.0</v>
      </c>
      <c r="B22" s="3" t="s">
        <v>81</v>
      </c>
      <c r="C22" s="3" t="s">
        <v>82</v>
      </c>
      <c r="D22" s="3" t="s">
        <v>83</v>
      </c>
      <c r="E22" s="3" t="s">
        <v>84</v>
      </c>
      <c r="F22" s="3" t="str">
        <f>IFERROR(__xludf.DUMMYFUNCTION("GOOGLETRANSLATE(B22)")," Lacrosse de caixa")</f>
        <v> Lacrosse de caixa</v>
      </c>
      <c r="G22" s="3" t="str">
        <f>IFERROR(__xludf.DUMMYFUNCTION("GOOGLETRANSLATE(C22)"),"Quantos jogadores em um time de lacrosse de caixa")</f>
        <v>Quantos jogadores em um time de lacrosse de caixa</v>
      </c>
      <c r="H22" s="3" t="str">
        <f>IFERROR(__xludf.DUMMYFUNCTION("GOOGLETRANSLATE(D22)")," Durante o jogo, um time é composto por seis jogadores: um goleiro e cinco `` corredores ''. Um corredor é qualquer jogador de posição não-Goalkeeper, incluindo atacantes, jogadores de transição e defensores. Os corredores geralmente se especializam em um"&amp;" desses papéis e substituem o campo quando a bola se move de uma extremidade para a outra. Quando o esporte se originou, as equipes jogaram com seis corredores. No entanto, em 1953, o sexto corredor, uma posição chamado rover, foi eliminado. O goleiro pod"&amp;"e ser substituído por outro corredor, geralmente quando uma penalidade atrasada é chamada para o outro time ou no final dos jogos por equipes que estão atrasadas para ajudar a marcar gols.")</f>
        <v> Durante o jogo, um time é composto por seis jogadores: um goleiro e cinco `` corredores ''. Um corredor é qualquer jogador de posição não-Goalkeeper, incluindo atacantes, jogadores de transição e defensores. Os corredores geralmente se especializam em um desses papéis e substituem o campo quando a bola se move de uma extremidade para a outra. Quando o esporte se originou, as equipes jogaram com seis corredores. No entanto, em 1953, o sexto corredor, uma posição chamado rover, foi eliminado. O goleiro pode ser substituído por outro corredor, geralmente quando uma penalidade atrasada é chamada para o outro time ou no final dos jogos por equipes que estão atrasadas para ajudar a marcar gols.</v>
      </c>
      <c r="I22" s="3" t="str">
        <f>IFERROR(__xludf.DUMMYFUNCTION("GOOGLETRANSLATE(E22)"),"seis")</f>
        <v>seis</v>
      </c>
    </row>
    <row r="23" ht="15.75" customHeight="1">
      <c r="A23" s="1">
        <v>21.0</v>
      </c>
      <c r="B23" s="3" t="s">
        <v>85</v>
      </c>
      <c r="C23" s="3" t="s">
        <v>86</v>
      </c>
      <c r="D23" s="3" t="s">
        <v>87</v>
      </c>
      <c r="E23" s="3" t="s">
        <v>88</v>
      </c>
      <c r="F23" s="3" t="str">
        <f>IFERROR(__xludf.DUMMYFUNCTION("GOOGLETRANSLATE(B23)")," Lista de Jogos Olímpicos Anfitriões de Cidades")</f>
        <v> Lista de Jogos Olímpicos Anfitriões de Cidades</v>
      </c>
      <c r="G23" s="3" t="str">
        <f>IFERROR(__xludf.DUMMYFUNCTION("GOOGLETRANSLATE(C23)"),"onde estão as próximas Olimpíadas a serem mantidas")</f>
        <v>onde estão as próximas Olimpíadas a serem mantidas</v>
      </c>
      <c r="H23" s="3" t="str">
        <f>IFERROR(__xludf.DUMMYFUNCTION("GOOGLETRANSLATE(D23)")," Esta é uma lista de cidades anfitriãs dos Jogos Olímpicos, tanto no verão quanto no inverno, desde que as Olimpíadas modernas começaram em 1896. Desde então, os jogos de verão geralmente - mas nem sempre - comemoravam um período de quatro anos conhecido "&amp;"como Olimpíada. Houve 28 jogos olímpicos de verão realizados em 24 cidades e 23 Jogos Olímpicos de Inverno realizados em 20 cidades. Além disso, três edições de verão e duas de inverno dos jogos estavam programadas para ocorrer, mas depois canceladas devi"&amp;"do à guerra: Berlim (verão) em 1916; Tóquio / Helsinque (verão) e Sapporo / Garmisch - Partenkirchen (inverno) em 1940; e Londres (verão) e Cortina d'Ampezzo, Itália (inverno) em 1944. Os Jogos Olímpicos de Verão de 1906 foram oficialmente sancionados e m"&amp;"antidos em Atenas. No entanto, em 1949, o Comitê Olímpico Internacional (COI) decidiu não reconhecer os jogos de 1906. Quatro cidades foram escolhidas pelo COI para sediar os próximos Jogos Olímpicos: Tóquio para os Jogos Olímpicos de Verão de 2020, Pequi"&amp;"m para os Jogos Olímpicos de Inverno de 2022, Paris para os Jogos Olímpicos de Verão de 2024 e Los Angeles para as Olimpíadas de verão de 2028.")</f>
        <v> Esta é uma lista de cidades anfitriãs dos Jogos Olímpicos, tanto no verão quanto no inverno, desde que as Olimpíadas modernas começaram em 1896. Desde então, os jogos de verão geralmente - mas nem sempre - comemoravam um período de quatro anos conhecido como Olimpíada. Houve 28 jogos olímpicos de verão realizados em 24 cidades e 23 Jogos Olímpicos de Inverno realizados em 20 cidades. Além disso, três edições de verão e duas de inverno dos jogos estavam programadas para ocorrer, mas depois canceladas devido à guerra: Berlim (verão) em 1916; Tóquio / Helsinque (verão) e Sapporo / Garmisch - Partenkirchen (inverno) em 1940; e Londres (verão) e Cortina d'Ampezzo, Itália (inverno) em 1944. Os Jogos Olímpicos de Verão de 1906 foram oficialmente sancionados e mantidos em Atenas. No entanto, em 1949, o Comitê Olímpico Internacional (COI) decidiu não reconhecer os jogos de 1906. Quatro cidades foram escolhidas pelo COI para sediar os próximos Jogos Olímpicos: Tóquio para os Jogos Olímpicos de Verão de 2020, Pequim para os Jogos Olímpicos de Inverno de 2022, Paris para os Jogos Olímpicos de Verão de 2024 e Los Angeles para as Olimpíadas de verão de 2028.</v>
      </c>
      <c r="I23" s="3" t="str">
        <f>IFERROR(__xludf.DUMMYFUNCTION("GOOGLETRANSLATE(E23)"),"Tóquio para os Jogos Olímpicos de Verão de 2020")</f>
        <v>Tóquio para os Jogos Olímpicos de Verão de 2020</v>
      </c>
    </row>
    <row r="24" ht="15.75" customHeight="1">
      <c r="A24" s="1">
        <v>22.0</v>
      </c>
      <c r="B24" s="3" t="s">
        <v>89</v>
      </c>
      <c r="C24" s="3" t="s">
        <v>90</v>
      </c>
      <c r="D24" s="3" t="s">
        <v>91</v>
      </c>
      <c r="E24" s="3" t="s">
        <v>92</v>
      </c>
      <c r="F24" s="3" t="str">
        <f>IFERROR(__xludf.DUMMYFUNCTION("GOOGLETRANSLATE(B24)")," Regra de três segundos")</f>
        <v> Regra de três segundos</v>
      </c>
      <c r="G24" s="3" t="str">
        <f>IFERROR(__xludf.DUMMYFUNCTION("GOOGLETRANSLATE(C24)"),"Quando a regra da NBA 3 segundos começou")</f>
        <v>Quando a regra da NBA 3 segundos começou</v>
      </c>
      <c r="H24" s="3" t="str">
        <f>IFERROR(__xludf.DUMMYFUNCTION("GOOGLETRANSLATE(D24)")," A regra de três segundos foi introduzida em 1936 e foi expressa como tal: nenhum jogador ofensivo com a bola poderia permanecer na chave com ou sem a bola, por mais de três segundos.")</f>
        <v> A regra de três segundos foi introduzida em 1936 e foi expressa como tal: nenhum jogador ofensivo com a bola poderia permanecer na chave com ou sem a bola, por mais de três segundos.</v>
      </c>
      <c r="I24" s="3" t="str">
        <f>IFERROR(__xludf.DUMMYFUNCTION("GOOGLETRANSLATE(E24)"),"1936")</f>
        <v>1936</v>
      </c>
    </row>
    <row r="25" ht="15.75" customHeight="1">
      <c r="A25" s="1">
        <v>23.0</v>
      </c>
      <c r="B25" s="3" t="s">
        <v>93</v>
      </c>
      <c r="C25" s="3" t="s">
        <v>94</v>
      </c>
      <c r="D25" s="3" t="s">
        <v>95</v>
      </c>
      <c r="F25" s="3" t="str">
        <f>IFERROR(__xludf.DUMMYFUNCTION("GOOGLETRANSLATE(B25)")," Mais e menos sinais")</f>
        <v> Mais e menos sinais</v>
      </c>
      <c r="G25" s="3" t="str">
        <f>IFERROR(__xludf.DUMMYFUNCTION("GOOGLETRANSLATE(C25)"),"Quando os sinais mais e menos foram gravados pela primeira vez")</f>
        <v>Quando os sinais mais e menos foram gravados pela primeira vez</v>
      </c>
      <c r="H25" s="3" t="str">
        <f>IFERROR(__xludf.DUMMYFUNCTION("GOOGLETRANSLATE(D25)")," Na Europa, no início do século XV, as cartas `` p '' e `` m '' foram geralmente usadas. Os símbolos (P com linha P̄ para Più, isto é, mais e M com a linha M̄ para Meno, isto é, menos) apareceram pela primeira vez no compêndio de matemática de Luca Paciol"&amp;"i, Summa de Aritmetica, Geometria, Proporcioni e Proporção, primeiro Impresso e publicado em Veneza em 1494. O + é uma simplificação do latim `` et '' (comparável aos ampeiros e). O - pode ser derivado de um tilde escrito em M quando usado para indicar su"&amp;"btração; Ou pode vir de uma versão abreviada da própria letra M. Em seu tratado 1489, Johannes Widmann se referiu aos símbolos - e + como menos e Mer (mehr alemão moderno; `` mais '' '): `` era - ist, Das Is menos, und Das + ist Das Mer' '. Eles não foram"&amp;" usados ​​para adição e subtração aqui, mas para indicar superávit e déficit; Seu primeiro uso em seu sentido moderno aparece em um livro de Henricus Grammateus em 1518.")</f>
        <v> Na Europa, no início do século XV, as cartas `` p '' e `` m '' foram geralmente usadas. Os símbolos (P com linha P̄ para Più, isto é, mais e M com a linha M̄ para Meno, isto é, menos) apareceram pela primeira vez no compêndio de matemática de Luca Pacioli, Summa de Aritmetica, Geometria, Proporcioni e Proporção, primeiro Impresso e publicado em Veneza em 1494. O + é uma simplificação do latim `` et '' (comparável aos ampeiros e). O - pode ser derivado de um tilde escrito em M quando usado para indicar subtração; Ou pode vir de uma versão abreviada da própria letra M. Em seu tratado 1489, Johannes Widmann se referiu aos símbolos - e + como menos e Mer (mehr alemão moderno; `` mais '' '): `` era - ist, Das Is menos, und Das + ist Das Mer' '. Eles não foram usados ​​para adição e subtração aqui, mas para indicar superávit e déficit; Seu primeiro uso em seu sentido moderno aparece em um livro de Henricus Grammateus em 1518.</v>
      </c>
      <c r="I25" s="3" t="str">
        <f>IFERROR(__xludf.DUMMYFUNCTION("GOOGLETRANSLATE(E25)"),"#VALUE!")</f>
        <v>#VALUE!</v>
      </c>
    </row>
    <row r="26" ht="15.75" customHeight="1">
      <c r="A26" s="1">
        <v>24.0</v>
      </c>
      <c r="B26" s="3" t="s">
        <v>96</v>
      </c>
      <c r="C26" s="3" t="s">
        <v>97</v>
      </c>
      <c r="D26" s="3" t="s">
        <v>98</v>
      </c>
      <c r="F26" s="3" t="str">
        <f>IFERROR(__xludf.DUMMYFUNCTION("GOOGLETRANSLATE(B26)")," Bob é seu tio")</f>
        <v> Bob é seu tio</v>
      </c>
      <c r="G26" s="3" t="str">
        <f>IFERROR(__xludf.DUMMYFUNCTION("GOOGLETRANSLATE(C26)"),"De onde vem a frase bob é seu tio")</f>
        <v>De onde vem a frase bob é seu tio</v>
      </c>
      <c r="H26" s="3" t="str">
        <f>IFERROR(__xludf.DUMMYFUNCTION("GOOGLETRANSLATE(D26)")," ... e o seu tio de Bob é uma expressão de origem desconhecida, isso significa `` e aí está '' ou `` e aí está. '' É comumente usado nos países da Grã -Bretanha e da Commonwealth. Normalmente, alguém diz isso para concluir um conjunto de instruções simple"&amp;"s ou quando um resultado é alcançado. O significado é semelhante ao da expressão francesa `` et voilà! ''")</f>
        <v> ... e o seu tio de Bob é uma expressão de origem desconhecida, isso significa `` e aí está '' ou `` e aí está. '' É comumente usado nos países da Grã -Bretanha e da Commonwealth. Normalmente, alguém diz isso para concluir um conjunto de instruções simples ou quando um resultado é alcançado. O significado é semelhante ao da expressão francesa `` et voilà! ''</v>
      </c>
      <c r="I26" s="3" t="str">
        <f>IFERROR(__xludf.DUMMYFUNCTION("GOOGLETRANSLATE(E26)"),"#VALUE!")</f>
        <v>#VALUE!</v>
      </c>
    </row>
    <row r="27" ht="15.75" customHeight="1">
      <c r="A27" s="1">
        <v>25.0</v>
      </c>
      <c r="B27" s="3" t="s">
        <v>99</v>
      </c>
      <c r="C27" s="3" t="s">
        <v>100</v>
      </c>
      <c r="D27" s="3" t="s">
        <v>101</v>
      </c>
      <c r="F27" s="3" t="str">
        <f>IFERROR(__xludf.DUMMYFUNCTION("GOOGLETRANSLATE(B27)")," Aquele com a proposta")</f>
        <v> Aquele com a proposta</v>
      </c>
      <c r="G27" s="3" t="str">
        <f>IFERROR(__xludf.DUMMYFUNCTION("GOOGLETRANSLATE(C27)"),"aquele em que Chandler e Monica ficam noivos")</f>
        <v>aquele em que Chandler e Monica ficam noivos</v>
      </c>
      <c r="H27" s="3" t="str">
        <f>IFERROR(__xludf.DUMMYFUNCTION("GOOGLETRANSLATE(D27)")," Depois de procurar o dia todo, Chandler corre de volta ao seu apartamento e quando ele chega lá, Joey o encontra no salão, alegando que Monica o deixou por causa de seus problemas de compromisso. Quando Chandler entra em seu apartamento, com medo de Moni"&amp;"ca realmente sair, ele descobre que está longe de ser abandonado, há velas iluminadas por todo o lado e Monica está ajoelhada para propor. No meio de propor a Chandler, ela chora de pura emoção, dizendo: `` Há uma razão pela qual as meninas não fazem isso"&amp;"! '' Em ​​vez disso, Chandler se ajoelha e propõe a ela e Monica diz que sim. Eles então abrem a porta para Joey, Rachel e Phoebe, que estavam esperando para comemorar. A princípio, eles hesitam, sentindo que Ross deve estar lá para compartilhar o momento"&amp;" e depois decidir que, após três casamentos, Ross pode se dar ao luxo de perder uma celebração de noivado. Os créditos finais jogam enquanto Monica e Chandler dançam para o `` maravilhoso de Eric Clapton hoje à noite. ''")</f>
        <v> Depois de procurar o dia todo, Chandler corre de volta ao seu apartamento e quando ele chega lá, Joey o encontra no salão, alegando que Monica o deixou por causa de seus problemas de compromisso. Quando Chandler entra em seu apartamento, com medo de Monica realmente sair, ele descobre que está longe de ser abandonado, há velas iluminadas por todo o lado e Monica está ajoelhada para propor. No meio de propor a Chandler, ela chora de pura emoção, dizendo: `` Há uma razão pela qual as meninas não fazem isso! '' Em ​​vez disso, Chandler se ajoelha e propõe a ela e Monica diz que sim. Eles então abrem a porta para Joey, Rachel e Phoebe, que estavam esperando para comemorar. A princípio, eles hesitam, sentindo que Ross deve estar lá para compartilhar o momento e depois decidir que, após três casamentos, Ross pode se dar ao luxo de perder uma celebração de noivado. Os créditos finais jogam enquanto Monica e Chandler dançam para o `` maravilhoso de Eric Clapton hoje à noite. ''</v>
      </c>
      <c r="I27" s="3" t="str">
        <f>IFERROR(__xludf.DUMMYFUNCTION("GOOGLETRANSLATE(E27)"),"#VALUE!")</f>
        <v>#VALUE!</v>
      </c>
    </row>
    <row r="28" ht="15.75" customHeight="1">
      <c r="A28" s="1">
        <v>26.0</v>
      </c>
      <c r="B28" s="3" t="s">
        <v>102</v>
      </c>
      <c r="C28" s="3" t="s">
        <v>103</v>
      </c>
      <c r="D28" s="3" t="s">
        <v>104</v>
      </c>
      <c r="E28" s="3" t="s">
        <v>105</v>
      </c>
      <c r="F28" s="3" t="str">
        <f>IFERROR(__xludf.DUMMYFUNCTION("GOOGLETRANSLATE(B28)")," Então você acha que pode dançar: a próxima geração (série de TV americana)")</f>
        <v> Então você acha que pode dançar: a próxima geração (série de TV americana)</v>
      </c>
      <c r="G28" s="3" t="str">
        <f>IFERROR(__xludf.DUMMYFUNCTION("GOOGLETRANSLATE(C28)"),"quem ganhou então você acha que pode dançar 2016")</f>
        <v>quem ganhou então você acha que pode dançar 2016</v>
      </c>
      <c r="H28" s="3" t="str">
        <f>IFERROR(__xludf.DUMMYFUNCTION("GOOGLETRANSLATE(D28)"),"   Então você pensa que pode dançar: a próxima geração da 13ª temporada transmitida de 30 de maio a 12 de setembro de 2016 juízes Nigel Lythgoe Paula Abdul Jason Derulo Maddie Ziegler Host (S) CAT DEELEY BRIANÇA FOX VINGADOR LEO ) HIP - HOP RUNNER - UP J."&amp;"T. Cronologia da Igreja ◀ 2016 ▶")</f>
        <v>   Então você pensa que pode dançar: a próxima geração da 13ª temporada transmitida de 30 de maio a 12 de setembro de 2016 juízes Nigel Lythgoe Paula Abdul Jason Derulo Maddie Ziegler Host (S) CAT DEELEY BRIANÇA FOX VINGADOR LEO ) HIP - HOP RUNNER - UP J.T. Cronologia da Igreja ◀ 2016 ▶</v>
      </c>
      <c r="I28" s="3" t="str">
        <f>IFERROR(__xludf.DUMMYFUNCTION("GOOGLETRANSLATE(E28)"),"Leon `` Kida '' queima")</f>
        <v>Leon `` Kida '' queima</v>
      </c>
    </row>
    <row r="29" ht="15.75" customHeight="1">
      <c r="A29" s="1">
        <v>27.0</v>
      </c>
      <c r="B29" s="3" t="s">
        <v>106</v>
      </c>
      <c r="C29" s="3" t="s">
        <v>107</v>
      </c>
      <c r="D29" s="3" t="s">
        <v>108</v>
      </c>
      <c r="E29" s="3" t="s">
        <v>109</v>
      </c>
      <c r="F29" s="3" t="str">
        <f>IFERROR(__xludf.DUMMYFUNCTION("GOOGLETRANSLATE(B29)")," Bates Motel (série de TV)")</f>
        <v> Bates Motel (série de TV)</v>
      </c>
      <c r="G29" s="3" t="str">
        <f>IFERROR(__xludf.DUMMYFUNCTION("GOOGLETRANSLATE(C29)"),"que interpreta Norman Bates no programa de TV")</f>
        <v>que interpreta Norman Bates no programa de TV</v>
      </c>
      <c r="H29" s="3" t="str">
        <f>IFERROR(__xludf.DUMMYFUNCTION("GOOGLETRANSLATE(D29)")," Freddie Highmore como Norman Bates")</f>
        <v> Freddie Highmore como Norman Bates</v>
      </c>
      <c r="I29" s="3" t="str">
        <f>IFERROR(__xludf.DUMMYFUNCTION("GOOGLETRANSLATE(E29)"),"Freddie Highmore")</f>
        <v>Freddie Highmore</v>
      </c>
    </row>
    <row r="30" ht="15.75" customHeight="1">
      <c r="A30" s="1">
        <v>28.0</v>
      </c>
      <c r="B30" s="3" t="s">
        <v>110</v>
      </c>
      <c r="C30" s="3" t="s">
        <v>111</v>
      </c>
      <c r="D30" s="3" t="s">
        <v>112</v>
      </c>
      <c r="E30" s="3" t="s">
        <v>113</v>
      </c>
      <c r="F30" s="3" t="str">
        <f>IFERROR(__xludf.DUMMYFUNCTION("GOOGLETRANSLATE(B30)")," Esquerda - e direita - tráfego manual")</f>
        <v> Esquerda - e direita - tráfego manual</v>
      </c>
      <c r="G30" s="3" t="str">
        <f>IFERROR(__xludf.DUMMYFUNCTION("GOOGLETRANSLATE(C30)"),"Quando os EUA começaram a dirigir à direita")</f>
        <v>Quando os EUA começaram a dirigir à direita</v>
      </c>
      <c r="H30" s="3" t="str">
        <f>IFERROR(__xludf.DUMMYFUNCTION("GOOGLETRANSLATE(D30)")," No final dos anos 1700, o tráfego nos Estados Unidos foi RHT com base no uso de grandes vagões de frete dos Teamsters puxados por vários pares de cavalos. Os vagões não tinham o assento do motorista, então o pós -pilão (normalmente à direita) segurava o "&amp;"chicote na mão direita e, assim, sentou -se no cavalo traseiro esquerdo. Sentado à esquerda, o motorista preferia que outros vagões o passassem à esquerda para que ele pudesse ficar longe das rodas dos vagões que se aproximam.")</f>
        <v> No final dos anos 1700, o tráfego nos Estados Unidos foi RHT com base no uso de grandes vagões de frete dos Teamsters puxados por vários pares de cavalos. Os vagões não tinham o assento do motorista, então o pós -pilão (normalmente à direita) segurava o chicote na mão direita e, assim, sentou -se no cavalo traseiro esquerdo. Sentado à esquerda, o motorista preferia que outros vagões o passassem à esquerda para que ele pudesse ficar longe das rodas dos vagões que se aproximam.</v>
      </c>
      <c r="I30" s="3" t="str">
        <f>IFERROR(__xludf.DUMMYFUNCTION("GOOGLETRANSLATE(E30)"),"final dos anos 1700")</f>
        <v>final dos anos 1700</v>
      </c>
    </row>
    <row r="31" ht="15.75" customHeight="1">
      <c r="A31" s="1">
        <v>29.0</v>
      </c>
      <c r="B31" s="3" t="s">
        <v>114</v>
      </c>
      <c r="C31" s="3" t="s">
        <v>115</v>
      </c>
      <c r="D31" s="3" t="s">
        <v>116</v>
      </c>
      <c r="E31" s="3" t="s">
        <v>117</v>
      </c>
      <c r="F31" s="3" t="str">
        <f>IFERROR(__xludf.DUMMYFUNCTION("GOOGLETRANSLATE(B31)")," Sistema nervoso central")</f>
        <v> Sistema nervoso central</v>
      </c>
      <c r="G31" s="3" t="str">
        <f>IFERROR(__xludf.DUMMYFUNCTION("GOOGLETRANSLATE(C31)"),"Nomeie alguns componentes do sistema nervoso central (SNC)")</f>
        <v>Nomeie alguns componentes do sistema nervoso central (SNC)</v>
      </c>
      <c r="H31" s="3" t="str">
        <f>IFERROR(__xludf.DUMMYFUNCTION("GOOGLETRANSLATE(D31)")," O sistema nervoso central (SNC) é a parte do sistema nervoso que consiste no cérebro e na medula espinhal. O sistema nervoso central é assim chamado porque integra as informações de que recebe e coordena e influencia a atividade de todas as partes dos co"&amp;"rpos de animais bilateralmente simétricos - ou seja, todos os animais multicelulares, exceto esponjas e animais radialmente simétricos, como a água -viva - - e contém a maioria do sistema nervoso. Muitos consideram a retina e o nervo óptico (nervo cranian"&amp;"o II), bem como os nervos olfativos (nervo craniano I) e epitélio olfativo como partes do SNC, sinapsando diretamente no tecido cerebral sem gânglios intermediários. Como tal, o epitélio olfativo é o único tecido nervoso central em contato direto com o am"&amp;"biente, que se abre para tratamentos terapêuticos. O CNS está contido na cavidade corporal dorsal, com o cérebro alojado na cavidade craniana e na medula espinhal no canal espinhal. Nos vertebrados, o cérebro é protegido pelo crânio, enquanto a medula esp"&amp;"inhal é protegida pelas vértebras. O cérebro e a medula espinhal estão ambos fechados nas meninges. Nos sistemas nervosos centrais, o espaço interneuronal é preenchido com uma grande quantidade de células não nervosas de apoio chamadas células neurogliais"&amp;".")</f>
        <v> O sistema nervoso central (SNC) é a parte do sistema nervoso que consiste no cérebro e na medula espinhal. O sistema nervoso central é assim chamado porque integra as informações de que recebe e coordena e influencia a atividade de todas as partes dos corpos de animais bilateralmente simétricos - ou seja, todos os animais multicelulares, exceto esponjas e animais radialmente simétricos, como a água -viva - - e contém a maioria do sistema nervoso. Muitos consideram a retina e o nervo óptico (nervo craniano II), bem como os nervos olfativos (nervo craniano I) e epitélio olfativo como partes do SNC, sinapsando diretamente no tecido cerebral sem gânglios intermediários. Como tal, o epitélio olfativo é o único tecido nervoso central em contato direto com o ambiente, que se abre para tratamentos terapêuticos. O CNS está contido na cavidade corporal dorsal, com o cérebro alojado na cavidade craniana e na medula espinhal no canal espinhal. Nos vertebrados, o cérebro é protegido pelo crânio, enquanto a medula espinhal é protegida pelas vértebras. O cérebro e a medula espinhal estão ambos fechados nas meninges. Nos sistemas nervosos centrais, o espaço interneuronal é preenchido com uma grande quantidade de células não nervosas de apoio chamadas células neurogliais.</v>
      </c>
      <c r="I31" s="3" t="str">
        <f>IFERROR(__xludf.DUMMYFUNCTION("GOOGLETRANSLATE(E31)"),"cérebro")</f>
        <v>cérebro</v>
      </c>
    </row>
    <row r="32" ht="15.75" customHeight="1">
      <c r="A32" s="1">
        <v>30.0</v>
      </c>
      <c r="B32" s="3" t="s">
        <v>118</v>
      </c>
      <c r="C32" s="3" t="s">
        <v>119</v>
      </c>
      <c r="D32" s="3" t="s">
        <v>120</v>
      </c>
      <c r="E32" s="3" t="s">
        <v>121</v>
      </c>
      <c r="F32" s="3" t="str">
        <f>IFERROR(__xludf.DUMMYFUNCTION("GOOGLETRANSLATE(B32)")," O preço é certo (U.S. Game Show)")</f>
        <v> O preço é certo (U.S. Game Show)</v>
      </c>
      <c r="G32" s="3" t="str">
        <f>IFERROR(__xludf.DUMMYFUNCTION("GOOGLETRANSLATE(C32)"),"Quem é o diretor do preço está certo")</f>
        <v>Quem é o diretor do preço está certo</v>
      </c>
      <c r="H32" s="3" t="str">
        <f>IFERROR(__xludf.DUMMYFUNCTION("GOOGLETRANSLATE(D32)")," A equipe de produção de Game Show de Mark Goodson e Bill Todman foi responsável por produzir as versões originais e de reavivamento do Game Show. Goodson - O funcionário do Todman, Bob Stewart, é creditado por criar a versão original do preço. Roger Dobk"&amp;"owitz foi o produtor de 1984 a 2008, tendo trabalhado com o programa como funcionário de produção desde a estréia do programa depois de se formar na Universidade Estadual de São Francisco. Ocasionalmente, Dobkowitz aparecia na câmera ao responder a uma pe"&amp;"rgunta feita pelo host, geralmente relacionado à história ou registros do programa. Quando ele deixou o show no final da 36ª temporada, a Variety relatou que não ficou claro se ele estava se aposentando ou foi demitido, embora Carey indicasse em uma entre"&amp;"vista posterior com Esquire que Dobkowitz foi demitido. A partir de 2011, o programa usa vários produtores, todos os funcionários do tempo. Adam Sandler (que não deve ser confundido com o ator) é o produtor do show. Stan Blits, que ingressou no show em 19"&amp;"80 e Sue MacIntyre são os co-produtores. Kathy Greco ingressou no show em 1975 e tornou -se produtor em 2008; Ela anunciou sua aposentadoria em 8 de outubro de 2010 no site do programa, a partir do final das gravações de dezembro de 2010. Seu último episó"&amp;"dio como produtor, que foi ao ar em 27 de janeiro de 2011, contou com um tema em homenagem a ela. O site oficial do programa apresentou uma série de vídeos, incluindo uma entrevista com Greco como uma homenagem aos seus 35 anos nos dias que antecederam se"&amp;"u episódio final. Frank Wayne, um funcionário de Goodson - Tods desde a década de 1950, era o produtor executivo original da versão da CBS do programa. Barker assumiu esse papel após a morte de Wayne em março de 1988, como afirmado anteriormente. Os produ"&amp;"tores anteriores incluíram Jay Wolpert, Barbara Hunter e Phil Wayne Rossi (filho de Wayne). Michael Dimich assumiu o presidente do diretor em junho de 2011. Marc Breslow, Paul Alter, Bart Eskander e Rich DiPirro, cada um, serviu longas passagens anteriorm"&amp;"ente como diretor. Os ex -diretores associados Andrew Felsher e Fred Witten, bem como o diretor técnico Glenn Koch, dirigiram episódios estritamente de preenchimento - com base. Sandler começou a dirigir episódios em 2012 e se tornou o diretor oficial em "&amp;"2013. Além de Barker, a equipe de produção do programa permaneceu intacta depois que Carey se tornou anfitrião. O executivo da FremantleMedia, Syd Vinnedge, foi nomeado o novo produtor executivo do programa, com Richards se tornando produtor co-executivo "&amp;"após a partida de Dobkowitz. Richards foi um candidato a substituir Barker como anfitrião em 2007, antes de Carey ser escolhido em última análise. Richards sucedeu Vinnedge como produtor executivo quando a temporada de 2009-10 começou, com Tracy Verna Soi"&amp;"seth se juntando a Richards como produtor co-executivo em 2010. Vinnedge permanece creditado como consultor executivo do programa.")</f>
        <v> A equipe de produção de Game Show de Mark Goodson e Bill Todman foi responsável por produzir as versões originais e de reavivamento do Game Show. Goodson - O funcionário do Todman, Bob Stewart, é creditado por criar a versão original do preço. Roger Dobkowitz foi o produtor de 1984 a 2008, tendo trabalhado com o programa como funcionário de produção desde a estréia do programa depois de se formar na Universidade Estadual de São Francisco. Ocasionalmente, Dobkowitz aparecia na câmera ao responder a uma pergunta feita pelo host, geralmente relacionado à história ou registros do programa. Quando ele deixou o show no final da 36ª temporada, a Variety relatou que não ficou claro se ele estava se aposentando ou foi demitido, embora Carey indicasse em uma entrevista posterior com Esquire que Dobkowitz foi demitido. A partir de 2011, o programa usa vários produtores, todos os funcionários do tempo. Adam Sandler (que não deve ser confundido com o ator) é o produtor do show. Stan Blits, que ingressou no show em 1980 e Sue MacIntyre são os co-produtores. Kathy Greco ingressou no show em 1975 e tornou -se produtor em 2008; Ela anunciou sua aposentadoria em 8 de outubro de 2010 no site do programa, a partir do final das gravações de dezembro de 2010. Seu último episódio como produtor, que foi ao ar em 27 de janeiro de 2011, contou com um tema em homenagem a ela. O site oficial do programa apresentou uma série de vídeos, incluindo uma entrevista com Greco como uma homenagem aos seus 35 anos nos dias que antecederam seu episódio final. Frank Wayne, um funcionário de Goodson - Tods desde a década de 1950, era o produtor executivo original da versão da CBS do programa. Barker assumiu esse papel após a morte de Wayne em março de 1988, como afirmado anteriormente. Os produtores anteriores incluíram Jay Wolpert, Barbara Hunter e Phil Wayne Rossi (filho de Wayne). Michael Dimich assumiu o presidente do diretor em junho de 2011. Marc Breslow, Paul Alter, Bart Eskander e Rich DiPirro, cada um, serviu longas passagens anteriormente como diretor. Os ex -diretores associados Andrew Felsher e Fred Witten, bem como o diretor técnico Glenn Koch, dirigiram episódios estritamente de preenchimento - com base. Sandler começou a dirigir episódios em 2012 e se tornou o diretor oficial em 2013. Além de Barker, a equipe de produção do programa permaneceu intacta depois que Carey se tornou anfitrião. O executivo da FremantleMedia, Syd Vinnedge, foi nomeado o novo produtor executivo do programa, com Richards se tornando produtor co-executivo após a partida de Dobkowitz. Richards foi um candidato a substituir Barker como anfitrião em 2007, antes de Carey ser escolhido em última análise. Richards sucedeu Vinnedge como produtor executivo quando a temporada de 2009-10 começou, com Tracy Verna Soiseth se juntando a Richards como produtor co-executivo em 2010. Vinnedge permanece creditado como consultor executivo do programa.</v>
      </c>
      <c r="I32" s="3" t="str">
        <f>IFERROR(__xludf.DUMMYFUNCTION("GOOGLETRANSLATE(E32)"),"Adam Sandler")</f>
        <v>Adam Sandler</v>
      </c>
    </row>
    <row r="33" ht="15.75" customHeight="1">
      <c r="A33" s="1">
        <v>31.0</v>
      </c>
      <c r="B33" s="3" t="s">
        <v>122</v>
      </c>
      <c r="C33" s="3" t="s">
        <v>123</v>
      </c>
      <c r="D33" s="3" t="s">
        <v>124</v>
      </c>
      <c r="E33" s="3" t="s">
        <v>125</v>
      </c>
      <c r="F33" s="3" t="str">
        <f>IFERROR(__xludf.DUMMYFUNCTION("GOOGLETRANSLATE(B33)")," A ponte no rio Kwai")</f>
        <v> A ponte no rio Kwai</v>
      </c>
      <c r="G33" s="3" t="str">
        <f>IFERROR(__xludf.DUMMYFUNCTION("GOOGLETRANSLATE(C33)"),"Ponte no fato ou ficção do rio Kwai")</f>
        <v>Ponte no fato ou ficção do rio Kwai</v>
      </c>
      <c r="H33" s="3" t="str">
        <f>IFERROR(__xludf.DUMMYFUNCTION("GOOGLETRANSLATE(D33)")," A ponte no rio Kwai é um filme britânico de guerra britânico de 1957, dirigido por David Lean e estrelado por William Holden, Jack Hawkins e Alec Guinness, e com Sessue Hayakawa. Baseado no romance Le Pont de la Rivière Kwai (1952) de Pierre Boulle, o fi"&amp;"lme é uma obra de ficção, mas empresta a construção da ferrovia da Birmânia em 1942 - 1943 por seu cenário histórico. O filme foi filmado no Ceilão (agora Sri Lanka). A ponte no filme estava perto de Kitulgala.")</f>
        <v> A ponte no rio Kwai é um filme britânico de guerra britânico de 1957, dirigido por David Lean e estrelado por William Holden, Jack Hawkins e Alec Guinness, e com Sessue Hayakawa. Baseado no romance Le Pont de la Rivière Kwai (1952) de Pierre Boulle, o filme é uma obra de ficção, mas empresta a construção da ferrovia da Birmânia em 1942 - 1943 por seu cenário histórico. O filme foi filmado no Ceilão (agora Sri Lanka). A ponte no filme estava perto de Kitulgala.</v>
      </c>
      <c r="I33" s="3" t="str">
        <f>IFERROR(__xludf.DUMMYFUNCTION("GOOGLETRANSLATE(E33)"),"ficção")</f>
        <v>ficção</v>
      </c>
    </row>
    <row r="34" ht="15.75" customHeight="1">
      <c r="A34" s="1">
        <v>32.0</v>
      </c>
      <c r="B34" s="3" t="s">
        <v>126</v>
      </c>
      <c r="C34" s="3" t="s">
        <v>127</v>
      </c>
      <c r="D34" s="3" t="s">
        <v>128</v>
      </c>
      <c r="F34" s="3" t="str">
        <f>IFERROR(__xludf.DUMMYFUNCTION("GOOGLETRANSLATE(B34)")," Comunidade das Nações")</f>
        <v> Comunidade das Nações</v>
      </c>
      <c r="G34" s="3" t="str">
        <f>IFERROR(__xludf.DUMMYFUNCTION("GOOGLETRANSLATE(C34)"),"Hong Kong faz parte da Commonwealth")</f>
        <v>Hong Kong faz parte da Commonwealth</v>
      </c>
      <c r="H34" s="3" t="str">
        <f>IFERROR(__xludf.DUMMYFUNCTION("GOOGLETRANSLATE(D34)")," A transferência de soberania sobre Hong Kong em 1997 encerrou os laços da colônia com a Commonwealth através do Reino Unido. O governo de Hong Kong, como uma região administrativa especial da China, não buscou a associação. No entanto, Hong Kong continuo"&amp;"u participando de algumas das organizações da família da Commonwealth, como a Associação de Advogados da Commonwealth (sediou a Conferência dos Advogados da Commonwealth em 1983 e 2009), a Associação Parlamentar da Commonwealth (e o seminário de Westminst"&amp;"er sobre práticas e procedimentos parlamentares) , A Associação das Universidades da Commonwealth e a Associação da Commonwealth de Conselho Legislativo.")</f>
        <v> A transferência de soberania sobre Hong Kong em 1997 encerrou os laços da colônia com a Commonwealth através do Reino Unido. O governo de Hong Kong, como uma região administrativa especial da China, não buscou a associação. No entanto, Hong Kong continuou participando de algumas das organizações da família da Commonwealth, como a Associação de Advogados da Commonwealth (sediou a Conferência dos Advogados da Commonwealth em 1983 e 2009), a Associação Parlamentar da Commonwealth (e o seminário de Westminster sobre práticas e procedimentos parlamentares) , A Associação das Universidades da Commonwealth e a Associação da Commonwealth de Conselho Legislativo.</v>
      </c>
      <c r="I34" s="3" t="str">
        <f>IFERROR(__xludf.DUMMYFUNCTION("GOOGLETRANSLATE(E34)"),"#VALUE!")</f>
        <v>#VALUE!</v>
      </c>
    </row>
    <row r="35" ht="15.75" customHeight="1">
      <c r="A35" s="1">
        <v>33.0</v>
      </c>
      <c r="B35" s="3" t="s">
        <v>129</v>
      </c>
      <c r="C35" s="3" t="s">
        <v>130</v>
      </c>
      <c r="D35" s="3" t="s">
        <v>131</v>
      </c>
      <c r="F35" s="3" t="str">
        <f>IFERROR(__xludf.DUMMYFUNCTION("GOOGLETRANSLATE(B35)")," Pulso")</f>
        <v> Pulso</v>
      </c>
      <c r="G35" s="3" t="str">
        <f>IFERROR(__xludf.DUMMYFUNCTION("GOOGLETRANSLATE(C35)"),"onde pode ser sentido pulso no corpo")</f>
        <v>onde pode ser sentido pulso no corpo</v>
      </c>
      <c r="H35" s="3" t="str">
        <f>IFERROR(__xludf.DUMMYFUNCTION("GOOGLETRANSLATE(D35)")," Na medicina, um pulso representa a palpação arterial tátil do batimento cardíaco por pontas dos dedos treinados. O pulso pode ser palpado em qualquer lugar que permita que uma artéria seja comprimida perto da superfície do corpo, como no pescoço (artéria"&amp;" carotídea), punho (artéria radial), na virilha (artéria femoral), atrás do joelho ( Artéria poplítea), perto da articulação do tornozelo (artéria tibial posterior) e a pé (artéria dorsalis pedis). O pulso (ou a contagem de pulso arterial por minuto) é eq"&amp;"uivalente a medir a freqüência cardíaca. A frequência cardíaca também pode ser medida ouvindo o batimento cardíaco pela auscultação, tradicionalmente usando um estetoscópio e contando -o por um minuto. O pulso radial é comumente medido usando três dedos. "&amp;"Isso tem um motivo: o dedo mais próximo do coração é usado para ocultar a pressão do pulso, o dedo médio é usado, obtenha uma estimativa bruta da pressão arterial, e o dedo mais distal do coração (geralmente o dedo anelar) é usado para anular o efeito do "&amp;"pulso ulnar, pois as duas artérias são conectadas através dos arcos palmares (superficiais e profundos). O estudo do pulso é conhecido como esfigmologia.")</f>
        <v> Na medicina, um pulso representa a palpação arterial tátil do batimento cardíaco por pontas dos dedos treinados. O pulso pode ser palpado em qualquer lugar que permita que uma artéria seja comprimida perto da superfície do corpo, como no pescoço (artéria carotídea), punho (artéria radial), na virilha (artéria femoral), atrás do joelho ( Artéria poplítea), perto da articulação do tornozelo (artéria tibial posterior) e a pé (artéria dorsalis pedis). O pulso (ou a contagem de pulso arterial por minuto) é equivalente a medir a freqüência cardíaca. A frequência cardíaca também pode ser medida ouvindo o batimento cardíaco pela auscultação, tradicionalmente usando um estetoscópio e contando -o por um minuto. O pulso radial é comumente medido usando três dedos. Isso tem um motivo: o dedo mais próximo do coração é usado para ocultar a pressão do pulso, o dedo médio é usado, obtenha uma estimativa bruta da pressão arterial, e o dedo mais distal do coração (geralmente o dedo anelar) é usado para anular o efeito do pulso ulnar, pois as duas artérias são conectadas através dos arcos palmares (superficiais e profundos). O estudo do pulso é conhecido como esfigmologia.</v>
      </c>
      <c r="I35" s="3" t="str">
        <f>IFERROR(__xludf.DUMMYFUNCTION("GOOGLETRANSLATE(E35)"),"#VALUE!")</f>
        <v>#VALUE!</v>
      </c>
    </row>
    <row r="36" ht="15.75" customHeight="1">
      <c r="A36" s="1">
        <v>34.0</v>
      </c>
      <c r="B36" s="3" t="s">
        <v>132</v>
      </c>
      <c r="C36" s="3" t="s">
        <v>133</v>
      </c>
      <c r="D36" s="3" t="s">
        <v>134</v>
      </c>
      <c r="E36" s="3" t="s">
        <v>135</v>
      </c>
      <c r="F36" s="3" t="str">
        <f>IFERROR(__xludf.DUMMYFUNCTION("GOOGLETRANSLATE(B36)")," Guerra das Malvinas")</f>
        <v> Guerra das Malvinas</v>
      </c>
      <c r="G36" s="3" t="str">
        <f>IFERROR(__xludf.DUMMYFUNCTION("GOOGLETRANSLATE(C36)"),"Por que a Argentina atacou as Ilhas das Malvinas/Malvinas")</f>
        <v>Por que a Argentina atacou as Ilhas das Malvinas/Malvinas</v>
      </c>
      <c r="H36" s="3" t="str">
        <f>IFERROR(__xludf.DUMMYFUNCTION("GOOGLETRANSLATE(D36)")," A Guerra das Malvinas (Espanhol: Guerra de Las Malvinas), também conhecida como conflito das Malvinas, Crise das Malvinas, Guerra das Malvinas, Conflito do Atlântico Sul e Guerra del Atlánttico Sur (espanhol para `` South Atlantic ''), foi um dez - Guerr"&amp;"a da semana entre a Argentina e o Reino Unido sobre dois territórios dependentes britânicos no Atlântico Sul: as Ilhas das Malvinas, e sua dependência territorial, a Geórgia do Sul e as Ilhas Sandwich do Sul. Começou na sexta -feira, 2 de abril de 1982, q"&amp;"uando a Argentina invadiu e ocupou as Ilhas Malvinas (e, no dia seguinte, na Geórgia do Sul e nas Ilhas Sandwich South), na tentativa de estabelecer a soberania que havia reivindicado sobre eles. Em 5 de abril, o governo britânico despachou uma força -tar"&amp;"efa naval para envolver a marinha argentina e a força aérea antes de fazer um ataque anfíbio às ilhas. O conflito durou 74 dias e terminou com a rendição argentina em 14 de junho de 1982, retornando as ilhas ao controle britânico. No total, 649 militares "&amp;"argentinos, 255 militares britânicos e três ilhéus da Malvina morreram durante as hostilidades.")</f>
        <v> A Guerra das Malvinas (Espanhol: Guerra de Las Malvinas), também conhecida como conflito das Malvinas, Crise das Malvinas, Guerra das Malvinas, Conflito do Atlântico Sul e Guerra del Atlánttico Sur (espanhol para `` South Atlantic ''), foi um dez - Guerra da semana entre a Argentina e o Reino Unido sobre dois territórios dependentes britânicos no Atlântico Sul: as Ilhas das Malvinas, e sua dependência territorial, a Geórgia do Sul e as Ilhas Sandwich do Sul. Começou na sexta -feira, 2 de abril de 1982, quando a Argentina invadiu e ocupou as Ilhas Malvinas (e, no dia seguinte, na Geórgia do Sul e nas Ilhas Sandwich South), na tentativa de estabelecer a soberania que havia reivindicado sobre eles. Em 5 de abril, o governo britânico despachou uma força -tarefa naval para envolver a marinha argentina e a força aérea antes de fazer um ataque anfíbio às ilhas. O conflito durou 74 dias e terminou com a rendição argentina em 14 de junho de 1982, retornando as ilhas ao controle britânico. No total, 649 militares argentinos, 255 militares britânicos e três ilhéus da Malvina morreram durante as hostilidades.</v>
      </c>
      <c r="I36" s="3" t="str">
        <f>IFERROR(__xludf.DUMMYFUNCTION("GOOGLETRANSLATE(E36)"),"uma tentativa de estabelecer a soberania que havia reivindicado sobre eles")</f>
        <v>uma tentativa de estabelecer a soberania que havia reivindicado sobre eles</v>
      </c>
    </row>
    <row r="37" ht="15.75" customHeight="1">
      <c r="A37" s="1">
        <v>35.0</v>
      </c>
      <c r="B37" s="3" t="s">
        <v>136</v>
      </c>
      <c r="C37" s="3" t="s">
        <v>137</v>
      </c>
      <c r="D37" s="3" t="s">
        <v>138</v>
      </c>
      <c r="F37" s="3" t="str">
        <f>IFERROR(__xludf.DUMMYFUNCTION("GOOGLETRANSLATE(B37)")," Órbita da lua")</f>
        <v> Órbita da lua</v>
      </c>
      <c r="G37" s="3" t="str">
        <f>IFERROR(__xludf.DUMMYFUNCTION("GOOGLETRANSLATE(C37)"),"Quanto tempo leva para a lua percorrer a terra")</f>
        <v>Quanto tempo leva para a lua percorrer a terra</v>
      </c>
      <c r="H37" s="3" t="str">
        <f>IFERROR(__xludf.DUMMYFUNCTION("GOOGLETRANSLATE(D37)")," Órbita do diagrama da lua da órbita da lua em relação ao eixo semi-major do valor da propriedade da Terra 384.748 km (239.071 mi) Distância média 385.000 km (239.000 mi) parallax inverso 384.400 (238.900 mi) mi). Distância da Terra) 362.600 km (225.300 m"&amp;"i) (avg ) Excentricidade média 6998549006000000000 ♠ 0,054 9006 (0,026 - 0,077) Obliquidade média 6,687 ° Inclinação média do órbita ao eclíptico 5.15 ° (4,99 - 5.30) do Equador Lunar para Eclíptico 1.544 ° Período Orbit. Terra (sinódica) 29.530 Dias Prec"&amp;"ession dos nós 18.5996 anos Precession of Line of Apsides 8.8504 anos")</f>
        <v> Órbita do diagrama da lua da órbita da lua em relação ao eixo semi-major do valor da propriedade da Terra 384.748 km (239.071 mi) Distância média 385.000 km (239.000 mi) parallax inverso 384.400 (238.900 mi) mi). Distância da Terra) 362.600 km (225.300 mi) (avg ) Excentricidade média 6998549006000000000 ♠ 0,054 9006 (0,026 - 0,077) Obliquidade média 6,687 ° Inclinação média do órbita ao eclíptico 5.15 ° (4,99 - 5.30) do Equador Lunar para Eclíptico 1.544 ° Período Orbit. Terra (sinódica) 29.530 Dias Precession dos nós 18.5996 anos Precession of Line of Apsides 8.8504 anos</v>
      </c>
      <c r="I37" s="3" t="str">
        <f>IFERROR(__xludf.DUMMYFUNCTION("GOOGLETRANSLATE(E37)"),"#VALUE!")</f>
        <v>#VALUE!</v>
      </c>
    </row>
    <row r="38" ht="15.75" customHeight="1">
      <c r="A38" s="1">
        <v>36.0</v>
      </c>
      <c r="B38" s="3" t="s">
        <v>139</v>
      </c>
      <c r="C38" s="3" t="s">
        <v>140</v>
      </c>
      <c r="D38" s="3" t="s">
        <v>141</v>
      </c>
      <c r="E38" s="3" t="s">
        <v>142</v>
      </c>
      <c r="F38" s="3" t="str">
        <f>IFERROR(__xludf.DUMMYFUNCTION("GOOGLETRANSLATE(B38)")," Primeiro Ministro das Maurícias")</f>
        <v> Primeiro Ministro das Maurícias</v>
      </c>
      <c r="G38" s="3" t="str">
        <f>IFERROR(__xludf.DUMMYFUNCTION("GOOGLETRANSLATE(C38)"),"Quem é o primeiro -ministro da República das Maurícias")</f>
        <v>Quem é o primeiro -ministro da República das Maurícias</v>
      </c>
      <c r="H38" s="3" t="str">
        <f>IFERROR(__xludf.DUMMYFUNCTION("GOOGLETRANSLATE(D38)"),"   Primeiro Ministro das Maurícias Batão de Armas das Maurícias da Maurícia Pravind Jugnauth, desde 23 de janeiro de 2017, estilo The Honorable Residence Clarisse House (Oficial) Nomeador O Presidente que deve nomear o parlamentar que apoia uma clara maio"&amp;"ria na assembléia nacional AMEENAH GURIB TERMO O prazer do presidente que serve enquanto o titular do escritório tiver a maioria na Assembléia Nacional, detentora inaugural Sir Seewoosagur Ramgoolam Formação 12 de março de 1968; 50 anos atrás (1968 - 03 -"&amp;" 12) Salário Rs 3,66 milhões de sites Primeiro Ministro Escritório")</f>
        <v>   Primeiro Ministro das Maurícias Batão de Armas das Maurícias da Maurícia Pravind Jugnauth, desde 23 de janeiro de 2017, estilo The Honorable Residence Clarisse House (Oficial) Nomeador O Presidente que deve nomear o parlamentar que apoia uma clara maioria na assembléia nacional AMEENAH GURIB TERMO O prazer do presidente que serve enquanto o titular do escritório tiver a maioria na Assembléia Nacional, detentora inaugural Sir Seewoosagur Ramgoolam Formação 12 de março de 1968; 50 anos atrás (1968 - 03 - 12) Salário Rs 3,66 milhões de sites Primeiro Ministro Escritório</v>
      </c>
      <c r="I38" s="3" t="str">
        <f>IFERROR(__xludf.DUMMYFUNCTION("GOOGLETRANSLATE(E38)"),"Pravind Jugnauth")</f>
        <v>Pravind Jugnauth</v>
      </c>
    </row>
    <row r="39" ht="15.75" customHeight="1">
      <c r="A39" s="1">
        <v>37.0</v>
      </c>
      <c r="B39" s="3" t="s">
        <v>143</v>
      </c>
      <c r="C39" s="3" t="s">
        <v>144</v>
      </c>
      <c r="D39" s="3" t="s">
        <v>145</v>
      </c>
      <c r="E39" s="3" t="s">
        <v>146</v>
      </c>
      <c r="F39" s="3" t="str">
        <f>IFERROR(__xludf.DUMMYFUNCTION("GOOGLETRANSLATE(B39)")," Final da FA Cup 2018")</f>
        <v> Final da FA Cup 2018</v>
      </c>
      <c r="G39" s="3" t="str">
        <f>IFERROR(__xludf.DUMMYFUNCTION("GOOGLETRANSLATE(C39)"),"O que as equipes estão na final da FA Cup")</f>
        <v>O que as equipes estão na final da FA Cup</v>
      </c>
      <c r="H39" s="3" t="str">
        <f>IFERROR(__xludf.DUMMYFUNCTION("GOOGLETRANSLATE(D39)")," A final da FA Cup 2018 foi a partida final da FA Cup de 2017 e a 137ª final da FA Cup, a competição mais antiga da Copa de Futebol do mundo. Foi tocado no Wembley Stadium, em Londres, Inglaterra, em 19 de maio de 2018, entre o Manchester United e o Chels"&amp;"ea. Foi a segunda final sucessiva do Chelsea após sua derrota pelo Arsenal no ano anterior.")</f>
        <v> A final da FA Cup 2018 foi a partida final da FA Cup de 2017 e a 137ª final da FA Cup, a competição mais antiga da Copa de Futebol do mundo. Foi tocado no Wembley Stadium, em Londres, Inglaterra, em 19 de maio de 2018, entre o Manchester United e o Chelsea. Foi a segunda final sucessiva do Chelsea após sua derrota pelo Arsenal no ano anterior.</v>
      </c>
      <c r="I39" s="3" t="str">
        <f>IFERROR(__xludf.DUMMYFUNCTION("GOOGLETRANSLATE(E39)"),"Manchester United")</f>
        <v>Manchester United</v>
      </c>
    </row>
    <row r="40" ht="15.75" customHeight="1">
      <c r="A40" s="1">
        <v>38.0</v>
      </c>
      <c r="B40" s="3" t="s">
        <v>147</v>
      </c>
      <c r="C40" s="3" t="s">
        <v>148</v>
      </c>
      <c r="D40" s="3" t="s">
        <v>149</v>
      </c>
      <c r="E40" s="3" t="s">
        <v>150</v>
      </c>
      <c r="F40" s="3" t="str">
        <f>IFERROR(__xludf.DUMMYFUNCTION("GOOGLETRANSLATE(B40)")," O sonho de uma noite de verão")</f>
        <v> O sonho de uma noite de verão</v>
      </c>
      <c r="G40" s="3" t="str">
        <f>IFERROR(__xludf.DUMMYFUNCTION("GOOGLETRANSLATE(C40)"),"onde está o conjunto de sonho de uma noite de verão")</f>
        <v>onde está o conjunto de sonho de uma noite de verão</v>
      </c>
      <c r="H40" s="3" t="str">
        <f>IFERROR(__xludf.DUMMYFUNCTION("GOOGLETRANSLATE(D40)")," A peça consiste em quatro parcelas interconectadas, conectadas por uma celebração do casamento de Duke Teseu de Atenas e da rainha amazônica, Hippolyita, que é colocada simultaneamente na floresta e no reino da Fairia, sob a luz da lua.")</f>
        <v> A peça consiste em quatro parcelas interconectadas, conectadas por uma celebração do casamento de Duke Teseu de Atenas e da rainha amazônica, Hippolyita, que é colocada simultaneamente na floresta e no reino da Fairia, sob a luz da lua.</v>
      </c>
      <c r="I40" s="3" t="str">
        <f>IFERROR(__xludf.DUMMYFUNCTION("GOOGLETRANSLATE(E40)"),"na floresta e no reino do Fairyland")</f>
        <v>na floresta e no reino do Fairyland</v>
      </c>
    </row>
    <row r="41" ht="15.75" customHeight="1">
      <c r="A41" s="1">
        <v>39.0</v>
      </c>
      <c r="B41" s="3" t="s">
        <v>151</v>
      </c>
      <c r="C41" s="3" t="s">
        <v>152</v>
      </c>
      <c r="D41" s="3" t="s">
        <v>153</v>
      </c>
      <c r="F41" s="3" t="str">
        <f>IFERROR(__xludf.DUMMYFUNCTION("GOOGLETRANSLATE(B41)")," Lista de episódios de Black Sails")</f>
        <v> Lista de episódios de Black Sails</v>
      </c>
      <c r="G41" s="3" t="str">
        <f>IFERROR(__xludf.DUMMYFUNCTION("GOOGLETRANSLATE(C41)"),"Quando começa a nova série de velas negras")</f>
        <v>Quando começa a nova série de velas negras</v>
      </c>
      <c r="H41" s="3" t="str">
        <f>IFERROR(__xludf.DUMMYFUNCTION("GOOGLETRANSLATE(D41)")," Black Sails é uma série de drama de televisão americana criada por Jon Steinberg e Robert Levine para Starz que estreou em 25 de janeiro de 2014. É produzido pelo filme Afrika Worldwide e Platinum Dunes. Está escrito como um prequel do romance Treasure I"&amp;"sland, de Robert Louis Stevenson. A série foi renovada para uma quarta temporada em 31 de julho de 2015, antes da terceira temporada ter estreado. Em 20 de julho de 2016, Starz anunciou que a quarta temporada da série seria a última; A temporada estreou e"&amp;"m 29 de janeiro de 2017 e concluiu em 2 de abril de 2017. Durante o curso da série, 38 episódios de Black Sails foram ao ar em quatro temporadas.")</f>
        <v> Black Sails é uma série de drama de televisão americana criada por Jon Steinberg e Robert Levine para Starz que estreou em 25 de janeiro de 2014. É produzido pelo filme Afrika Worldwide e Platinum Dunes. Está escrito como um prequel do romance Treasure Island, de Robert Louis Stevenson. A série foi renovada para uma quarta temporada em 31 de julho de 2015, antes da terceira temporada ter estreado. Em 20 de julho de 2016, Starz anunciou que a quarta temporada da série seria a última; A temporada estreou em 29 de janeiro de 2017 e concluiu em 2 de abril de 2017. Durante o curso da série, 38 episódios de Black Sails foram ao ar em quatro temporadas.</v>
      </c>
      <c r="I41" s="3" t="str">
        <f>IFERROR(__xludf.DUMMYFUNCTION("GOOGLETRANSLATE(E41)"),"#VALUE!")</f>
        <v>#VALUE!</v>
      </c>
    </row>
    <row r="42" ht="15.75" customHeight="1">
      <c r="A42" s="1">
        <v>40.0</v>
      </c>
      <c r="B42" s="3" t="s">
        <v>154</v>
      </c>
      <c r="C42" s="3" t="s">
        <v>155</v>
      </c>
      <c r="D42" s="3" t="s">
        <v>156</v>
      </c>
      <c r="E42" s="3" t="s">
        <v>157</v>
      </c>
      <c r="F42" s="3" t="str">
        <f>IFERROR(__xludf.DUMMYFUNCTION("GOOGLETRANSLATE(B42)")," Neil Armstrong")</f>
        <v> Neil Armstrong</v>
      </c>
      <c r="G42" s="3" t="str">
        <f>IFERROR(__xludf.DUMMYFUNCTION("GOOGLETRANSLATE(C42)"),"Quem é a primeira pessoa que foi para a lua")</f>
        <v>Quem é a primeira pessoa que foi para a lua</v>
      </c>
      <c r="H42" s="3" t="str">
        <f>IFERROR(__xludf.DUMMYFUNCTION("GOOGLETRANSLATE(D42)")," Neil Alden Armstrong (5 de agosto de 1930 - 25 de agosto de 2012) foi um astronauta americano e engenheiro aeronáutico que foi a primeira pessoa a andar na lua. Ele também era um aviador naval, piloto de teste e professor universitário.")</f>
        <v> Neil Alden Armstrong (5 de agosto de 1930 - 25 de agosto de 2012) foi um astronauta americano e engenheiro aeronáutico que foi a primeira pessoa a andar na lua. Ele também era um aviador naval, piloto de teste e professor universitário.</v>
      </c>
      <c r="I42" s="3" t="str">
        <f>IFERROR(__xludf.DUMMYFUNCTION("GOOGLETRANSLATE(E42)"),"Neil Alden Armstrong")</f>
        <v>Neil Alden Armstrong</v>
      </c>
    </row>
    <row r="43" ht="15.75" customHeight="1">
      <c r="A43" s="1">
        <v>41.0</v>
      </c>
      <c r="B43" s="3" t="s">
        <v>158</v>
      </c>
      <c r="C43" s="3" t="s">
        <v>159</v>
      </c>
      <c r="D43" s="3" t="s">
        <v>160</v>
      </c>
      <c r="E43" s="3" t="s">
        <v>161</v>
      </c>
      <c r="F43" s="3" t="str">
        <f>IFERROR(__xludf.DUMMYFUNCTION("GOOGLETRANSLATE(B43)")," Lista de filmes e séries de TV Lego")</f>
        <v> Lista de filmes e séries de TV Lego</v>
      </c>
      <c r="G43" s="3" t="str">
        <f>IFERROR(__xludf.DUMMYFUNCTION("GOOGLETRANSLATE(C43)"),"Quando o primeiro filme da LEGO saiu")</f>
        <v>Quando o primeiro filme da LEGO saiu</v>
      </c>
      <c r="H43" s="3" t="str">
        <f>IFERROR(__xludf.DUMMYFUNCTION("GOOGLETRANSLATE(D43)"),"   Ano Título Production Studio (s) Notas 2014 O LEGO Movie Warner Animation Group lançou 2017 The Lego Batman Movie lançou o filme LEGO Ninjago lançado 2019 The Lego Movie Sequel em Development The Billion Brick Race")</f>
        <v>   Ano Título Production Studio (s) Notas 2014 O LEGO Movie Warner Animation Group lançou 2017 The Lego Batman Movie lançou o filme LEGO Ninjago lançado 2019 The Lego Movie Sequel em Development The Billion Brick Race</v>
      </c>
      <c r="I43" s="3" t="str">
        <f>IFERROR(__xludf.DUMMYFUNCTION("GOOGLETRANSLATE(E43)"),"O filme LEGO")</f>
        <v>O filme LEGO</v>
      </c>
    </row>
    <row r="44" ht="15.75" customHeight="1">
      <c r="A44" s="1">
        <v>42.0</v>
      </c>
      <c r="B44" s="3" t="s">
        <v>162</v>
      </c>
      <c r="C44" s="3" t="s">
        <v>163</v>
      </c>
      <c r="D44" s="3" t="s">
        <v>164</v>
      </c>
      <c r="E44" s="3" t="s">
        <v>165</v>
      </c>
      <c r="F44" s="3" t="str">
        <f>IFERROR(__xludf.DUMMYFUNCTION("GOOGLETRANSLATE(B44)")," Metal")</f>
        <v> Metal</v>
      </c>
      <c r="G44" s="3" t="str">
        <f>IFERROR(__xludf.DUMMYFUNCTION("GOOGLETRANSLATE(C44)"),"são metais puros feitos de átomos ou íons")</f>
        <v>são metais puros feitos de átomos ou íons</v>
      </c>
      <c r="H44" s="3" t="str">
        <f>IFERROR(__xludf.DUMMYFUNCTION("GOOGLETRANSLATE(D44)")," Os átomos de substâncias metálicos são tipicamente dispostas em uma das três estruturas cristalinas comuns, a saber, cúbico centralizado (BCC), cúbico centralizado (FCC) e fechamento hexagonal (HCP). No BCC, cada átomo é posicionado no centro de um cubo "&amp;"de oito outros. Na FCC e HCP, cada átomo é cercado por doze outros, mas o empilhamento das camadas difere. Alguns metais adotam estruturas diferentes, dependendo da temperatura.")</f>
        <v> Os átomos de substâncias metálicos são tipicamente dispostas em uma das três estruturas cristalinas comuns, a saber, cúbico centralizado (BCC), cúbico centralizado (FCC) e fechamento hexagonal (HCP). No BCC, cada átomo é posicionado no centro de um cubo de oito outros. Na FCC e HCP, cada átomo é cercado por doze outros, mas o empilhamento das camadas difere. Alguns metais adotam estruturas diferentes, dependendo da temperatura.</v>
      </c>
      <c r="I44" s="3" t="str">
        <f>IFERROR(__xludf.DUMMYFUNCTION("GOOGLETRANSLATE(E44)"),"átomos")</f>
        <v>átomos</v>
      </c>
    </row>
    <row r="45" ht="15.75" customHeight="1">
      <c r="A45" s="1">
        <v>43.0</v>
      </c>
      <c r="B45" s="3" t="s">
        <v>166</v>
      </c>
      <c r="C45" s="3" t="s">
        <v>167</v>
      </c>
      <c r="D45" s="3" t="s">
        <v>168</v>
      </c>
      <c r="E45" s="3" t="s">
        <v>169</v>
      </c>
      <c r="F45" s="3" t="str">
        <f>IFERROR(__xludf.DUMMYFUNCTION("GOOGLETRANSLATE(B45)")," Lista de músicas em vitorioso")</f>
        <v> Lista de músicas em vitorioso</v>
      </c>
      <c r="G45" s="3" t="str">
        <f>IFERROR(__xludf.DUMMYFUNCTION("GOOGLETRANSLATE(C45)"),"Que episódio em vitorioso é desistir")</f>
        <v>Que episódio em vitorioso é desistir</v>
      </c>
      <c r="H45" s="3" t="str">
        <f>IFERROR(__xludf.DUMMYFUNCTION("GOOGLETRANSLATE(D45)"),"   O título do episódio apresentado pela trilha sonora de uma única temporada `` pilot '' '`` Make It Shine' 'Tori Vega Sim Victorious `` The Birthweek Song' '`` Você' é a razão '' Tori Vega Sim Victorious `Jade Dumps Beck '' `` Chicago '' trina vega não "&amp;"n / a `` Tori the zumbie '' `` finalmente cai '' Tori Vega e Beck Oliver Sim Victorious `` Sobrevivência dos mais quentes '' '`` Faça brilhar' '`` Victorious' 'Elenco não n / a `` wi - fi no céu' '`` você' é o motivo '' trina vega no n / a `` The Great Pi"&amp;"ng Pong Scam '' `` Diga -me que você me ama '' Tori Vega e Andre Harris Sim Victorious `` Freak the Freak Out '' `Forever Baby '' Robbie Shapiro e Rex Powers Não N / A` `número um '' (também conhecido duet sikowitz em um solo no n / a `` desista '' gato n"&amp;"amorado e jade oeste sim vitorioso `` odeie -me, me ame '' hayley e tara não n / a `` loucura o esquisito '' Tori vega sim Victorious `` rex morre '' `` Forever Baby '' Tori Vega, Robbie Shapiro e Rex pode não Comida '' '`` Victorious' 'elenco não vitorio"&amp;"so' `` nariz, Andre Harris não n / a '`` você' é a razão '' trina vega no n / a `` canção2you '' Tori Vega e Andre Harris Sim Victorious `` Wok star '' `` voe para fora do poço '' Daisy Lee não n / a `` the Wood '' `` Forever Baby '' Tori Vega e Jade West"&amp;" no n / a `` `` `` `` `` `` `` `` `` '' '' '' '' '' '' '' '' '' '' '' '' '' '' '' '' '' '' '' '' '' '' '' para sempre bebê '' 'tori vega e jade west n / a' `` parado 'em seus joelhos' '`` `` `` `` ` Vega e Sikowitz no N / A `` Prom Jarcleer '' '`` Best Fr"&amp;"iend' Sr. '' '' Tori Vega, Cat Valentine e Andre Harris Sim Victorious `` trancado! '' `` Tudo que eu quero é tudo '' Tori Vega, Cat Valentine, Jade West e Trina Vega Sim Victorious `` Eu quero você de volta '' `` Victorious '' Elenco Sim Victorious `` He"&amp;"len de volta '' `` ( Você não vi o) melhor de mim '' Trina Vega no n / a `` gato 's Broadway Song' 'Cat Valentine no n / a `` Make It Shine (Remix)' 'Tori Vega e Andre Harris Não N / a `` jade é esmagado '' `` 365 dias '' Tori Vega e Andre Harris Sim Vict"&amp;"orious 3.0 (faixa bônus) `` ok Wheels On the Cupcake '' `` Victorious '' Coloque não n / a `` a Christmas Tori '' `` `Não é Natal sem você '' Tori Vega, Cat Valentine e Jade West Sim Merry Nickmas! `` The Breakfast Bunch '' `` Run, Run, Run Away '' Descon"&amp;"hecido Artista No N / A `` Nisso juntos '' Nikki Watkins no N / A `` Do não (esqueça de mim) '' Tori vega sim vitorioso 2.0 `` The Gorilla Club '' `` eu estou em chamas '' Robbie Shapiro e Andre Harris no n / a `` Andre 's Horrible Girl' '`` Countdown' 'T"&amp;"ori Vega e Andre Harris Sim Victorious 2.0 `` Tori &amp; Jade 's PlayDate' '`` Tire uma dica' 'Tori Vega e Jade West Sim Victorious 2.0 `` April Blank' '`Shut Up N' Dance ''` `Victorious '' Cast Sim Victorious 2.0 `` Driving Tori Crazy '' `5 Fingaz no rosto '"&amp;"'` `Victorious '' Elenco Sim Victorious 2.0` `Como Trina entrou em ''` `A piada está em você '' Trina Vega Não N / A `` Tori vai platinum '' `` faça isso na América '' Tori Vega Sim Victorious 2.0 `` Chegue -me (apenas uma 'dança)' 'Tori Vega Yes Victorio"&amp;"us 3.0 (faixa de bônus) `` The Blonde Squad' ' `` Eu acho que você é o swell '' robbie shapiro sim vitorioso 2.0 (faixa bônus) `` três garotas e um alce '' `` l.a. boyz '' tori vega e gato namorado sim vitorioso 3.0 `` Tori fixos beck e jade ' '`` Você nã"&amp;"o me conhece' 'Jade West Sim Victorious 3,0 `` Mil Berry Balls' '`` aqui' S 2 nós '' Tori Vega e Andre Harris Sim Victorious 3.0 `` The Bad Commate '' `Mais rápido que Boyz '' Tori Vega e Andre Harris Sim Victorious 3.0` `Estrela - Spangled Tori ''` `Star"&amp;" - Spangled Banner '' Tori Vega Não N / A` `Bad Boys '' Tori Vega Sim Victorious 3.0")</f>
        <v>   O título do episódio apresentado pela trilha sonora de uma única temporada `` pilot '' '`` Make It Shine' 'Tori Vega Sim Victorious `` The Birthweek Song' '`` Você' é a razão '' Tori Vega Sim Victorious `Jade Dumps Beck '' `` Chicago '' trina vega não n / a `` Tori the zumbie '' `` finalmente cai '' Tori Vega e Beck Oliver Sim Victorious `` Sobrevivência dos mais quentes '' '`` Faça brilhar' '`` Victorious' 'Elenco não n / a `` wi - fi no céu' '`` você' é o motivo '' trina vega no n / a `` The Great Ping Pong Scam '' `` Diga -me que você me ama '' Tori Vega e Andre Harris Sim Victorious `` Freak the Freak Out '' `Forever Baby '' Robbie Shapiro e Rex Powers Não N / A` `número um '' (também conhecido duet sikowitz em um solo no n / a `` desista '' gato namorado e jade oeste sim vitorioso `` odeie -me, me ame '' hayley e tara não n / a `` loucura o esquisito '' Tori vega sim Victorious `` rex morre '' `` Forever Baby '' Tori Vega, Robbie Shapiro e Rex pode não Comida '' '`` Victorious' 'elenco não vitorioso' `` nariz, Andre Harris não n / a '`` você' é a razão '' trina vega no n / a `` canção2you '' Tori Vega e Andre Harris Sim Victorious `` Wok star '' `` voe para fora do poço '' Daisy Lee não n / a `` the Wood '' `` Forever Baby '' Tori Vega e Jade West no n / a `` `` `` `` `` `` `` `` `` '' '' '' '' '' '' '' '' '' '' '' '' '' '' '' '' '' '' '' '' '' '' '' para sempre bebê '' 'tori vega e jade west n / a' `` parado 'em seus joelhos' '`` `` `` `` ` Vega e Sikowitz no N / A `` Prom Jarcleer '' '`` Best Friend' Sr. '' '' Tori Vega, Cat Valentine e Andre Harris Sim Victorious `` trancado! '' `` Tudo que eu quero é tudo '' Tori Vega, Cat Valentine, Jade West e Trina Vega Sim Victorious `` Eu quero você de volta '' `` Victorious '' Elenco Sim Victorious `` Helen de volta '' `` ( Você não vi o) melhor de mim '' Trina Vega no n / a `` gato 's Broadway Song' 'Cat Valentine no n / a `` Make It Shine (Remix)' 'Tori Vega e Andre Harris Não N / a `` jade é esmagado '' `` 365 dias '' Tori Vega e Andre Harris Sim Victorious 3.0 (faixa bônus) `` ok Wheels On the Cupcake '' `` Victorious '' Coloque não n / a `` a Christmas Tori '' `` `Não é Natal sem você '' Tori Vega, Cat Valentine e Jade West Sim Merry Nickmas! `` The Breakfast Bunch '' `` Run, Run, Run Away '' Desconhecido Artista No N / A `` Nisso juntos '' Nikki Watkins no N / A `` Do não (esqueça de mim) '' Tori vega sim vitorioso 2.0 `` The Gorilla Club '' `` eu estou em chamas '' Robbie Shapiro e Andre Harris no n / a `` Andre 's Horrible Girl' '`` Countdown' 'Tori Vega e Andre Harris Sim Victorious 2.0 `` Tori &amp; Jade 's PlayDate' '`` Tire uma dica' 'Tori Vega e Jade West Sim Victorious 2.0 `` April Blank' '`Shut Up N' Dance ''` `Victorious '' Cast Sim Victorious 2.0 `` Driving Tori Crazy '' `5 Fingaz no rosto ''` `Victorious '' Elenco Sim Victorious 2.0` `Como Trina entrou em ''` `A piada está em você '' Trina Vega Não N / A `` Tori vai platinum '' `` faça isso na América '' Tori Vega Sim Victorious 2.0 `` Chegue -me (apenas uma 'dança)' 'Tori Vega Yes Victorious 3.0 (faixa de bônus) `` The Blonde Squad' ' `` Eu acho que você é o swell '' robbie shapiro sim vitorioso 2.0 (faixa bônus) `` três garotas e um alce '' `` l.a. boyz '' tori vega e gato namorado sim vitorioso 3.0 `` Tori fixos beck e jade ' '`` Você não me conhece' 'Jade West Sim Victorious 3,0 `` Mil Berry Balls' '`` aqui' S 2 nós '' Tori Vega e Andre Harris Sim Victorious 3.0 `` The Bad Commate '' `Mais rápido que Boyz '' Tori Vega e Andre Harris Sim Victorious 3.0` `Estrela - Spangled Tori ''` `Star - Spangled Banner '' Tori Vega Não N / A` `Bad Boys '' Tori Vega Sim Victorious 3.0</v>
      </c>
      <c r="I45" s="3" t="str">
        <f>IFERROR(__xludf.DUMMYFUNCTION("GOOGLETRANSLATE(E45)"),"Assustar o paving")</f>
        <v>Assustar o paving</v>
      </c>
    </row>
    <row r="46" ht="15.75" customHeight="1">
      <c r="A46" s="1">
        <v>44.0</v>
      </c>
      <c r="B46" s="3" t="s">
        <v>170</v>
      </c>
      <c r="C46" s="3" t="s">
        <v>171</v>
      </c>
      <c r="D46" s="3" t="s">
        <v>172</v>
      </c>
      <c r="E46" s="3" t="s">
        <v>173</v>
      </c>
      <c r="F46" s="3" t="str">
        <f>IFERROR(__xludf.DUMMYFUNCTION("GOOGLETRANSLATE(B46)")," Transporte Ativo")</f>
        <v> Transporte Ativo</v>
      </c>
      <c r="G46" s="3" t="str">
        <f>IFERROR(__xludf.DUMMYFUNCTION("GOOGLETRANSLATE(C46)"),"movimento de moléculas em uma membrana alimentada por ATP")</f>
        <v>movimento de moléculas em uma membrana alimentada por ATP</v>
      </c>
      <c r="H46" s="3" t="str">
        <f>IFERROR(__xludf.DUMMYFUNCTION("GOOGLETRANSLATE(D46)")," O transporte ativo é o movimento de moléculas em uma membrana de uma região de menor concentração para uma região de sua maior concentração - na direção contra o gradiente de concentração. O transporte ativo requer energia celular para alcançar esse movi"&amp;"mento. Existem dois tipos de transporte ativo - transporte ativo primário que usa ATP e transporte ativo secundário que usa um gradiente eletroquímico. Um exemplo de transporte ativo na fisiologia humana é a captação de glicose no intestino.")</f>
        <v> O transporte ativo é o movimento de moléculas em uma membrana de uma região de menor concentração para uma região de sua maior concentração - na direção contra o gradiente de concentração. O transporte ativo requer energia celular para alcançar esse movimento. Existem dois tipos de transporte ativo - transporte ativo primário que usa ATP e transporte ativo secundário que usa um gradiente eletroquímico. Um exemplo de transporte ativo na fisiologia humana é a captação de glicose no intestino.</v>
      </c>
      <c r="I46" s="3" t="str">
        <f>IFERROR(__xludf.DUMMYFUNCTION("GOOGLETRANSLATE(E46)"),"transporte ativo primário")</f>
        <v>transporte ativo primário</v>
      </c>
    </row>
    <row r="47" ht="15.75" customHeight="1">
      <c r="A47" s="1">
        <v>45.0</v>
      </c>
      <c r="B47" s="3" t="s">
        <v>174</v>
      </c>
      <c r="C47" s="3" t="s">
        <v>175</v>
      </c>
      <c r="D47" s="3" t="s">
        <v>176</v>
      </c>
      <c r="E47" s="3" t="s">
        <v>177</v>
      </c>
      <c r="F47" s="3" t="str">
        <f>IFERROR(__xludf.DUMMYFUNCTION("GOOGLETRANSLATE(B47)")," Peter Midnight")</f>
        <v> Peter Midnight</v>
      </c>
      <c r="G47" s="3" t="str">
        <f>IFERROR(__xludf.DUMMYFUNCTION("GOOGLETRANSLATE(C47)"),"que vendeu Manhattan para os holandeses em 1626")</f>
        <v>que vendeu Manhattan para os holandeses em 1626</v>
      </c>
      <c r="H47" s="3" t="str">
        <f>IFERROR(__xludf.DUMMYFUNCTION("GOOGLETRANSLATE(D47)")," Minuit é creditado por comprar a ilha de Manhattan dos nativos americanos em troca de mercadorias negociadas avaliadas em 60 guildistas. De acordo com o escritor Nathaniel Benchley, Minuit conduziu a transação com Seyseys, chefe das Canares, que estavam "&amp;"muito felizes em aceitar mercadorias valiosas em troca de uma ilha que era controlada principalmente pelos Weckquaesgeeks.")</f>
        <v> Minuit é creditado por comprar a ilha de Manhattan dos nativos americanos em troca de mercadorias negociadas avaliadas em 60 guildistas. De acordo com o escritor Nathaniel Benchley, Minuit conduziu a transação com Seyseys, chefe das Canares, que estavam muito felizes em aceitar mercadorias valiosas em troca de uma ilha que era controlada principalmente pelos Weckquaesgeeks.</v>
      </c>
      <c r="I47" s="3" t="str">
        <f>IFERROR(__xludf.DUMMYFUNCTION("GOOGLETRANSLATE(E47)"),"Seyseys, chefe das Canares")</f>
        <v>Seyseys, chefe das Canares</v>
      </c>
    </row>
    <row r="48" ht="15.75" customHeight="1">
      <c r="A48" s="1">
        <v>46.0</v>
      </c>
      <c r="B48" s="3" t="s">
        <v>178</v>
      </c>
      <c r="C48" s="3" t="s">
        <v>179</v>
      </c>
      <c r="D48" s="3" t="s">
        <v>180</v>
      </c>
      <c r="F48" s="3" t="str">
        <f>IFERROR(__xludf.DUMMYFUNCTION("GOOGLETRANSLATE(B48)")," Cidade das estrelas")</f>
        <v> Cidade das estrelas</v>
      </c>
      <c r="G48" s="3" t="str">
        <f>IFERROR(__xludf.DUMMYFUNCTION("GOOGLETRANSLATE(C48)"),"Cidade das estrelas você está brilhando só para mim o significado")</f>
        <v>Cidade das estrelas você está brilhando só para mim o significado</v>
      </c>
      <c r="H48" s="3" t="str">
        <f>IFERROR(__xludf.DUMMYFUNCTION("GOOGLETRANSLATE(D48)"),"  `` A música) começou no piano comigo apenas trabalhando em demos para Damien, enviando idéias até que algo realmente desencadeou. É tão engraçado que isso e `` audição '' são as duas músicas que as pessoas parecem estar respondendo mais, pelo menos até "&amp;"agora, porque tinham processos semelhantes no sentido de que provavelmente tinham a menor quantidade de confusão em O estágio de demonstração de piano. (...) Eu estava apenas compondo isso de um lugar emocional e pensando sobre o tom. Eu diria que o tom é"&amp;" esperançoso, mas melancólico ao mesmo tempo. E meio que remonta - e - entre a Cadencing em Major e a Cadencing em Minor, porque acho que é o que é a música. Você tem esses ótimos momentos e depois tem esses momentos menos ótimos na vida e em Los Angeles "&amp;"e vemos isso acontecer na história. Eu estava pensando um pouco nessa ideia e apenas tentando compor uma melodia que eu pensei que era bem torneada e bonita. Eu acho que tem algumas inflexões de jazz, porque é algo que Sebastian toca no piano. ''")</f>
        <v>  `` A música) começou no piano comigo apenas trabalhando em demos para Damien, enviando idéias até que algo realmente desencadeou. É tão engraçado que isso e `` audição '' são as duas músicas que as pessoas parecem estar respondendo mais, pelo menos até agora, porque tinham processos semelhantes no sentido de que provavelmente tinham a menor quantidade de confusão em O estágio de demonstração de piano. (...) Eu estava apenas compondo isso de um lugar emocional e pensando sobre o tom. Eu diria que o tom é esperançoso, mas melancólico ao mesmo tempo. E meio que remonta - e - entre a Cadencing em Major e a Cadencing em Minor, porque acho que é o que é a música. Você tem esses ótimos momentos e depois tem esses momentos menos ótimos na vida e em Los Angeles e vemos isso acontecer na história. Eu estava pensando um pouco nessa ideia e apenas tentando compor uma melodia que eu pensei que era bem torneada e bonita. Eu acho que tem algumas inflexões de jazz, porque é algo que Sebastian toca no piano. ''</v>
      </c>
      <c r="I48" s="3" t="str">
        <f>IFERROR(__xludf.DUMMYFUNCTION("GOOGLETRANSLATE(E48)"),"#VALUE!")</f>
        <v>#VALUE!</v>
      </c>
    </row>
    <row r="49" ht="15.75" customHeight="1">
      <c r="A49" s="1">
        <v>47.0</v>
      </c>
      <c r="B49" s="3" t="s">
        <v>181</v>
      </c>
      <c r="C49" s="3" t="s">
        <v>182</v>
      </c>
      <c r="D49" s="3" t="s">
        <v>183</v>
      </c>
      <c r="F49" s="3" t="str">
        <f>IFERROR(__xludf.DUMMYFUNCTION("GOOGLETRANSLATE(B49)")," Mestre de tinta")</f>
        <v> Mestre de tinta</v>
      </c>
      <c r="G49" s="3" t="str">
        <f>IFERROR(__xludf.DUMMYFUNCTION("GOOGLETRANSLATE(C49)"),"quem tem sido o vencedor do Mestre de Ink")</f>
        <v>quem tem sido o vencedor do Mestre de Ink</v>
      </c>
      <c r="H49" s="3" t="str">
        <f>IFERROR(__xludf.DUMMYFUNCTION("GOOGLETRANSLATE(D49)"),"   A vencedora dos participantes da temporada, vice -campeão do terceiro lugar, foi ao ar juízes ao ar dos últimos juízes (Ordem da Presidente) 10 Shane O'Neill Tommy Helm James Vaughn Título de Ink Master $ 100.000 na revista Inked 17 de janeiro de 2012 "&amp;"6 de março de 2012 Oliver Peck Dave Navarro Chris Nuñez 16 Steft Sarah Miller Sebastian Murphy 9 de outubro de 2012 18 de dezembro de 2012 16 Joey Hamilton Jime Litwalk Katherine `` Tatu Baby '' Flores 16 de julho de 2013 8 de outubro de 2013 17 Scott Mar"&amp;"shall Walter `` Sausage '' Frank Matti Hixson Hixson 25 de fevereiro, 25 de fevereiro, 2014 20 de maio de 2014 5 16 Jason Clay Dunn Cleen Rock One Erik Siuda 2 de setembro de 2014 16 de dezembro de 2014 6 18 Dave Kruseman Chris Blinston Matt O'Baugh Títul"&amp;"o de Ink Master $ 100.000 na revista Inked 2015 Dodge Challenger 23 de junho de 2015 de outubro de 2015 13, 2015 7 16 Anthony Michaels Cleen Rock One Christian Buckingham Título de Ink Master $ 100.000 Recurso na revista Inked 1 de março de 2016 24 de mai"&amp;"o de 2016 8 18 18 Ryan Ashley malarkey Gian Karle Cruz Kelly Doty Título de Ink Master $ 100.000 Feature in Inked Magazine Dodge Charger Um artista convidado na loja de tatuagens de Nunez ou Peck. 23 de agosto de 2016 6 de dezembro de 2016 9 36 TATOOS DE "&amp;"COBRA CIDADE ANTIGA (BUBBA IRWIN &amp; DJ TAMBE) Tatuagens de cobra preta (Matt O'Baugh e Katie McGowan) Tattoo de Basílica (Christian Buckingham e Noelin Wheeler) Título do Mestre de Ink $ 200.000 em Revista Inked Magazine Título da `` Master Shop '', 6 de j"&amp;"unho de 2017, 26 de setembro de 2017")</f>
        <v>   A vencedora dos participantes da temporada, vice -campeão do terceiro lugar, foi ao ar juízes ao ar dos últimos juízes (Ordem da Presidente) 10 Shane O'Neill Tommy Helm James Vaughn Título de Ink Master $ 100.000 na revista Inked 17 de janeiro de 2012 6 de março de 2012 Oliver Peck Dave Navarro Chris Nuñez 16 Steft Sarah Miller Sebastian Murphy 9 de outubro de 2012 18 de dezembro de 2012 16 Joey Hamilton Jime Litwalk Katherine `` Tatu Baby '' Flores 16 de julho de 2013 8 de outubro de 2013 17 Scott Marshall Walter `` Sausage '' Frank Matti Hixson Hixson 25 de fevereiro, 25 de fevereiro, 2014 20 de maio de 2014 5 16 Jason Clay Dunn Cleen Rock One Erik Siuda 2 de setembro de 2014 16 de dezembro de 2014 6 18 Dave Kruseman Chris Blinston Matt O'Baugh Título de Ink Master $ 100.000 na revista Inked 2015 Dodge Challenger 23 de junho de 2015 de outubro de 2015 13, 2015 7 16 Anthony Michaels Cleen Rock One Christian Buckingham Título de Ink Master $ 100.000 Recurso na revista Inked 1 de março de 2016 24 de maio de 2016 8 18 18 Ryan Ashley malarkey Gian Karle Cruz Kelly Doty Título de Ink Master $ 100.000 Feature in Inked Magazine Dodge Charger Um artista convidado na loja de tatuagens de Nunez ou Peck. 23 de agosto de 2016 6 de dezembro de 2016 9 36 TATOOS DE COBRA CIDADE ANTIGA (BUBBA IRWIN &amp; DJ TAMBE) Tatuagens de cobra preta (Matt O'Baugh e Katie McGowan) Tattoo de Basílica (Christian Buckingham e Noelin Wheeler) Título do Mestre de Ink $ 200.000 em Revista Inked Magazine Título da `` Master Shop '', 6 de junho de 2017, 26 de setembro de 2017</v>
      </c>
      <c r="I49" s="3" t="str">
        <f>IFERROR(__xludf.DUMMYFUNCTION("GOOGLETRANSLATE(E49)"),"#VALUE!")</f>
        <v>#VALUE!</v>
      </c>
    </row>
    <row r="50" ht="15.75" customHeight="1">
      <c r="A50" s="1">
        <v>48.0</v>
      </c>
      <c r="B50" s="3" t="s">
        <v>184</v>
      </c>
      <c r="C50" s="3" t="s">
        <v>185</v>
      </c>
      <c r="D50" s="3" t="s">
        <v>186</v>
      </c>
      <c r="E50" s="3" t="s">
        <v>187</v>
      </c>
      <c r="F50" s="3" t="str">
        <f>IFERROR(__xludf.DUMMYFUNCTION("GOOGLETRANSLATE(B50)")," Deuces (filme)")</f>
        <v> Deuces (filme)</v>
      </c>
      <c r="G50" s="3" t="str">
        <f>IFERROR(__xludf.DUMMYFUNCTION("GOOGLETRANSLATE(C50)"),"Em que ano o filme Deuces saiu")</f>
        <v>Em que ano o filme Deuces saiu</v>
      </c>
      <c r="H50" s="3" t="str">
        <f>IFERROR(__xludf.DUMMYFUNCTION("GOOGLETRANSLATE(D50)")," Deuces é um drama criminal americano escrito e dirigido por Jamal Hill. O filme é estrelado por Larenz Tate, Meagan Good, Lance Gross e Siya. O filme é produzido pela rainha Latifah para sua empresa de produção de entretenimento da unidade de flavors. De"&amp;"uces estreou na Netflix em 1º de abril de 2017.")</f>
        <v> Deuces é um drama criminal americano escrito e dirigido por Jamal Hill. O filme é estrelado por Larenz Tate, Meagan Good, Lance Gross e Siya. O filme é produzido pela rainha Latifah para sua empresa de produção de entretenimento da unidade de flavors. Deuces estreou na Netflix em 1º de abril de 2017.</v>
      </c>
      <c r="I50" s="3" t="str">
        <f>IFERROR(__xludf.DUMMYFUNCTION("GOOGLETRANSLATE(E50)"),"2017")</f>
        <v>2017</v>
      </c>
    </row>
    <row r="51" ht="15.75" customHeight="1">
      <c r="A51" s="1">
        <v>49.0</v>
      </c>
      <c r="B51" s="3" t="s">
        <v>188</v>
      </c>
      <c r="C51" s="3" t="s">
        <v>189</v>
      </c>
      <c r="D51" s="3" t="s">
        <v>190</v>
      </c>
      <c r="E51" s="3" t="s">
        <v>191</v>
      </c>
      <c r="F51" s="3" t="str">
        <f>IFERROR(__xludf.DUMMYFUNCTION("GOOGLETRANSLATE(B51)")," Ministério dos Assuntos da Juventude e Esportes")</f>
        <v> Ministério dos Assuntos da Juventude e Esportes</v>
      </c>
      <c r="G51" s="3" t="str">
        <f>IFERROR(__xludf.DUMMYFUNCTION("GOOGLETRANSLATE(C51)"),"Quem é o atual ministro do Esporte da Índia")</f>
        <v>Quem é o atual ministro do Esporte da Índia</v>
      </c>
      <c r="H51" s="3" t="str">
        <f>IFERROR(__xludf.DUMMYFUNCTION("GOOGLETRANSLATE(D51)")," O Ministério dos Assuntos da Juventude e Esportes, um ramo do governo da Índia, que administra o Departamento de Assuntos da Juventude e o Departamento de Esportes da Índia. O ministério também ignora a Organização dos Jogos da Commonwealth 2010. Em julh"&amp;"o de 2016, o Ministro de Assuntos da Juventude e Esportes é o Ministro de Estado (acusação independente) Rajyavardhan Singh Rathore")</f>
        <v> O Ministério dos Assuntos da Juventude e Esportes, um ramo do governo da Índia, que administra o Departamento de Assuntos da Juventude e o Departamento de Esportes da Índia. O ministério também ignora a Organização dos Jogos da Commonwealth 2010. Em julho de 2016, o Ministro de Assuntos da Juventude e Esportes é o Ministro de Estado (acusação independente) Rajyavardhan Singh Rathore</v>
      </c>
      <c r="I51" s="3" t="str">
        <f>IFERROR(__xludf.DUMMYFUNCTION("GOOGLETRANSLATE(E51)"),"Rajyavardhan Singh Rathore")</f>
        <v>Rajyavardhan Singh Rathore</v>
      </c>
    </row>
    <row r="52" ht="15.75" customHeight="1">
      <c r="A52" s="1">
        <v>50.0</v>
      </c>
      <c r="B52" s="3" t="s">
        <v>192</v>
      </c>
      <c r="C52" s="3" t="s">
        <v>193</v>
      </c>
      <c r="D52" s="3" t="s">
        <v>194</v>
      </c>
      <c r="E52" s="3" t="s">
        <v>195</v>
      </c>
      <c r="F52" s="3" t="str">
        <f>IFERROR(__xludf.DUMMYFUNCTION("GOOGLETRANSLATE(B52)")," Lista da maioria das contas seguidas do Instagram")</f>
        <v> Lista da maioria das contas seguidas do Instagram</v>
      </c>
      <c r="G52" s="3" t="str">
        <f>IFERROR(__xludf.DUMMYFUNCTION("GOOGLETRANSLATE(C52)"),"Quem tem mais seguidores no Instagram no mundo")</f>
        <v>Quem tem mais seguidores no Instagram no mundo</v>
      </c>
      <c r="H52" s="3" t="str">
        <f>IFERROR(__xludf.DUMMYFUNCTION("GOOGLETRANSLATE(D52)"),"   Classificação CHG Nome da conta Proprietário Seguidores (milhões) Profissão País 1. @ Instagram Instagram 235 Plataforma de mídia social EUA 2. @ Selenagomez Selena Gomez 137 Músico e Atriz EUA 3. @ Cristiano Cristiano Ronaldo 126 jogador de futebol po"&amp;"r 4. @ Arianagrande Ariana Grande 119 Músico e Atriz EUA 5. @ Beyonce Beyoncé 115 Músico e Atriz EUA 6. @ Kimkardashian Kim Kardashian 111 Reality TV Personality EUA 7. @ Kyliejenner Kylie Jenner 109 Reality TV Personality EUA 8. @ Taylorswift Taylor Swif"&amp;"t 108 Músico e Atriz EUA 9. @ Therock Dwayne Johnson 107 Ator e lutador profissional EUA 10. @ Justinbieber Justin Bieber 100 Músico Can 11. @ Neymarjr Neymar 93 BRA de futebol 12. @ Leomessi Lionel Messi 91 jogador de futebol arg 13. @ Kendalljenner Kend"&amp;"all Jenner 90 Modelo EUA 14. @ Natgeo National Geographic 88 Revista EUA 15. @ Nickiminaj Nicki Minaj 86 Músico Tri 16. @ Nike Nike 77 Sportswear Multinational Corporation EUA 17. @ Khloekardashian Khloé Kardashian 76 Reality TV Personalidade EUA 18. @ Mi"&amp;"leycyrus Miley Cyrus 75 Músico e Atriz EUA 19. @ JLO Jennifer Lopez 75 Músico e Atriz EUA 20. @ Katyperry Katy Perry 69 Músico dos EUA 21. @ ddlovato demi lovato 67 músico e atriz EUA 22. @ Kourtneykardash Kourtney Kardashian 63 Reality TV Personalidade E"&amp;"UA 23. @ Badgalriri Rihanna 62 Musician Bar 24. @ VictoriasseCret Victoria Secret 59 Lingerie Retailer USA 25. @ kevinhart4real kevin hart 59 comediante EUA em 13 de maio de 2018")</f>
        <v>   Classificação CHG Nome da conta Proprietário Seguidores (milhões) Profissão País 1. @ Instagram Instagram 235 Plataforma de mídia social EUA 2. @ Selenagomez Selena Gomez 137 Músico e Atriz EUA 3. @ Cristiano Cristiano Ronaldo 126 jogador de futebol por 4. @ Arianagrande Ariana Grande 119 Músico e Atriz EUA 5. @ Beyonce Beyoncé 115 Músico e Atriz EUA 6. @ Kimkardashian Kim Kardashian 111 Reality TV Personality EUA 7. @ Kyliejenner Kylie Jenner 109 Reality TV Personality EUA 8. @ Taylorswift Taylor Swift 108 Músico e Atriz EUA 9. @ Therock Dwayne Johnson 107 Ator e lutador profissional EUA 10. @ Justinbieber Justin Bieber 100 Músico Can 11. @ Neymarjr Neymar 93 BRA de futebol 12. @ Leomessi Lionel Messi 91 jogador de futebol arg 13. @ Kendalljenner Kendall Jenner 90 Modelo EUA 14. @ Natgeo National Geographic 88 Revista EUA 15. @ Nickiminaj Nicki Minaj 86 Músico Tri 16. @ Nike Nike 77 Sportswear Multinational Corporation EUA 17. @ Khloekardashian Khloé Kardashian 76 Reality TV Personalidade EUA 18. @ Mileycyrus Miley Cyrus 75 Músico e Atriz EUA 19. @ JLO Jennifer Lopez 75 Músico e Atriz EUA 20. @ Katyperry Katy Perry 69 Músico dos EUA 21. @ ddlovato demi lovato 67 músico e atriz EUA 22. @ Kourtneykardash Kourtney Kardashian 63 Reality TV Personalidade EUA 23. @ Badgalriri Rihanna 62 Musician Bar 24. @ VictoriasseCret Victoria Secret 59 Lingerie Retailer USA 25. @ kevinhart4real kevin hart 59 comediante EUA em 13 de maio de 2018</v>
      </c>
      <c r="I52" s="3" t="str">
        <f>IFERROR(__xludf.DUMMYFUNCTION("GOOGLETRANSLATE(E52)"),"Instagram")</f>
        <v>Instagram</v>
      </c>
    </row>
    <row r="53" ht="15.75" customHeight="1">
      <c r="A53" s="1">
        <v>51.0</v>
      </c>
      <c r="B53" s="3" t="s">
        <v>196</v>
      </c>
      <c r="C53" s="3" t="s">
        <v>197</v>
      </c>
      <c r="D53" s="3" t="s">
        <v>198</v>
      </c>
      <c r="E53" s="3" t="s">
        <v>199</v>
      </c>
      <c r="F53" s="3" t="str">
        <f>IFERROR(__xludf.DUMMYFUNCTION("GOOGLETRANSLATE(B53)")," Vida ou algo parecido")</f>
        <v> Vida ou algo parecido</v>
      </c>
      <c r="G53" s="3" t="str">
        <f>IFERROR(__xludf.DUMMYFUNCTION("GOOGLETRANSLATE(C53)"),"onde estava a vida ou algo assim filmado")</f>
        <v>onde estava a vida ou algo assim filmado</v>
      </c>
      <c r="H53" s="3" t="str">
        <f>IFERROR(__xludf.DUMMYFUNCTION("GOOGLETRANSLATE(D53)")," A maior parte do filme foi filmada em Seattle, Washington, embora porções tenham sido filmadas no centro de Vancouver. A estação de TV do filme, KQMO, era realmente real - Life Seattle TV Station KOMO - TV (o logotipo do KOMO foi alterado no set de Komo "&amp;"4 News e em vários dos veículos do Komo, além de algumas bandeiras de microfone ).")</f>
        <v> A maior parte do filme foi filmada em Seattle, Washington, embora porções tenham sido filmadas no centro de Vancouver. A estação de TV do filme, KQMO, era realmente real - Life Seattle TV Station KOMO - TV (o logotipo do KOMO foi alterado no set de Komo 4 News e em vários dos veículos do Komo, além de algumas bandeiras de microfone ).</v>
      </c>
      <c r="I53" s="3" t="str">
        <f>IFERROR(__xludf.DUMMYFUNCTION("GOOGLETRANSLATE(E53)"),"Seattle, Washington")</f>
        <v>Seattle, Washington</v>
      </c>
    </row>
    <row r="54" ht="15.75" customHeight="1">
      <c r="A54" s="1">
        <v>52.0</v>
      </c>
      <c r="B54" s="3" t="s">
        <v>200</v>
      </c>
      <c r="C54" s="3" t="s">
        <v>201</v>
      </c>
      <c r="D54" s="3" t="s">
        <v>202</v>
      </c>
      <c r="E54" s="3" t="s">
        <v>203</v>
      </c>
      <c r="F54" s="3" t="str">
        <f>IFERROR(__xludf.DUMMYFUNCTION("GOOGLETRANSLATE(B54)")," Polícia de Karnataka")</f>
        <v> Polícia de Karnataka</v>
      </c>
      <c r="G54" s="3" t="str">
        <f>IFERROR(__xludf.DUMMYFUNCTION("GOOGLETRANSLATE(C54)"),"O posto mais alto no Departamento de Polícia de Karnataka State é")</f>
        <v>O posto mais alto no Departamento de Polícia de Karnataka State é</v>
      </c>
      <c r="H54" s="3" t="str">
        <f>IFERROR(__xludf.DUMMYFUNCTION("GOOGLETRANSLATE(D54)")," O Diretor Geral e Inspetor Geral de Polícia (DG &amp; IGP) é o chefe do Departamento de Polícia do Estado, e sob ele são diretores adicionais generais da polícia. Cada diretor geral adicional de polícia é responsável por uma função específica: lei e ordem, s"&amp;"erviços de crime e técnico, administração, inteligência, Polícia de Reserva Estadual de Karnataka, recrutamento e treinamento.")</f>
        <v> O Diretor Geral e Inspetor Geral de Polícia (DG &amp; IGP) é o chefe do Departamento de Polícia do Estado, e sob ele são diretores adicionais generais da polícia. Cada diretor geral adicional de polícia é responsável por uma função específica: lei e ordem, serviços de crime e técnico, administração, inteligência, Polícia de Reserva Estadual de Karnataka, recrutamento e treinamento.</v>
      </c>
      <c r="I54" s="3" t="str">
        <f>IFERROR(__xludf.DUMMYFUNCTION("GOOGLETRANSLATE(E54)"),"O Diretor Geral e Inspetor Geral de Polícia (DG &amp; IGP)")</f>
        <v>O Diretor Geral e Inspetor Geral de Polícia (DG &amp; IGP)</v>
      </c>
    </row>
    <row r="55" ht="15.75" customHeight="1">
      <c r="A55" s="1">
        <v>53.0</v>
      </c>
      <c r="B55" s="3" t="s">
        <v>204</v>
      </c>
      <c r="C55" s="3" t="s">
        <v>205</v>
      </c>
      <c r="D55" s="3" t="s">
        <v>206</v>
      </c>
      <c r="F55" s="3" t="str">
        <f>IFERROR(__xludf.DUMMYFUNCTION("GOOGLETRANSLATE(B55)")," Férias públicas na Espanha")</f>
        <v> Férias públicas na Espanha</v>
      </c>
      <c r="G55" s="3" t="str">
        <f>IFERROR(__xludf.DUMMYFUNCTION("GOOGLETRANSLATE(C55)"),"É um feriado bancário hoje na Espanha")</f>
        <v>É um feriado bancário hoje na Espanha</v>
      </c>
      <c r="H55" s="3" t="str">
        <f>IFERROR(__xludf.DUMMYFUNCTION("GOOGLETRANSLATE(D55)"),"     Comunidades autônomas Data Nome em inglês Nome nativo 1 de janeiro de 1º de janeiro (feriado nacional) Ano Novo 1 de março Dia Regional Dia Les Illes Balears e 19 de março de St. Joseph's Day de San José Ml y y y y y y y y y y y y y y y y y y y y y y"&amp;" y y y y y y y y y y y y y y y y y y y y y y y y y y y y y y y y y y y y y y y y y y y y y y y y y y y y y y y y y y y y y y y y y y y y y y y y ye Aragon) And day of Castilla y León and May 1 Labour Day (National Holiday) Labor Day and Y y y y y y y y y "&amp;"y y y y May regional regional holiday party of the community of Madrid and May 17 regional holiday (galician literature day) Canary Islands and May 31 Holiday Day da região de Castilla - La Mancha e maio ou junho Corpus Christi Corpus Christi e 9 de junho"&amp;" do dia regional do feriado da região de Murcia e do dia do Rioja e 24 de junho de St. John's Day Joan e 25 de julho Saint James Santiago Apóstol e 15 de agosto de 15 de agosto (feriado nacional) ASUNCION y y y y y y y y y y y y y y 2 de setembro 2 de fér"&amp;"ias municipais do dia 8 de setembro Dia de férias regional do feriado e dia da extremada e septermber 11 Dia Nacional do Dia da Catalonia e 9 de outubro Holorys de Holiday de Catalunya e Sep. Day of the Valencian Community and October 12 Festival of Spain"&amp;" (National Holiday) National Festival of Spain and Y Y Y Y Y Y Y Y Y Y Y Y Y Y Y Y Y Y Y Y Y Y Y Y Y Y Y Y Y Y Y Y Y Y Y Y Y Y Y Y Y Y Y Y Y Y Y Y Y Y Y Y Y Y Y Y Y Y Y Y Y Y Y Y Y Y Y Y Y Y Y Y Y Y Y Y Y Y Y Y Y Y Y Y Y Y Y and Y and Y and and Y and Y an"&amp;"d Y and Y and Y and Y and Y and Y and Y and Y y y y y y y Y and YE Day of all the saints and y y y y y y y y y y y y y December 6 constitution Y y y y y y y y y y y y y December 26 st. Stephen 'S Day Sant Esteve And and variable Islamic Feast of the sacri"&amp;"fice or eid al - adha celebration of the sacrifice and")</f>
        <v>     Comunidades autônomas Data Nome em inglês Nome nativo 1 de janeiro de 1º de janeiro (feriado nacional) Ano Novo 1 de março Dia Regional Dia Les Illes Balears e 19 de março de St. Joseph's Day de San José Ml y y y y y y y y y y y y y y y y y y y y y y y y y y y y y y y y y y y y y y y y y y y y y y y y y y y y y y y y y y y y y y y y y y y y y y y y y y y y y y y y y y y y y y y y y y y y y y ye Aragon) And day of Castilla y León and May 1 Labour Day (National Holiday) Labor Day and Y y y y y y y y y y y y y May regional regional holiday party of the community of Madrid and May 17 regional holiday (galician literature day) Canary Islands and May 31 Holiday Day da região de Castilla - La Mancha e maio ou junho Corpus Christi Corpus Christi e 9 de junho do dia regional do feriado da região de Murcia e do dia do Rioja e 24 de junho de St. John's Day Joan e 25 de julho Saint James Santiago Apóstol e 15 de agosto de 15 de agosto (feriado nacional) ASUNCION y y y y y y y y y y y y y y 2 de setembro 2 de férias municipais do dia 8 de setembro Dia de férias regional do feriado e dia da extremada e septermber 11 Dia Nacional do Dia da Catalonia e 9 de outubro Holorys de Holiday de Catalunya e Sep. Day of the Valencian Community and October 12 Festival of Spain (National Holiday) National Festival of Spain and Y Y Y Y Y Y Y Y Y Y Y Y Y Y Y Y Y Y Y Y Y Y Y Y Y Y Y Y Y Y Y Y Y Y Y Y Y Y Y Y Y Y Y Y Y Y Y Y Y Y Y Y Y Y Y Y Y Y Y Y Y Y Y Y Y Y Y Y Y Y Y Y Y Y Y Y Y Y Y Y Y Y Y Y Y Y Y and Y and Y and and Y and Y and Y and Y and Y and Y and Y and Y and Y and Y y y y y y y Y and YE Day of all the saints and y y y y y y y y y y y y y December 6 constitution Y y y y y y y y y y y y y December 26 st. Stephen 'S Day Sant Esteve And and variable Islamic Feast of the sacrifice or eid al - adha celebration of the sacrifice and</v>
      </c>
      <c r="I55" s="3" t="str">
        <f>IFERROR(__xludf.DUMMYFUNCTION("GOOGLETRANSLATE(E55)"),"#VALUE!")</f>
        <v>#VALUE!</v>
      </c>
    </row>
    <row r="56" ht="15.75" customHeight="1">
      <c r="A56" s="1">
        <v>54.0</v>
      </c>
      <c r="B56" s="3" t="s">
        <v>207</v>
      </c>
      <c r="C56" s="3" t="s">
        <v>208</v>
      </c>
      <c r="D56" s="3" t="s">
        <v>209</v>
      </c>
      <c r="F56" s="3" t="str">
        <f>IFERROR(__xludf.DUMMYFUNCTION("GOOGLETRANSLATE(B56)")," Albert Popwell")</f>
        <v> Albert Popwell</v>
      </c>
      <c r="G56" s="3" t="str">
        <f>IFERROR(__xludf.DUMMYFUNCTION("GOOGLETRANSLATE(C56)"),"que interpretou o ladrão de banco em Dirty Harry")</f>
        <v>que interpretou o ladrão de banco em Dirty Harry</v>
      </c>
      <c r="H56" s="3" t="str">
        <f>IFERROR(__xludf.DUMMYFUNCTION("GOOGLETRANSLATE(D56)")," Dirty Harry (1971) - Ladrão de bancos (sem créditos)")</f>
        <v> Dirty Harry (1971) - Ladrão de bancos (sem créditos)</v>
      </c>
      <c r="I56" s="3" t="str">
        <f>IFERROR(__xludf.DUMMYFUNCTION("GOOGLETRANSLATE(E56)"),"#VALUE!")</f>
        <v>#VALUE!</v>
      </c>
    </row>
    <row r="57" ht="15.75" customHeight="1">
      <c r="A57" s="1">
        <v>55.0</v>
      </c>
      <c r="B57" s="3" t="s">
        <v>210</v>
      </c>
      <c r="C57" s="3" t="s">
        <v>211</v>
      </c>
      <c r="D57" s="3" t="s">
        <v>212</v>
      </c>
      <c r="E57" s="3" t="s">
        <v>213</v>
      </c>
      <c r="F57" s="3" t="str">
        <f>IFERROR(__xludf.DUMMYFUNCTION("GOOGLETRANSLATE(B57)")," Lista de organizações mais ricas")</f>
        <v> Lista de organizações mais ricas</v>
      </c>
      <c r="G57" s="3" t="str">
        <f>IFERROR(__xludf.DUMMYFUNCTION("GOOGLETRANSLATE(C57)"),"Qual é o valor da Igreja Católica")</f>
        <v>Qual é o valor da Igreja Católica</v>
      </c>
      <c r="H57" s="3" t="str">
        <f>IFERROR(__xludf.DUMMYFUNCTION("GOOGLETRANSLATE(D57)"),"   Organização Worth Country Notes Igreja Católica $ 140 bilhões + Vaticano A Igreja de Jesus Cristo de Última - Santos do Dias, US $ 67 bilhões + Igreja dos Estados Unidos da Inglaterra $ 7,8 bilhões do Reino Unido Opus dei (parte da Igreja Católica) $ 2"&amp;",8 bilhões Itália Igreja da Scientology $ 2,0 bilhões unidos Estados")</f>
        <v>   Organização Worth Country Notes Igreja Católica $ 140 bilhões + Vaticano A Igreja de Jesus Cristo de Última - Santos do Dias, US $ 67 bilhões + Igreja dos Estados Unidos da Inglaterra $ 7,8 bilhões do Reino Unido Opus dei (parte da Igreja Católica) $ 2,8 bilhões Itália Igreja da Scientology $ 2,0 bilhões unidos Estados</v>
      </c>
      <c r="I57" s="3" t="str">
        <f>IFERROR(__xludf.DUMMYFUNCTION("GOOGLETRANSLATE(E57)"),"US $ 140 bilhões +")</f>
        <v>US $ 140 bilhões +</v>
      </c>
    </row>
    <row r="58" ht="15.75" customHeight="1">
      <c r="A58" s="1">
        <v>56.0</v>
      </c>
      <c r="B58" s="3" t="s">
        <v>214</v>
      </c>
      <c r="C58" s="3" t="s">
        <v>215</v>
      </c>
      <c r="D58" s="3" t="s">
        <v>216</v>
      </c>
      <c r="E58" s="3" t="s">
        <v>217</v>
      </c>
      <c r="F58" s="3" t="str">
        <f>IFERROR(__xludf.DUMMYFUNCTION("GOOGLETRANSLATE(B58)")," Região de terra preta")</f>
        <v> Região de terra preta</v>
      </c>
      <c r="G58" s="3" t="str">
        <f>IFERROR(__xludf.DUMMYFUNCTION("GOOGLETRANSLATE(C58)"),"Onde está o melhor solo agrícola nos EUA e de onde veio toda a sujeira")</f>
        <v>Onde está o melhor solo agrícola nos EUA e de onde veio toda a sujeira</v>
      </c>
      <c r="H58" s="3" t="str">
        <f>IFERROR(__xludf.DUMMYFUNCTION("GOOGLETRANSLATE(D58)")," A região de sujeira negra leva o nome do solo escuro e extremamente fértil que sobrou de um antigo fundo glacial do lago aumentado por décadas de inundações passadas do rio Wallkill. Os 26.000 acres (10.400 ha) da sujeira sobrando são a maior concentraçã"&amp;"o de solo desse solo nos Estados Unidos do lado de fora dos Everglades da Flórida.")</f>
        <v> A região de sujeira negra leva o nome do solo escuro e extremamente fértil que sobrou de um antigo fundo glacial do lago aumentado por décadas de inundações passadas do rio Wallkill. Os 26.000 acres (10.400 ha) da sujeira sobrando são a maior concentração de solo desse solo nos Estados Unidos do lado de fora dos Everglades da Flórida.</v>
      </c>
      <c r="I58" s="3" t="str">
        <f>IFERROR(__xludf.DUMMYFUNCTION("GOOGLETRANSLATE(E58)"),"A região de sujeira negra")</f>
        <v>A região de sujeira negra</v>
      </c>
    </row>
    <row r="59" ht="15.75" customHeight="1">
      <c r="A59" s="1">
        <v>57.0</v>
      </c>
      <c r="B59" s="3" t="s">
        <v>218</v>
      </c>
      <c r="C59" s="3" t="s">
        <v>219</v>
      </c>
      <c r="D59" s="3" t="s">
        <v>220</v>
      </c>
      <c r="E59" s="3" t="s">
        <v>221</v>
      </c>
      <c r="F59" s="3" t="str">
        <f>IFERROR(__xludf.DUMMYFUNCTION("GOOGLETRANSLATE(B59)")," Tabela")</f>
        <v> Tabela</v>
      </c>
      <c r="G59" s="3" t="str">
        <f>IFERROR(__xludf.DUMMYFUNCTION("GOOGLETRANSLATE(C59)"),"O par de tambores de mão usado na música clássica indiana é chamada")</f>
        <v>O par de tambores de mão usado na música clássica indiana é chamada</v>
      </c>
      <c r="H59" s="3" t="str">
        <f>IFERROR(__xludf.DUMMYFUNCTION("GOOGLETRANSLATE(D59)")," O tabla consiste em dois pequenos tambores pequenos de tambores e formas ligeiramente diferentes: Daya também chamou Dahina Significado Right (também chamado de `` tabla ''), e Baya também chamou Bahina Significado para a esquerda (também chamado de `` d"&amp;"agga '' ). A Tabla Daya é tocada pela mão direita do músico (mão dominante) e tem cerca de 15 centímetros de diâmetro e 25 centímetros de altura. O Baya Tabla é um pouco maior e profundo em forma de kettledrum, cerca de 20 centímetros de diâmetro e 25 cen"&amp;"tímetros (~ 10 polegadas) de altura. Cada um é feito de madeira escavada ou argila ou latão, o tambor da Daya atado com argolas, tiras e cavilhas de madeira nos lados. As cavilhas e aros são usados ​​para apertar a tensão da membrana. O Daya está sintoniz"&amp;"ado com a nota do Raga chamada SA (música tônica na Índia). A construção e o ajuste de Baya são cerca de uma quinta a uma oitava abaixo da do tambor de Daya. O músico usa a pressão do calcanhar de sua mão para alterar a cor de tom e tonificar de cada tamb"&amp;"or durante uma apresentação.")</f>
        <v> O tabla consiste em dois pequenos tambores pequenos de tambores e formas ligeiramente diferentes: Daya também chamou Dahina Significado Right (também chamado de `` tabla ''), e Baya também chamou Bahina Significado para a esquerda (também chamado de `` dagga '' ). A Tabla Daya é tocada pela mão direita do músico (mão dominante) e tem cerca de 15 centímetros de diâmetro e 25 centímetros de altura. O Baya Tabla é um pouco maior e profundo em forma de kettledrum, cerca de 20 centímetros de diâmetro e 25 centímetros (~ 10 polegadas) de altura. Cada um é feito de madeira escavada ou argila ou latão, o tambor da Daya atado com argolas, tiras e cavilhas de madeira nos lados. As cavilhas e aros são usados ​​para apertar a tensão da membrana. O Daya está sintonizado com a nota do Raga chamada SA (música tônica na Índia). A construção e o ajuste de Baya são cerca de uma quinta a uma oitava abaixo da do tambor de Daya. O músico usa a pressão do calcanhar de sua mão para alterar a cor de tom e tonificar de cada tambor durante uma apresentação.</v>
      </c>
      <c r="I59" s="3" t="str">
        <f>IFERROR(__xludf.DUMMYFUNCTION("GOOGLETRANSLATE(E59)"),"Tabela")</f>
        <v>Tabela</v>
      </c>
    </row>
    <row r="60" ht="15.75" customHeight="1">
      <c r="A60" s="1">
        <v>58.0</v>
      </c>
      <c r="B60" s="3" t="s">
        <v>222</v>
      </c>
      <c r="C60" s="3" t="s">
        <v>223</v>
      </c>
      <c r="D60" s="3" t="s">
        <v>224</v>
      </c>
      <c r="E60" s="3" t="s">
        <v>225</v>
      </c>
      <c r="F60" s="3" t="str">
        <f>IFERROR(__xludf.DUMMYFUNCTION("GOOGLETRANSLATE(B60)")," Oficial Petty")</f>
        <v> Oficial Petty</v>
      </c>
      <c r="G60" s="3" t="str">
        <f>IFERROR(__xludf.DUMMYFUNCTION("GOOGLETRANSLATE(C60)"),"De onde vem o termo oficial mesquinho")</f>
        <v>De onde vem o termo oficial mesquinho</v>
      </c>
      <c r="H60" s="3" t="str">
        <f>IFERROR(__xludf.DUMMYFUNCTION("GOOGLETRANSLATE(D60)")," O moderno policiante remonta à era da vela. Os oficiais mesquinhos classificam entre oficiais navais (comissionados e mandados) e a maioria dos marinheiros alistados. Esses eram homens com alguma reivindicação de oficial, o suficiente para distingui -los"&amp;" das classificações comuns, sem levantá -los tão altos quanto os oficiais do mar. Vários eram oficiais de garantia, no sentido literal de serem nomeados por mandado e, como os oficiais do Sea Warrand, seus superiores, eles geralmente estavam entre os espe"&amp;"cialistas da empresa do navio. O dicionário de Oxford English sugere que o título deriva do anglo - Norman e do meio do francês `` petit '', o que significa `` de tamanho pequeno, pequeno, pequeno ''.")</f>
        <v> O moderno policiante remonta à era da vela. Os oficiais mesquinhos classificam entre oficiais navais (comissionados e mandados) e a maioria dos marinheiros alistados. Esses eram homens com alguma reivindicação de oficial, o suficiente para distingui -los das classificações comuns, sem levantá -los tão altos quanto os oficiais do mar. Vários eram oficiais de garantia, no sentido literal de serem nomeados por mandado e, como os oficiais do Sea Warrand, seus superiores, eles geralmente estavam entre os especialistas da empresa do navio. O dicionário de Oxford English sugere que o título deriva do anglo - Norman e do meio do francês `` petit '', o que significa `` de tamanho pequeno, pequeno, pequeno ''.</v>
      </c>
      <c r="I60" s="3" t="str">
        <f>IFERROR(__xludf.DUMMYFUNCTION("GOOGLETRANSLATE(E60)"),"Idade da vela")</f>
        <v>Idade da vela</v>
      </c>
    </row>
    <row r="61" ht="15.75" customHeight="1">
      <c r="A61" s="1">
        <v>59.0</v>
      </c>
      <c r="B61" s="3" t="s">
        <v>226</v>
      </c>
      <c r="C61" s="3" t="s">
        <v>227</v>
      </c>
      <c r="D61" s="3" t="s">
        <v>228</v>
      </c>
      <c r="F61" s="3" t="str">
        <f>IFERROR(__xludf.DUMMYFUNCTION("GOOGLETRANSLATE(B61)")," Símbolos olímpicos")</f>
        <v> Símbolos olímpicos</v>
      </c>
      <c r="G61" s="3" t="str">
        <f>IFERROR(__xludf.DUMMYFUNCTION("GOOGLETRANSLATE(C61)"),"o que as cores dos anéis olímpicos significam")</f>
        <v>o que as cores dos anéis olímpicos significam</v>
      </c>
      <c r="H61" s="3" t="str">
        <f>IFERROR(__xludf.DUMMYFUNCTION("GOOGLETRANSLATE(D61)")," Os anéis são cinco anéis interligados, azul colorido, amarelo, preto, verde e vermelho em um campo branco, conhecido como `` anéis olímpicos ''. O símbolo foi originalmente projetado em 1912 por De Coubertin. Ele parece ter pretendido os anéis para repre"&amp;"sentar as cinco regiões participantes: África, Ásia, América, Oceania e Europa. De acordo com Coubertin, as cores dos anéis juntamente com o branco do fundo incluíam as cores que compusem a bandeira de todas as nação concorrentes na época. Após sua introd"&amp;"ução inicial, Coubertin declarou o seguinte na edição de agosto de 1912 da Olympique:")</f>
        <v> Os anéis são cinco anéis interligados, azul colorido, amarelo, preto, verde e vermelho em um campo branco, conhecido como `` anéis olímpicos ''. O símbolo foi originalmente projetado em 1912 por De Coubertin. Ele parece ter pretendido os anéis para representar as cinco regiões participantes: África, Ásia, América, Oceania e Europa. De acordo com Coubertin, as cores dos anéis juntamente com o branco do fundo incluíam as cores que compusem a bandeira de todas as nação concorrentes na época. Após sua introdução inicial, Coubertin declarou o seguinte na edição de agosto de 1912 da Olympique:</v>
      </c>
      <c r="I61" s="3" t="str">
        <f>IFERROR(__xludf.DUMMYFUNCTION("GOOGLETRANSLATE(E61)"),"#VALUE!")</f>
        <v>#VALUE!</v>
      </c>
    </row>
    <row r="62" ht="15.75" customHeight="1">
      <c r="A62" s="1">
        <v>60.0</v>
      </c>
      <c r="B62" s="3" t="s">
        <v>229</v>
      </c>
      <c r="C62" s="3" t="s">
        <v>230</v>
      </c>
      <c r="D62" s="3" t="s">
        <v>231</v>
      </c>
      <c r="E62" s="3" t="s">
        <v>232</v>
      </c>
      <c r="F62" s="3" t="str">
        <f>IFERROR(__xludf.DUMMYFUNCTION("GOOGLETRANSLATE(B62)")," Israel")</f>
        <v> Israel</v>
      </c>
      <c r="G62" s="3" t="str">
        <f>IFERROR(__xludf.DUMMYFUNCTION("GOOGLETRANSLATE(C62)"),"onde está Israel localizado no mapa mundial")</f>
        <v>onde está Israel localizado no mapa mundial</v>
      </c>
      <c r="H62" s="3" t="str">
        <f>IFERROR(__xludf.DUMMYFUNCTION("GOOGLETRANSLATE(D62)")," Israel ( / ˈɪzreɪəl /; hebraico: יִשְׂרָאָאָאָאָאָאָאָאָאָאָאָא 7 ningorateda jarraatedii ""4444a:“. Tem fronteira terrestre com o Líbano ao norte, na Síria, a Northast, Jordânia, a leste, os territórios palestinos da Cisjordânia e Gaza Strip a leste e o"&amp;"este, respectivamente, e o Egito para o sudoeste O país contém recursos geograficamente diversos em sua pequena área relacionada O Centro Econômico e Tecnológico de Israel é Tel Aviv, enquanto seu assento de governo e capital proclamado é Jerusalém")</f>
        <v> Israel ( / ˈɪzreɪəl /; hebraico: יִשְׂרָאָאָאָאָאָאָאָאָאָאָאָא 7 ningorateda jarraatedii "4444a:“. Tem fronteira terrestre com o Líbano ao norte, na Síria, a Northast, Jordânia, a leste, os territórios palestinos da Cisjordânia e Gaza Strip a leste e oeste, respectivamente, e o Egito para o sudoeste O país contém recursos geograficamente diversos em sua pequena área relacionada O Centro Econômico e Tecnológico de Israel é Tel Aviv, enquanto seu assento de governo e capital proclamado é Jerusalém</v>
      </c>
      <c r="I62" s="3" t="str">
        <f>IFERROR(__xludf.DUMMYFUNCTION("GOOGLETRANSLATE(E62)"),"O Oriente Médio, na costa sudeste do Mar Mediterrâneo e na costa norte do Mar Vermelho")</f>
        <v>O Oriente Médio, na costa sudeste do Mar Mediterrâneo e na costa norte do Mar Vermelho</v>
      </c>
    </row>
    <row r="63" ht="15.75" customHeight="1">
      <c r="A63" s="1">
        <v>61.0</v>
      </c>
      <c r="B63" s="3" t="s">
        <v>233</v>
      </c>
      <c r="C63" s="3" t="s">
        <v>234</v>
      </c>
      <c r="D63" s="3" t="s">
        <v>235</v>
      </c>
      <c r="E63" s="3" t="s">
        <v>236</v>
      </c>
      <c r="F63" s="3" t="str">
        <f>IFERROR(__xludf.DUMMYFUNCTION("GOOGLETRANSLATE(B63)")," Tinker Soldier Spy (filme)")</f>
        <v> Tinker Soldier Spy (filme)</v>
      </c>
      <c r="G63" s="3" t="str">
        <f>IFERROR(__xludf.DUMMYFUNCTION("GOOGLETRANSLATE(C63)"),"que jogou Smiley em Tinker Tailor Soldier Spy")</f>
        <v>que jogou Smiley em Tinker Tailor Soldier Spy</v>
      </c>
      <c r="H63" s="3" t="str">
        <f>IFERROR(__xludf.DUMMYFUNCTION("GOOGLETRANSLATE(D63)")," O Tinker Tailor Soldier Spy é um filme de espionagem de Guerra Fria de 2011, dirigido por Tomas Alfredson. O roteiro foi escrito por Bridget O'Connor e Peter Straughan, baseado no romance de John Le Carré de 1974 de mesmo nome. O filme, estrelado por Gar"&amp;"y Oldman como George Smiley, junto com Colin Firth, Tom Hardy, John Hurt, Toby Jones, Mark Strong, Benedict Cumberbatch e Ciarán Hinds, e apresentando David Dencik, é ambientado em Londres no início dos anos 1970 e segue o Hunt por um agente duplo soviéti"&amp;"co no topo do Serviço Secreto Britânico.")</f>
        <v> O Tinker Tailor Soldier Spy é um filme de espionagem de Guerra Fria de 2011, dirigido por Tomas Alfredson. O roteiro foi escrito por Bridget O'Connor e Peter Straughan, baseado no romance de John Le Carré de 1974 de mesmo nome. O filme, estrelado por Gary Oldman como George Smiley, junto com Colin Firth, Tom Hardy, John Hurt, Toby Jones, Mark Strong, Benedict Cumberbatch e Ciarán Hinds, e apresentando David Dencik, é ambientado em Londres no início dos anos 1970 e segue o Hunt por um agente duplo soviético no topo do Serviço Secreto Britânico.</v>
      </c>
      <c r="I63" s="3" t="str">
        <f>IFERROR(__xludf.DUMMYFUNCTION("GOOGLETRANSLATE(E63)"),"Gary Oldman")</f>
        <v>Gary Oldman</v>
      </c>
    </row>
    <row r="64" ht="15.75" customHeight="1">
      <c r="A64" s="1">
        <v>62.0</v>
      </c>
      <c r="B64" s="3" t="s">
        <v>237</v>
      </c>
      <c r="C64" s="3" t="s">
        <v>238</v>
      </c>
      <c r="D64" s="3" t="s">
        <v>239</v>
      </c>
      <c r="F64" s="3" t="str">
        <f>IFERROR(__xludf.DUMMYFUNCTION("GOOGLETRANSLATE(B64)")," Micrômetro")</f>
        <v> Micrômetro</v>
      </c>
      <c r="G64" s="3" t="str">
        <f>IFERROR(__xludf.DUMMYFUNCTION("GOOGLETRANSLATE(C64)"),"é o medidor de parafuso micrômetro usado para medir o diâmetro interno do tubo")</f>
        <v>é o medidor de parafuso micrômetro usado para medir o diâmetro interno do tubo</v>
      </c>
      <c r="H64" s="3" t="str">
        <f>IFERROR(__xludf.DUMMYFUNCTION("GOOGLETRANSLATE(D64)")," Os micrômetros de tubo possuem uma bigorna cilíndrica posicionada perpendicularmente em um eixo e é usada para medir a espessura dos tubos.")</f>
        <v> Os micrômetros de tubo possuem uma bigorna cilíndrica posicionada perpendicularmente em um eixo e é usada para medir a espessura dos tubos.</v>
      </c>
      <c r="I64" s="3" t="str">
        <f>IFERROR(__xludf.DUMMYFUNCTION("GOOGLETRANSLATE(E64)"),"#VALUE!")</f>
        <v>#VALUE!</v>
      </c>
    </row>
    <row r="65" ht="15.75" customHeight="1">
      <c r="A65" s="1">
        <v>63.0</v>
      </c>
      <c r="B65" s="3" t="s">
        <v>240</v>
      </c>
      <c r="C65" s="3" t="s">
        <v>241</v>
      </c>
      <c r="D65" s="3" t="s">
        <v>242</v>
      </c>
      <c r="E65" s="3" t="s">
        <v>243</v>
      </c>
      <c r="F65" s="3" t="str">
        <f>IFERROR(__xludf.DUMMYFUNCTION("GOOGLETRANSLATE(B65)")," Temperança `` ossos '' Brennan")</f>
        <v> Temperança `` ossos '' Brennan</v>
      </c>
      <c r="G65" s="3" t="str">
        <f>IFERROR(__xludf.DUMMYFUNCTION("GOOGLETRANSLATE(C65)"),"Quando Brennan engravida pela primeira vez")</f>
        <v>Quando Brennan engravida pela primeira vez</v>
      </c>
      <c r="H65" s="3" t="str">
        <f>IFERROR(__xludf.DUMMYFUNCTION("GOOGLETRANSLATE(D65)")," Brennan é a melhor amiga de seu colega de trabalho, Angela, dizendo na século 6 - estreia da temporada que ela ama Angela `` Like a Sister '' e será uma tia para o filho recém -nascido de Hodgins e Angela. É revelado no final do final da sexta temporada "&amp;"`` A mudança no jogo '' que Brennan está grávida e o pai é Booth.")</f>
        <v> Brennan é a melhor amiga de seu colega de trabalho, Angela, dizendo na século 6 - estreia da temporada que ela ama Angela `` Like a Sister '' e será uma tia para o filho recém -nascido de Hodgins e Angela. É revelado no final do final da sexta temporada `` A mudança no jogo '' que Brennan está grávida e o pai é Booth.</v>
      </c>
      <c r="I65" s="3" t="str">
        <f>IFERROR(__xludf.DUMMYFUNCTION("GOOGLETRANSLATE(E65)"),"Sexta da temporada final")</f>
        <v>Sexta da temporada final</v>
      </c>
    </row>
    <row r="66" ht="15.75" customHeight="1">
      <c r="A66" s="1">
        <v>64.0</v>
      </c>
      <c r="B66" s="3" t="s">
        <v>244</v>
      </c>
      <c r="C66" s="3" t="s">
        <v>245</v>
      </c>
      <c r="D66" s="3" t="s">
        <v>246</v>
      </c>
      <c r="E66" s="3" t="s">
        <v>247</v>
      </c>
      <c r="F66" s="3" t="str">
        <f>IFERROR(__xludf.DUMMYFUNCTION("GOOGLETRANSLATE(B66)")," The Handmaid's Tale (série de TV)")</f>
        <v> The Handmaid's Tale (série de TV)</v>
      </c>
      <c r="G66" s="3" t="str">
        <f>IFERROR(__xludf.DUMMYFUNCTION("GOOGLETRANSLATE(C66)"),"Quando a segunda temporada da história de Handmaid começou")</f>
        <v>Quando a segunda temporada da história de Handmaid começou</v>
      </c>
      <c r="H66" s="3" t="str">
        <f>IFERROR(__xludf.DUMMYFUNCTION("GOOGLETRANSLATE(D66)"),"   Os episódios da temporada lançaram originalmente pela primeira vez lançados pela última vez em 10 de abril de 26 de abril de 2017 (2017 - 04 - 26) 14 de junho de 2017 (2017 - 06 - 14) 13 de abril de 25 de abril de 2018 (2018 - 04 - 25) 11 de julho de 2"&amp;"018 (2018 - 2018 - 07 - 11)")</f>
        <v>   Os episódios da temporada lançaram originalmente pela primeira vez lançados pela última vez em 10 de abril de 26 de abril de 2017 (2017 - 04 - 26) 14 de junho de 2017 (2017 - 06 - 14) 13 de abril de 25 de abril de 2018 (2018 - 04 - 25) 11 de julho de 2018 (2018 - 2018 - 07 - 11)</v>
      </c>
      <c r="I66" s="3" t="str">
        <f>IFERROR(__xludf.DUMMYFUNCTION("GOOGLETRANSLATE(E66)"),"25 de abril de 2018")</f>
        <v>25 de abril de 2018</v>
      </c>
    </row>
    <row r="67" ht="15.75" customHeight="1">
      <c r="A67" s="1">
        <v>65.0</v>
      </c>
      <c r="B67" s="3" t="s">
        <v>248</v>
      </c>
      <c r="C67" s="3" t="s">
        <v>249</v>
      </c>
      <c r="D67" s="3" t="s">
        <v>250</v>
      </c>
      <c r="E67" s="3" t="s">
        <v>251</v>
      </c>
      <c r="F67" s="3" t="str">
        <f>IFERROR(__xludf.DUMMYFUNCTION("GOOGLETRANSLATE(B67)")," Zona morta (ecologia)")</f>
        <v> Zona morta (ecologia)</v>
      </c>
      <c r="G67" s="3" t="str">
        <f>IFERROR(__xludf.DUMMYFUNCTION("GOOGLETRANSLATE(C67)"),"O que causa uma zona morta no oceano")</f>
        <v>O que causa uma zona morta no oceano</v>
      </c>
      <c r="H67" s="3" t="str">
        <f>IFERROR(__xludf.DUMMYFUNCTION("GOOGLETRANSLATE(D67)")," As zonas mortas são áreas hipóxicas (baixo - oxigênio) nos oceanos do mundo e grandes lagos, causados ​​por `` poluição excessiva de nutrientes de atividades humanas, juntamente com outros fatores que esgotam o oxigênio necessário para apoiar a maior par"&amp;"te da vida marinha no fundo e no fundo água . (NOAA) ''. Na década de 1970, os oceanógrafos começaram a observar casos crescentes de zonas mortas. Estes ocorrem perto das costas habitadas, onde a vida aquática é mais concentrada. (As vastas partes médias "&amp;"dos oceanos, que naturalmente têm pouca vida, não são consideradas `` zonas mortas ''.)")</f>
        <v> As zonas mortas são áreas hipóxicas (baixo - oxigênio) nos oceanos do mundo e grandes lagos, causados ​​por `` poluição excessiva de nutrientes de atividades humanas, juntamente com outros fatores que esgotam o oxigênio necessário para apoiar a maior parte da vida marinha no fundo e no fundo água . (NOAA) ''. Na década de 1970, os oceanógrafos começaram a observar casos crescentes de zonas mortas. Estes ocorrem perto das costas habitadas, onde a vida aquática é mais concentrada. (As vastas partes médias dos oceanos, que naturalmente têm pouca vida, não são consideradas `` zonas mortas ''.)</v>
      </c>
      <c r="I67" s="3" t="str">
        <f>IFERROR(__xludf.DUMMYFUNCTION("GOOGLETRANSLATE(E67)"),"Poluição excessiva de nutrientes de atividades humanas, juntamente com outros fatores que esgotam o oxigênio")</f>
        <v>Poluição excessiva de nutrientes de atividades humanas, juntamente com outros fatores que esgotam o oxigênio</v>
      </c>
    </row>
    <row r="68" ht="15.75" customHeight="1">
      <c r="A68" s="1">
        <v>66.0</v>
      </c>
      <c r="B68" s="3" t="s">
        <v>252</v>
      </c>
      <c r="C68" s="3" t="s">
        <v>253</v>
      </c>
      <c r="D68" s="3" t="s">
        <v>254</v>
      </c>
      <c r="E68" s="3" t="s">
        <v>255</v>
      </c>
      <c r="F68" s="3" t="str">
        <f>IFERROR(__xludf.DUMMYFUNCTION("GOOGLETRANSLATE(B68)")," Alejandro García Padilla")</f>
        <v> Alejandro García Padilla</v>
      </c>
      <c r="G68" s="3" t="str">
        <f>IFERROR(__xludf.DUMMYFUNCTION("GOOGLETRANSLATE(C68)"),"Quem é o atual governador de Porto Rico")</f>
        <v>Quem é o atual governador de Porto Rico</v>
      </c>
      <c r="H68" s="3" t="str">
        <f>IFERROR(__xludf.DUMMYFUNCTION("GOOGLETRANSLATE(D68)")," Alejandro Javier García Padilla (espanhol: (Aleˈxandɾo ɣarˈsi. A); nascido em 3 de agosto de 1971) é um político e advogado porto -riconho que atuou como 11º governador de Porto Rico de 2013 a 2017. Antes dessa posição, García Padilla ocupou vários papéi"&amp;"s no cenário político de Porto Rico; Primeiro como secretário de Assuntos do Consumidor, e depois como membro do 24º Senado de Porto Rico e como presidente do Popular Partido Democrata. Localmente, ele é um defensor firme de manter o status político atual"&amp;" de Porto Rico como o de um território não incorporado dos Estados Unidos com o governo próprio, enquanto no nível nacional ele é aliado ao Partido Democrata.")</f>
        <v> Alejandro Javier García Padilla (espanhol: (Aleˈxandɾo ɣarˈsi. A); nascido em 3 de agosto de 1971) é um político e advogado porto -riconho que atuou como 11º governador de Porto Rico de 2013 a 2017. Antes dessa posição, García Padilla ocupou vários papéis no cenário político de Porto Rico; Primeiro como secretário de Assuntos do Consumidor, e depois como membro do 24º Senado de Porto Rico e como presidente do Popular Partido Democrata. Localmente, ele é um defensor firme de manter o status político atual de Porto Rico como o de um território não incorporado dos Estados Unidos com o governo próprio, enquanto no nível nacional ele é aliado ao Partido Democrata.</v>
      </c>
      <c r="I68" s="3" t="str">
        <f>IFERROR(__xludf.DUMMYFUNCTION("GOOGLETRANSLATE(E68)"),"Alejandro Javier García Padilla")</f>
        <v>Alejandro Javier García Padilla</v>
      </c>
    </row>
    <row r="69" ht="15.75" customHeight="1">
      <c r="A69" s="1">
        <v>67.0</v>
      </c>
      <c r="B69" s="3" t="s">
        <v>256</v>
      </c>
      <c r="C69" s="3" t="s">
        <v>257</v>
      </c>
      <c r="D69" s="3" t="s">
        <v>258</v>
      </c>
      <c r="E69" s="3" t="s">
        <v>259</v>
      </c>
      <c r="F69" s="3" t="str">
        <f>IFERROR(__xludf.DUMMYFUNCTION("GOOGLETRANSLATE(B69)")," Junção neuromuscular")</f>
        <v> Junção neuromuscular</v>
      </c>
      <c r="G69" s="3" t="str">
        <f>IFERROR(__xludf.DUMMYFUNCTION("GOOGLETRANSLATE(C69)"),"O que afeta a acetilcolina tem no sarcolema")</f>
        <v>O que afeta a acetilcolina tem no sarcolema</v>
      </c>
      <c r="H69" s="3" t="str">
        <f>IFERROR(__xludf.DUMMYFUNCTION("GOOGLETRANSLATE(D69)")," Os músculos requerem a inervação para funcionar - e mesmo apenas para manter o tônus ​​muscular, evitando atrofia. A transmissão sináptica na junção neuromuscular começa quando um potencial de ação atinge o terminal pré -sináptico de um neurônio motor, q"&amp;"ue ativa os canais de cálcio dependentes de tensão para permitir que os íons de cálcio entrem no neurônio. Os íons cálcio se ligam às proteínas do sensor (sinaptotagmina) nas vesículas sinápticas, desencadeando a fusão da vesícula com a membrana celular e"&amp;" a liberação subsequente de neurotransmissores do neurônio motor para a fenda sináptica. Nos vertebrados, os neurônios motores liberam acetilcolina (ACH), um neurotransmissor de pequenas moléculas, que se difunde através da fenda sináptica e se liga aos r"&amp;"eceptores nicotínicos de acetilcolina (nAChRs) na membrana celular da fibra muscular, também conhecida como sarcolemma. Os nAChRs são receptores ionotrópicos, o que significa que servem como canais de íons fechados do ligante. A ligação de ACh ao receptor"&amp;" pode despolarizar a fibra muscular, causando uma cascata que eventualmente resulta em contração muscular.")</f>
        <v> Os músculos requerem a inervação para funcionar - e mesmo apenas para manter o tônus ​​muscular, evitando atrofia. A transmissão sináptica na junção neuromuscular começa quando um potencial de ação atinge o terminal pré -sináptico de um neurônio motor, que ativa os canais de cálcio dependentes de tensão para permitir que os íons de cálcio entrem no neurônio. Os íons cálcio se ligam às proteínas do sensor (sinaptotagmina) nas vesículas sinápticas, desencadeando a fusão da vesícula com a membrana celular e a liberação subsequente de neurotransmissores do neurônio motor para a fenda sináptica. Nos vertebrados, os neurônios motores liberam acetilcolina (ACH), um neurotransmissor de pequenas moléculas, que se difunde através da fenda sináptica e se liga aos receptores nicotínicos de acetilcolina (nAChRs) na membrana celular da fibra muscular, também conhecida como sarcolemma. Os nAChRs são receptores ionotrópicos, o que significa que servem como canais de íons fechados do ligante. A ligação de ACh ao receptor pode despolarizar a fibra muscular, causando uma cascata que eventualmente resulta em contração muscular.</v>
      </c>
      <c r="I69" s="3" t="str">
        <f>IFERROR(__xludf.DUMMYFUNCTION("GOOGLETRANSLATE(E69)"),"pode despolarizar a fibra muscular, causando uma cascata que eventualmente resulta em contração muscular")</f>
        <v>pode despolarizar a fibra muscular, causando uma cascata que eventualmente resulta em contração muscular</v>
      </c>
    </row>
    <row r="70" ht="15.75" customHeight="1">
      <c r="A70" s="1">
        <v>68.0</v>
      </c>
      <c r="B70" s="3" t="s">
        <v>260</v>
      </c>
      <c r="C70" s="3" t="s">
        <v>261</v>
      </c>
      <c r="D70" s="3" t="s">
        <v>262</v>
      </c>
      <c r="E70" s="3" t="s">
        <v>263</v>
      </c>
      <c r="F70" s="3" t="str">
        <f>IFERROR(__xludf.DUMMYFUNCTION("GOOGLETRANSLATE(B70)")," Claire Underwood")</f>
        <v> Claire Underwood</v>
      </c>
      <c r="G70" s="3" t="str">
        <f>IFERROR(__xludf.DUMMYFUNCTION("GOOGLETRANSLATE(C70)"),"que interpreta a mãe de Claire Underwood em House of Cards")</f>
        <v>que interpreta a mãe de Claire Underwood em House of Cards</v>
      </c>
      <c r="H70" s="3" t="str">
        <f>IFERROR(__xludf.DUMMYFUNCTION("GOOGLETRANSLATE(D70)")," Claire Hale Underwood é originalmente do exclusivo Enclave do Parque Highland de Dallas, Texas. Seu falecido pai era um grande republicano do Texas. Enquanto estava no Radcliffe College em Cambridge, ela conheceu Francis J. Underwood, estudante de direit"&amp;"o de Harvard da Carolina do Sul. Ela é de uma família rica, e o programa a caracteriza como uma `` dallas debutante '' e `` Lily White ''. Ela relata que seu pai a levou para Dealey Plaza, onde John F. Kennedy foi assassinado, e que a fez se sentir `` tão"&amp;" triste, tão zangada ''. Ela tem um relacionamento difícil com a mãe, Elizabeth Hale (Ellen Burstyn), que despreza Frank e está decepcionada por Claire por se casar com ele.")</f>
        <v> Claire Hale Underwood é originalmente do exclusivo Enclave do Parque Highland de Dallas, Texas. Seu falecido pai era um grande republicano do Texas. Enquanto estava no Radcliffe College em Cambridge, ela conheceu Francis J. Underwood, estudante de direito de Harvard da Carolina do Sul. Ela é de uma família rica, e o programa a caracteriza como uma `` dallas debutante '' e `` Lily White ''. Ela relata que seu pai a levou para Dealey Plaza, onde John F. Kennedy foi assassinado, e que a fez se sentir `` tão triste, tão zangada ''. Ela tem um relacionamento difícil com a mãe, Elizabeth Hale (Ellen Burstyn), que despreza Frank e está decepcionada por Claire por se casar com ele.</v>
      </c>
      <c r="I70" s="3" t="str">
        <f>IFERROR(__xludf.DUMMYFUNCTION("GOOGLETRANSLATE(E70)"),"Ellen Burstyn")</f>
        <v>Ellen Burstyn</v>
      </c>
    </row>
    <row r="71" ht="15.75" customHeight="1">
      <c r="A71" s="1">
        <v>69.0</v>
      </c>
      <c r="B71" s="3" t="s">
        <v>264</v>
      </c>
      <c r="C71" s="3" t="s">
        <v>265</v>
      </c>
      <c r="D71" s="3" t="s">
        <v>266</v>
      </c>
      <c r="E71" s="3" t="s">
        <v>267</v>
      </c>
      <c r="F71" s="3" t="str">
        <f>IFERROR(__xludf.DUMMYFUNCTION("GOOGLETRANSLATE(B71)")," 2017 All - Final do Campeonato de Futebol Sênior da Irlanda")</f>
        <v> 2017 All - Final do Campeonato de Futebol Sênior da Irlanda</v>
      </c>
      <c r="G71" s="3" t="str">
        <f>IFERROR(__xludf.DUMMYFUNCTION("GOOGLETRANSLATE(C71)"),"Quem venceu a final de futebol All Ireland 2017")</f>
        <v>Quem venceu a final de futebol All Ireland 2017</v>
      </c>
      <c r="H71" s="3" t="str">
        <f>IFERROR(__xludf.DUMMYFUNCTION("GOOGLETRANSLATE(D71)")," Dublin venceu a final por um ponto de uma linha de 1 a 17 a 1 a 16 para conquistar seu terceiro título consecutivo, a primeira vez que isso acontece desde 1921 - 23.")</f>
        <v> Dublin venceu a final por um ponto de uma linha de 1 a 17 a 1 a 16 para conquistar seu terceiro título consecutivo, a primeira vez que isso acontece desde 1921 - 23.</v>
      </c>
      <c r="I71" s="3" t="str">
        <f>IFERROR(__xludf.DUMMYFUNCTION("GOOGLETRANSLATE(E71)"),"Dublin")</f>
        <v>Dublin</v>
      </c>
    </row>
    <row r="72" ht="15.75" customHeight="1">
      <c r="A72" s="1">
        <v>70.0</v>
      </c>
      <c r="B72" s="3" t="s">
        <v>268</v>
      </c>
      <c r="C72" s="3" t="s">
        <v>269</v>
      </c>
      <c r="D72" s="3" t="s">
        <v>270</v>
      </c>
      <c r="E72" s="3" t="s">
        <v>271</v>
      </c>
      <c r="F72" s="3" t="str">
        <f>IFERROR(__xludf.DUMMYFUNCTION("GOOGLETRANSLATE(B72)")," Meus três filhos")</f>
        <v> Meus três filhos</v>
      </c>
      <c r="G72" s="3" t="str">
        <f>IFERROR(__xludf.DUMMYFUNCTION("GOOGLETRANSLATE(C72)"),"que interpretou a esposa de Robbie Douglas nos meus três filhos")</f>
        <v>que interpretou a esposa de Robbie Douglas nos meus três filhos</v>
      </c>
      <c r="H72" s="3" t="str">
        <f>IFERROR(__xludf.DUMMYFUNCTION("GOOGLETRANSLATE(D72)")," Enquanto os três filhos sempre foram centrais no enredo, várias mudanças importantes ocorreram no final dos anos 1960. Na primavera de 1967, as classificações da série começaram a ceder e meus três filhos terminaram sua sétima temporada em 31º lugar nas "&amp;"classificações da Nielsen. Foi decidido que a temporada de 1967 a 1968 traria o programa não apenas um novo horário, mas também novas histórias para apimentar as classificações. No outono de 1967, a CBS mudou meus três filhos para o sábado à noite às 20h3"&amp;"0. No episódio da temporada - Premiere, `` Dia de Movimento '', a família Douglas e o tio Charley se mudam da cidade fictícia de Bryant Park, no Centro -Oeste, para Los Angeles. Robbie (Don Grady) se casa com sua colega / namorada, Katie Miller (Tina Cole"&amp;"). Tina Cole, de fato, apareceu em diferentes papéis em três episódios anteriores dos meus três filhos: `` casa à venda '' da quarta temporada (13 de fevereiro de 1964), `` The Coffee House '' da quinta temporada (19 de novembro de 1964) e `` Robbie e o L"&amp;"ittle Stranger '' da sexta temporada (17 de fevereiro de 1966). No final da temporada de 1967 a 1968, as classificações haviam melhorado em relação ao ano anterior, com a série ficando no dia 24 no Nielsens. Na temporada seguinte, os noivos descobrem que "&amp;"Katie está grávida e ela dá à luz trigêmeos chamados Robert, Steven e Charles. Embora originalmente interpretados por conjuntos de gêmeos não créditos, esses bebês foram tocados sem creditação por Guy, Gunnar e Garth Swanson. Os trigêmeos mais familiares "&amp;"das duas últimas temporadas do programa são interpretadas por Michael, Daniel e Joseph Todd.")</f>
        <v> Enquanto os três filhos sempre foram centrais no enredo, várias mudanças importantes ocorreram no final dos anos 1960. Na primavera de 1967, as classificações da série começaram a ceder e meus três filhos terminaram sua sétima temporada em 31º lugar nas classificações da Nielsen. Foi decidido que a temporada de 1967 a 1968 traria o programa não apenas um novo horário, mas também novas histórias para apimentar as classificações. No outono de 1967, a CBS mudou meus três filhos para o sábado à noite às 20h30. No episódio da temporada - Premiere, `` Dia de Movimento '', a família Douglas e o tio Charley se mudam da cidade fictícia de Bryant Park, no Centro -Oeste, para Los Angeles. Robbie (Don Grady) se casa com sua colega / namorada, Katie Miller (Tina Cole). Tina Cole, de fato, apareceu em diferentes papéis em três episódios anteriores dos meus três filhos: `` casa à venda '' da quarta temporada (13 de fevereiro de 1964), `` The Coffee House '' da quinta temporada (19 de novembro de 1964) e `` Robbie e o Little Stranger '' da sexta temporada (17 de fevereiro de 1966). No final da temporada de 1967 a 1968, as classificações haviam melhorado em relação ao ano anterior, com a série ficando no dia 24 no Nielsens. Na temporada seguinte, os noivos descobrem que Katie está grávida e ela dá à luz trigêmeos chamados Robert, Steven e Charles. Embora originalmente interpretados por conjuntos de gêmeos não créditos, esses bebês foram tocados sem creditação por Guy, Gunnar e Garth Swanson. Os trigêmeos mais familiares das duas últimas temporadas do programa são interpretadas por Michael, Daniel e Joseph Todd.</v>
      </c>
      <c r="I72" s="3" t="str">
        <f>IFERROR(__xludf.DUMMYFUNCTION("GOOGLETRANSLATE(E72)"),"Tina Cole")</f>
        <v>Tina Cole</v>
      </c>
    </row>
    <row r="73" ht="15.75" customHeight="1">
      <c r="A73" s="1">
        <v>71.0</v>
      </c>
      <c r="B73" s="3" t="s">
        <v>272</v>
      </c>
      <c r="C73" s="3" t="s">
        <v>273</v>
      </c>
      <c r="D73" s="3" t="s">
        <v>274</v>
      </c>
      <c r="E73" s="3" t="s">
        <v>275</v>
      </c>
      <c r="F73" s="3" t="str">
        <f>IFERROR(__xludf.DUMMYFUNCTION("GOOGLETRANSLATE(B73)")," Records da temporada regular da NBA")</f>
        <v> Records da temporada regular da NBA</v>
      </c>
      <c r="G73" s="3" t="str">
        <f>IFERROR(__xludf.DUMMYFUNCTION("GOOGLETRANSLATE(C73)"),"que atingem o maior número de 3 ponteiros em um jogo da NBA")</f>
        <v>que atingem o maior número de 3 ponteiros em um jogo da NBA</v>
      </c>
      <c r="H73" s="3" t="str">
        <f>IFERROR(__xludf.DUMMYFUNCTION("GOOGLETRANSLATE(D73)"),"    13 por Stephen Curry, Golden State Warriors (vs. Nova Orleans Pelicans) em 7 de novembro de 2016 (13/17)")</f>
        <v>    13 por Stephen Curry, Golden State Warriors (vs. Nova Orleans Pelicans) em 7 de novembro de 2016 (13/17)</v>
      </c>
      <c r="I73" s="3" t="str">
        <f>IFERROR(__xludf.DUMMYFUNCTION("GOOGLETRANSLATE(E73)"),"13")</f>
        <v>13</v>
      </c>
    </row>
    <row r="74" ht="15.75" customHeight="1">
      <c r="A74" s="1">
        <v>72.0</v>
      </c>
      <c r="B74" s="3" t="s">
        <v>276</v>
      </c>
      <c r="C74" s="3" t="s">
        <v>277</v>
      </c>
      <c r="D74" s="3" t="s">
        <v>278</v>
      </c>
      <c r="E74" s="3" t="s">
        <v>279</v>
      </c>
      <c r="F74" s="3" t="str">
        <f>IFERROR(__xludf.DUMMYFUNCTION("GOOGLETRANSLATE(B74)")," Título de Torrens")</f>
        <v> Título de Torrens</v>
      </c>
      <c r="G74" s="3" t="str">
        <f>IFERROR(__xludf.DUMMYFUNCTION("GOOGLETRANSLATE(C74)"),"o sistema mais comum de título da terra na Austrália")</f>
        <v>o sistema mais comum de título da terra na Austrália</v>
      </c>
      <c r="H74" s="3" t="str">
        <f>IFERROR(__xludf.DUMMYFUNCTION("GOOGLETRANSLATE(D74)")," O título de Torrens é um sistema de registro e transferência de terras, no qual um estado cria e mantém um registro de propriedades de terra, que serve como evidência conclusiva (denominada `` indefinibilidade '') do título da pessoa registrada no regist"&amp;"ro como o proprietário (proprietário) e de todos os outros interesses registrados no registro. Os interesses que não são garantidos são chamados de `` interesses primordiais ''. A propriedade da terra é transferida pelo registro de uma transferência de tí"&amp;"tulo, em vez do uso de ações. O registrador forneceria um certificado de título ao novo proprietário, que é apenas uma cópia do fólio relacionado do registro.")</f>
        <v> O título de Torrens é um sistema de registro e transferência de terras, no qual um estado cria e mantém um registro de propriedades de terra, que serve como evidência conclusiva (denominada `` indefinibilidade '') do título da pessoa registrada no registro como o proprietário (proprietário) e de todos os outros interesses registrados no registro. Os interesses que não são garantidos são chamados de `` interesses primordiais ''. A propriedade da terra é transferida pelo registro de uma transferência de título, em vez do uso de ações. O registrador forneceria um certificado de título ao novo proprietário, que é apenas uma cópia do fólio relacionado do registro.</v>
      </c>
      <c r="I74" s="3" t="str">
        <f>IFERROR(__xludf.DUMMYFUNCTION("GOOGLETRANSLATE(E74)"),"Título de Torrens")</f>
        <v>Título de Torrens</v>
      </c>
    </row>
    <row r="75" ht="15.75" customHeight="1">
      <c r="A75" s="1">
        <v>73.0</v>
      </c>
      <c r="B75" s="3" t="s">
        <v>280</v>
      </c>
      <c r="C75" s="3" t="s">
        <v>281</v>
      </c>
      <c r="D75" s="3" t="s">
        <v>282</v>
      </c>
      <c r="E75" s="3" t="s">
        <v>283</v>
      </c>
      <c r="F75" s="3" t="str">
        <f>IFERROR(__xludf.DUMMYFUNCTION("GOOGLETRANSLATE(B75)")," A carga - fora")</f>
        <v> A carga - fora</v>
      </c>
      <c r="G75" s="3" t="str">
        <f>IFERROR(__xludf.DUMMYFUNCTION("GOOGLETRANSLATE(C75)"),"quem canta com Jackson Brown na carga")</f>
        <v>quem canta com Jackson Brown na carga</v>
      </c>
      <c r="H75" s="3" t="str">
        <f>IFERROR(__xludf.DUMMYFUNCTION("GOOGLETRANSLATE(D75)")," `` The Load - Out '' descreve as práticas diárias de uma banda e sua equipe de estrada em uma turnê de concerto, e as emoções evocadas em todo esse empreendimento. Os três primeiros versos da música consistem em Browne cantando e tocando piano com David "&amp;"Lindley tocando guitarra de aço. Mais tarde, eles se juntam por um sintetizador, seguido pelo resto da banda. Eventualmente, `` The Load - Out '' Segues em uma interpretação de Maurice Williams '1960 Hit `` Stay' ', cantada por Browne, Rosemary Butler e L"&amp;"indley. É Lindley quem canta o falsete.")</f>
        <v> `` The Load - Out '' descreve as práticas diárias de uma banda e sua equipe de estrada em uma turnê de concerto, e as emoções evocadas em todo esse empreendimento. Os três primeiros versos da música consistem em Browne cantando e tocando piano com David Lindley tocando guitarra de aço. Mais tarde, eles se juntam por um sintetizador, seguido pelo resto da banda. Eventualmente, `` The Load - Out '' Segues em uma interpretação de Maurice Williams '1960 Hit `` Stay' ', cantada por Browne, Rosemary Butler e Lindley. É Lindley quem canta o falsete.</v>
      </c>
      <c r="I75" s="3" t="str">
        <f>IFERROR(__xludf.DUMMYFUNCTION("GOOGLETRANSLATE(E75)"),"Rosemary Butler")</f>
        <v>Rosemary Butler</v>
      </c>
    </row>
    <row r="76" ht="15.75" customHeight="1">
      <c r="A76" s="1">
        <v>74.0</v>
      </c>
      <c r="B76" s="3" t="s">
        <v>284</v>
      </c>
      <c r="C76" s="3" t="s">
        <v>285</v>
      </c>
      <c r="D76" s="3" t="s">
        <v>286</v>
      </c>
      <c r="F76" s="3" t="str">
        <f>IFERROR(__xludf.DUMMYFUNCTION("GOOGLETRANSLATE(B76)")," Lista de Twenty20 International Records")</f>
        <v> Lista de Twenty20 International Records</v>
      </c>
      <c r="G76" s="3" t="str">
        <f>IFERROR(__xludf.DUMMYFUNCTION("GOOGLETRANSLATE(C76)"),"que marcou a maioria das corridas no T20 International Innings")</f>
        <v>que marcou a maioria das corridas no T20 International Innings</v>
      </c>
      <c r="H76" s="3" t="str">
        <f>IFERROR(__xludf.DUMMYFUNCTION("GOOGLETRANSLATE(D76)"),"   Executa o boliche da equipe de boliche da equipe de boliche da oposição Data Scorecard 69 4 - 0 - 69 - 0 Barry McCarthy Irlanda Afeganistão Grande Noida 12 de março de 2017 Scorecard 68 4 - 0 - 68 - 1 Kyle Abbott South Africa Indies Johannesburg 11 Jan"&amp;"eiro de 2015 Scorecard 64 4 - 0 - 64 - 1 James Anderson Inglaterra Austrália Sydney 9 de janeiro de 2007 Scorecard 64 4 - 0 - 64 - 0 Sanath Jayasuriya Sri Lanka Paquistão Joanesburgo 17 de setembro de 2007 Scorecard 63 4 - 0 - 0 - 0 - - 63 - 2 Rubel Hossa"&amp;"in Bangladesh Índias Ocidentais Dhaka 10 de dezembro de 2012 Os números de boliche de scorecard dados acima estão na forma de `` overs - donzels - corridas - postigos ''. Atualizado: 12 de março de 2017")</f>
        <v>   Executa o boliche da equipe de boliche da equipe de boliche da oposição Data Scorecard 69 4 - 0 - 69 - 0 Barry McCarthy Irlanda Afeganistão Grande Noida 12 de março de 2017 Scorecard 68 4 - 0 - 68 - 1 Kyle Abbott South Africa Indies Johannesburg 11 Janeiro de 2015 Scorecard 64 4 - 0 - 64 - 1 James Anderson Inglaterra Austrália Sydney 9 de janeiro de 2007 Scorecard 64 4 - 0 - 64 - 0 Sanath Jayasuriya Sri Lanka Paquistão Joanesburgo 17 de setembro de 2007 Scorecard 63 4 - 0 - 0 - 0 - - 63 - 2 Rubel Hossain Bangladesh Índias Ocidentais Dhaka 10 de dezembro de 2012 Os números de boliche de scorecard dados acima estão na forma de `` overs - donzels - corridas - postigos ''. Atualizado: 12 de março de 2017</v>
      </c>
      <c r="I76" s="3" t="str">
        <f>IFERROR(__xludf.DUMMYFUNCTION("GOOGLETRANSLATE(E76)"),"#VALUE!")</f>
        <v>#VALUE!</v>
      </c>
    </row>
    <row r="77" ht="15.75" customHeight="1">
      <c r="A77" s="1">
        <v>75.0</v>
      </c>
      <c r="B77" s="3" t="s">
        <v>287</v>
      </c>
      <c r="C77" s="3" t="s">
        <v>288</v>
      </c>
      <c r="D77" s="3" t="s">
        <v>289</v>
      </c>
      <c r="E77" s="3" t="s">
        <v>290</v>
      </c>
      <c r="F77" s="3" t="str">
        <f>IFERROR(__xludf.DUMMYFUNCTION("GOOGLETRANSLATE(B77)")," Derek Shepherd")</f>
        <v> Derek Shepherd</v>
      </c>
      <c r="G77" s="3" t="str">
        <f>IFERROR(__xludf.DUMMYFUNCTION("GOOGLETRANSLATE(C77)"),"O que acontece com o Dr. Shepherd no Gray's")</f>
        <v>O que acontece com o Dr. Shepherd no Gray's</v>
      </c>
      <c r="H77" s="3" t="str">
        <f>IFERROR(__xludf.DUMMYFUNCTION("GOOGLETRANSLATE(D77)")," Na 11ª temporada, Derek está envolvido em um acidente de carro fatal enquanto dirige para o aeroporto para sua última viagem a Washington. Ele é capaz de ouvir e processar entradas auditivas, mas incapaz de falar. Ele é reconhecido por Winnie, uma das ví"&amp;"timas de um acidente em que ajudou anteriormente, que diz aos cirurgiões que o nome do paciente é Derek e que ele também é cirurgião. O hospital para o qual ele foi levado foi com falta de pessoal e sua lesão na cabeça não foi detectada com rapidez sufici"&amp;"ente pelos estagiários de plantão naquela noite. Embora o neurocirurgião de plantão seja paginado várias vezes, ele leva muito tempo para chegar e Derek é declarado morto no cérebro. A polícia chega à porta de Meredith e a leve para ver Derek, onde ela co"&amp;"ncorda em removê -lo do suporte à vida. Na época de sua morte, Meredith estava grávida do terceiro filho. Ela dá à luz uma filha a quem nomeia Ellis atrás de sua mãe.")</f>
        <v> Na 11ª temporada, Derek está envolvido em um acidente de carro fatal enquanto dirige para o aeroporto para sua última viagem a Washington. Ele é capaz de ouvir e processar entradas auditivas, mas incapaz de falar. Ele é reconhecido por Winnie, uma das vítimas de um acidente em que ajudou anteriormente, que diz aos cirurgiões que o nome do paciente é Derek e que ele também é cirurgião. O hospital para o qual ele foi levado foi com falta de pessoal e sua lesão na cabeça não foi detectada com rapidez suficiente pelos estagiários de plantão naquela noite. Embora o neurocirurgião de plantão seja paginado várias vezes, ele leva muito tempo para chegar e Derek é declarado morto no cérebro. A polícia chega à porta de Meredith e a leve para ver Derek, onde ela concorda em removê -lo do suporte à vida. Na época de sua morte, Meredith estava grávida do terceiro filho. Ela dá à luz uma filha a quem nomeia Ellis atrás de sua mãe.</v>
      </c>
      <c r="I77" s="3" t="str">
        <f>IFERROR(__xludf.DUMMYFUNCTION("GOOGLETRANSLATE(E77)"),"um acidente de carro fatal")</f>
        <v>um acidente de carro fatal</v>
      </c>
    </row>
    <row r="78" ht="15.75" customHeight="1">
      <c r="A78" s="1">
        <v>76.0</v>
      </c>
      <c r="B78" s="3" t="s">
        <v>291</v>
      </c>
      <c r="C78" s="3" t="s">
        <v>292</v>
      </c>
      <c r="D78" s="3" t="s">
        <v>293</v>
      </c>
      <c r="E78" s="3" t="s">
        <v>294</v>
      </c>
      <c r="F78" s="3" t="str">
        <f>IFERROR(__xludf.DUMMYFUNCTION("GOOGLETRANSLATE(B78)")," The 100 (série de romances)")</f>
        <v> The 100 (série de romances)</v>
      </c>
      <c r="G78" s="3" t="str">
        <f>IFERROR(__xludf.DUMMYFUNCTION("GOOGLETRANSLATE(C78)"),"Quando o livro 2 dos 100 sai")</f>
        <v>Quando o livro 2 dos 100 sai</v>
      </c>
      <c r="H78" s="3" t="str">
        <f>IFERROR(__xludf.DUMMYFUNCTION("GOOGLETRANSLATE(D78)")," O 100 é uma série de romances de ficção científica para jovens adultos de Kass Morgan. O primeiro livro da série, The 100, foi publicado em 3 de setembro de 2013, por Little, Brown Books for Young Readers. O dia 21, sua sequência, foi lançado em 25 de se"&amp;"tembro de 2014 e o Homecoming foi lançado em 26 de fevereiro de 2015. Um quarto romance, Rebellion, foi lançado em 6 de dezembro de 2016.")</f>
        <v> O 100 é uma série de romances de ficção científica para jovens adultos de Kass Morgan. O primeiro livro da série, The 100, foi publicado em 3 de setembro de 2013, por Little, Brown Books for Young Readers. O dia 21, sua sequência, foi lançado em 25 de setembro de 2014 e o Homecoming foi lançado em 26 de fevereiro de 2015. Um quarto romance, Rebellion, foi lançado em 6 de dezembro de 2016.</v>
      </c>
      <c r="I78" s="3" t="str">
        <f>IFERROR(__xludf.DUMMYFUNCTION("GOOGLETRANSLATE(E78)"),"em 25 de setembro de 2014")</f>
        <v>em 25 de setembro de 2014</v>
      </c>
    </row>
    <row r="79" ht="15.75" customHeight="1">
      <c r="A79" s="1">
        <v>77.0</v>
      </c>
      <c r="B79" s="3" t="s">
        <v>295</v>
      </c>
      <c r="C79" s="3" t="s">
        <v>296</v>
      </c>
      <c r="D79" s="3" t="s">
        <v>297</v>
      </c>
      <c r="E79" s="3" t="s">
        <v>298</v>
      </c>
      <c r="F79" s="3" t="str">
        <f>IFERROR(__xludf.DUMMYFUNCTION("GOOGLETRANSLATE(B79)")," Nissan Armada")</f>
        <v> Nissan Armada</v>
      </c>
      <c r="G79" s="3" t="str">
        <f>IFERROR(__xludf.DUMMYFUNCTION("GOOGLETRANSLATE(C79)"),"Quando o Nissan Armada Body Style mudou")</f>
        <v>Quando o Nissan Armada Body Style mudou</v>
      </c>
      <c r="H79" s="3" t="str">
        <f>IFERROR(__xludf.DUMMYFUNCTION("GOOGLETRANSLATE(D79)")," Em 10 de fevereiro de 2016, a Nissan apresentou a Armada de Segunda Geração no Chicago Auto Show e foi colocada à venda em agosto de 2016 como modelo de 2017. Esta versão é baseada na Nissan Patrol e Infiniti Qx80 e é montada no Japão, exceto o motor V8 "&amp;"de resistência, que é montado em Decherd, Tennessee. A Armada cresceu em comprimento e largura, mas a distância entre eixos e a altura foram moderadamente reduzidas. Além do resistência V8, foi introduzida uma transmissão de sete velocidade para melhorar "&amp;"a economia de combustível, a aceleração e o torque, juntamente com um aumento de potência de 317 para 390 hp a 5.200 rpm. O exterior difere moderadamente da patrulha atualizada, que foi introduzida no início de 2014. Como na geração anterior, a Armada con"&amp;"tinuou a oferecer 2WD e 4WD e disponível em acabamentos SV, SL e Platinum.")</f>
        <v> Em 10 de fevereiro de 2016, a Nissan apresentou a Armada de Segunda Geração no Chicago Auto Show e foi colocada à venda em agosto de 2016 como modelo de 2017. Esta versão é baseada na Nissan Patrol e Infiniti Qx80 e é montada no Japão, exceto o motor V8 de resistência, que é montado em Decherd, Tennessee. A Armada cresceu em comprimento e largura, mas a distância entre eixos e a altura foram moderadamente reduzidas. Além do resistência V8, foi introduzida uma transmissão de sete velocidade para melhorar a economia de combustível, a aceleração e o torque, juntamente com um aumento de potência de 317 para 390 hp a 5.200 rpm. O exterior difere moderadamente da patrulha atualizada, que foi introduzida no início de 2014. Como na geração anterior, a Armada continuou a oferecer 2WD e 4WD e disponível em acabamentos SV, SL e Platinum.</v>
      </c>
      <c r="I79" s="3" t="str">
        <f>IFERROR(__xludf.DUMMYFUNCTION("GOOGLETRANSLATE(E79)"),"2016")</f>
        <v>2016</v>
      </c>
    </row>
    <row r="80" ht="15.75" customHeight="1">
      <c r="A80" s="1">
        <v>78.0</v>
      </c>
      <c r="B80" s="3" t="s">
        <v>299</v>
      </c>
      <c r="C80" s="3" t="s">
        <v>300</v>
      </c>
      <c r="D80" s="3" t="s">
        <v>301</v>
      </c>
      <c r="E80" s="3" t="s">
        <v>302</v>
      </c>
      <c r="F80" s="3" t="str">
        <f>IFERROR(__xludf.DUMMYFUNCTION("GOOGLETRANSLATE(B80)")," Síndrome de Down")</f>
        <v> Síndrome de Down</v>
      </c>
      <c r="G80" s="3" t="str">
        <f>IFERROR(__xludf.DUMMYFUNCTION("GOOGLETRANSLATE(C80)"),"De onde vem a síndrome do nome Down")</f>
        <v>De onde vem a síndrome do nome Down</v>
      </c>
      <c r="H80" s="3" t="str">
        <f>IFERROR(__xludf.DUMMYFUNCTION("GOOGLETRANSLATE(D80)")," A síndrome de Down é uma das anormalidades cromossômicas mais comuns em humanos. Ocorre em cerca de um por 1000 bebês nascidos a cada ano. Em 2015, a síndrome de Down estava presente em 5,4 milhões de indivíduos e resultou em 27.000 mortes abaixo de 43.0"&amp;"00 mortes em 1990. É nomeado após John Langdon Down, o médico britânico que descreveu completamente a síndrome em 1866. Alguns aspectos da condição foram descritos anteriormente por Jean - Étienne Dominique Esquirol em 1838 e Édouard Séguin em 1844. Em 19"&amp;"57, foi descoberta a causa genética da síndrome de Down, uma cópia extra do cromossomo 21.")</f>
        <v> A síndrome de Down é uma das anormalidades cromossômicas mais comuns em humanos. Ocorre em cerca de um por 1000 bebês nascidos a cada ano. Em 2015, a síndrome de Down estava presente em 5,4 milhões de indivíduos e resultou em 27.000 mortes abaixo de 43.000 mortes em 1990. É nomeado após John Langdon Down, o médico britânico que descreveu completamente a síndrome em 1866. Alguns aspectos da condição foram descritos anteriormente por Jean - Étienne Dominique Esquirol em 1838 e Édouard Séguin em 1844. Em 1957, foi descoberta a causa genética da síndrome de Down, uma cópia extra do cromossomo 21.</v>
      </c>
      <c r="I80" s="3" t="str">
        <f>IFERROR(__xludf.DUMMYFUNCTION("GOOGLETRANSLATE(E80)"),"John Langdon Down, o médico britânico que descreveu completamente a síndrome em 1866")</f>
        <v>John Langdon Down, o médico britânico que descreveu completamente a síndrome em 1866</v>
      </c>
    </row>
    <row r="81" ht="15.75" customHeight="1">
      <c r="A81" s="1">
        <v>79.0</v>
      </c>
      <c r="B81" s="3" t="s">
        <v>303</v>
      </c>
      <c r="C81" s="3" t="s">
        <v>304</v>
      </c>
      <c r="D81" s="3" t="s">
        <v>305</v>
      </c>
      <c r="F81" s="3" t="str">
        <f>IFERROR(__xludf.DUMMYFUNCTION("GOOGLETRANSLATE(B81)")," Faixa de sangue")</f>
        <v> Faixa de sangue</v>
      </c>
      <c r="G81" s="3" t="str">
        <f>IFERROR(__xludf.DUMMYFUNCTION("GOOGLETRANSLATE(C81)"),"O que significa a faixa vermelha no uniforme marinho")</f>
        <v>O que significa a faixa vermelha no uniforme marinho</v>
      </c>
      <c r="H81" s="3" t="str">
        <f>IFERROR(__xludf.DUMMYFUNCTION("GOOGLETRANSLATE(D81)")," A tradição sustenta que, na Batalha de Chapultepec, no México, em setembro de 1847, oficiais da Marinha e NCOs sofreram uma taxa de vítimas incomumente alta durante a batalha. Em 1849, os regulamentos uniformes determinaram que as faixas fossem alteradas"&amp;" para um vermelho sólido em homenagem às numerosas mortes marinhas. Dez anos depois, um cordão escarlate foi inserido nas costuras externas de oficiais e músicos não comissionados, enquanto um Welt Scarlet foi adicionado aos policiais. Finalmente, em 1904"&amp;", a faixa escarlate simples vista hoje foi adotada, com as variadas larguras prescritas para diferentes fileiras.")</f>
        <v> A tradição sustenta que, na Batalha de Chapultepec, no México, em setembro de 1847, oficiais da Marinha e NCOs sofreram uma taxa de vítimas incomumente alta durante a batalha. Em 1849, os regulamentos uniformes determinaram que as faixas fossem alteradas para um vermelho sólido em homenagem às numerosas mortes marinhas. Dez anos depois, um cordão escarlate foi inserido nas costuras externas de oficiais e músicos não comissionados, enquanto um Welt Scarlet foi adicionado aos policiais. Finalmente, em 1904, a faixa escarlate simples vista hoje foi adotada, com as variadas larguras prescritas para diferentes fileiras.</v>
      </c>
      <c r="I81" s="3" t="str">
        <f>IFERROR(__xludf.DUMMYFUNCTION("GOOGLETRANSLATE(E81)"),"#VALUE!")</f>
        <v>#VALUE!</v>
      </c>
    </row>
    <row r="82" ht="15.75" customHeight="1">
      <c r="A82" s="1">
        <v>80.0</v>
      </c>
      <c r="B82" s="3" t="s">
        <v>306</v>
      </c>
      <c r="C82" s="3" t="s">
        <v>307</v>
      </c>
      <c r="D82" s="3" t="s">
        <v>308</v>
      </c>
      <c r="E82" s="3" t="s">
        <v>309</v>
      </c>
      <c r="F82" s="3" t="str">
        <f>IFERROR(__xludf.DUMMYFUNCTION("GOOGLETRANSLATE(B82)")," Beije-me pelo telefone")</f>
        <v> Beije-me pelo telefone</v>
      </c>
      <c r="G82" s="3" t="str">
        <f>IFERROR(__xludf.DUMMYFUNCTION("GOOGLETRANSLATE(C82)"),"O número em beijar -me pelo telefone")</f>
        <v>O número em beijar -me pelo telefone</v>
      </c>
      <c r="H82" s="3" t="str">
        <f>IFERROR(__xludf.DUMMYFUNCTION("GOOGLETRANSLATE(D82)")," O número de telefone, 678 - 999 - 8212, dado na música, se discado dos Estados Unidos, anteriormente conectado a um sistema de mensagens para o artista; O número agora pertence a um anunciante comercial desconhecido na Geórgia. Uma família desavisada no "&amp;"Reino Unido se viu inundada com ligações de fãs de lá que discaram o número, mas elogiaram o prefixo internacional de código de discagem para os Estados Unidos (001), em vez de digitar `` 016 '', que é o prefixo para números em maior Manchester, Inglaterr"&amp;"a, onde a família reside.")</f>
        <v> O número de telefone, 678 - 999 - 8212, dado na música, se discado dos Estados Unidos, anteriormente conectado a um sistema de mensagens para o artista; O número agora pertence a um anunciante comercial desconhecido na Geórgia. Uma família desavisada no Reino Unido se viu inundada com ligações de fãs de lá que discaram o número, mas elogiaram o prefixo internacional de código de discagem para os Estados Unidos (001), em vez de digitar `` 016 '', que é o prefixo para números em maior Manchester, Inglaterra, onde a família reside.</v>
      </c>
      <c r="I82" s="3" t="str">
        <f>IFERROR(__xludf.DUMMYFUNCTION("GOOGLETRANSLATE(E82)"),"678 - 999 - 8212")</f>
        <v>678 - 999 - 8212</v>
      </c>
    </row>
    <row r="83" ht="15.75" customHeight="1">
      <c r="A83" s="1">
        <v>81.0</v>
      </c>
      <c r="B83" s="3" t="s">
        <v>310</v>
      </c>
      <c r="C83" s="3" t="s">
        <v>311</v>
      </c>
      <c r="D83" s="3" t="s">
        <v>312</v>
      </c>
      <c r="E83" s="3" t="s">
        <v>313</v>
      </c>
      <c r="F83" s="3" t="str">
        <f>IFERROR(__xludf.DUMMYFUNCTION("GOOGLETRANSLATE(B83)")," 2017 temporada da NFL")</f>
        <v> 2017 temporada da NFL</v>
      </c>
      <c r="G83" s="3" t="str">
        <f>IFERROR(__xludf.DUMMYFUNCTION("GOOGLETRANSLATE(C83)"),"Quando começa a temporada de futebol comum para a NFL")</f>
        <v>Quando começa a temporada de futebol comum para a NFL</v>
      </c>
      <c r="H83" s="3" t="str">
        <f>IFERROR(__xludf.DUMMYFUNCTION("GOOGLETRANSLATE(D83)")," A temporada da NFL de 2017 é a 98ª e atual temporada da história da Liga Nacional de Futebol (NFL). A temporada começou em 7 de setembro de 2017, com o Kansas City Chiefs derrotando o atual campeão do Super Bowl no New England Patriots 42 - 27 no jogo de"&amp;" kickoff da NFL. A temporada será concluída com o Super Bowl LII, o jogo do campeonato da liga, em 4 de fevereiro de 2018, no U.S. Bank Stadium em Minneapolis, Minnesota.")</f>
        <v> A temporada da NFL de 2017 é a 98ª e atual temporada da história da Liga Nacional de Futebol (NFL). A temporada começou em 7 de setembro de 2017, com o Kansas City Chiefs derrotando o atual campeão do Super Bowl no New England Patriots 42 - 27 no jogo de kickoff da NFL. A temporada será concluída com o Super Bowl LII, o jogo do campeonato da liga, em 4 de fevereiro de 2018, no U.S. Bank Stadium em Minneapolis, Minnesota.</v>
      </c>
      <c r="I83" s="3" t="str">
        <f>IFERROR(__xludf.DUMMYFUNCTION("GOOGLETRANSLATE(E83)"),"7 de setembro de 2017")</f>
        <v>7 de setembro de 2017</v>
      </c>
    </row>
    <row r="84" ht="15.75" customHeight="1">
      <c r="A84" s="1">
        <v>82.0</v>
      </c>
      <c r="B84" s="3" t="s">
        <v>314</v>
      </c>
      <c r="C84" s="3" t="s">
        <v>315</v>
      </c>
      <c r="D84" s="3" t="s">
        <v>316</v>
      </c>
      <c r="E84" s="3" t="s">
        <v>317</v>
      </c>
      <c r="F84" s="3" t="str">
        <f>IFERROR(__xludf.DUMMYFUNCTION("GOOGLETRANSLATE(B84)")," College World Series")</f>
        <v> College World Series</v>
      </c>
      <c r="G84" s="3" t="str">
        <f>IFERROR(__xludf.DUMMYFUNCTION("GOOGLETRANSLATE(C84)"),"Quem faz o estado de Oregon joga na College World Series")</f>
        <v>Quem faz o estado de Oregon joga na College World Series</v>
      </c>
      <c r="H84" s="3" t="str">
        <f>IFERROR(__xludf.DUMMYFUNCTION("GOOGLETRANSLATE(D84)"),"   Ano Treinador campeão Runner - UP MAIS MELHOR JOGADOR 1947 California Clint Evans 17 - 8, 8 - 7 Yale 1948 Southern California Sam Barry 3 - 1, 3 - 8, 9 - 2 Yale 1949 Texas Bibb Falk 10 - - 3 Wake Forest Tom Hamilton, Texas 1950 Texas Bibb Falk 3 - 0 Es"&amp;"tado de Washington Ray Vancleef, Rutgers 1951 Oklahoma Jack Baer 3 - 2 Tennessee Sidney Hatfield, Tennessee 1952 Cruz Holy Jack Barry 8 - 4 Missouri James O'Neill, Holy Cross 1953 Michigan Ray Fisher 7 - 5 Texas J.L. Smith, Texas 1954 Missouri Hi Simmons "&amp;"4 - 1 Rollins Tom Yewcic, Michigan State 1955 Wake Forest Taylor Sanford 7 - 6 Oeste de Michigan Tom Borland, Oklahoma A &amp; M 1956 Minnesota Dick Siebert 12 - 1 Arizona Jerry Thomas, Minnesota 1957 Califórnia George Wolfman 1- 0 Penn State Cal Emery, Penn "&amp;"State 1958 Sul da Califórnia Rod DeDeaux 8- 7 Missouri Bill Thom, sul da Califórnia 1959 Oklahoma State Toby Greene 5- 3 Arizona Jim Dobsson 1959 , Oklahoma State 1960 Minnesota Dick Siebert 2 - 1 Southern California John Erickson, Minnesota 1961 Sul da C"&amp;"alifórnia Rod deDeaux 1 - 0 Oklahoma State Littleton Fowler, Oklahoma State 1962 Michigan Don Lund 5 - 4 Santa Clara Bob Garibaldi, Santa Cara 1963 Southern California Rod DeDeaux 5 -2 Arizona Bud Hollowell, sul da Califórnia 1964 Minnesota Dick Siebert 5"&amp;" -1 Missouri Joe Ferris, Maine 1965 Estado do Arizona Bobby Winkles 2 -1 Ohio State Sal Bando, Estado do Estado de Arizona 1966 O estado de Ohio Marty Karow 8 - 2 Estado de Oklahoma Steve Arlin, Estado de Ohio 1967 Estado do Arizona Bobby Winkles 11 - 2 H"&amp;"ouston Ron Davini, Estado do Arizona 1968 Sul da Califórnia Rod deDeaux 4 - 3 Southern Illinois Bill Seinsoth, sul da Califórnia 1969 Estado de Arizona Bobby Winkles 10 - 1 Tulsa John John Dolinsek, Estado do Arizona 1970 Sul da Califórnia Rod Dedaux 2 - "&amp;"1 Gene do Estado da Flórida Ammann, Estado da Flórida 1971 Sul da Califórnia Rod Dedaux 7 - 2 Southern Illinois Jerry Tabb, Tulsa 1972 Sul da Califórnia Rod Dedaux 1 - 0 Arizona State Russ McQueen, sul Califórnia 1973 Sul da Califórnia Rod Dedaux 4 - 3 Es"&amp;"tado do Arizona Dave Winfield, Minnesota Sul da Califórnia Rod Dedaux 7 - 3 Miami (FL) George Milke, sul da Califórnia Texas Cliff Gustafson 5 - 1 Carolina do Sul Mickey Reichenbach, Texas 1976 Arizona Jerry Kindall 7 - 1 Oriental Michigan Steve Powers, A"&amp;"rizona 1977 Estado do Arizona Jim Brock 2 - 1 Carolina do Sul Bob Horner, Estado do Arizona 1978 Sul da Califórnia Rod Dedaux 10 - 3 Estado do Arizona Rod Boxberger, sul da Califórnia 1979 Cal Fullerton Fullerton Augie Garrido 2 - - 1 Arkansas Tony Hudson"&amp;", Cal State Fullerton 1980 Arizona Jerry Kindall 5 - 3 Havaí Terry Francona, Arizona 1981 Estado do Arizona Jim Brock 7 - 4 Oklahoma State Stan Holmes, Estado do Arizona 1982 Miami (Fl) Ron Fraser 9 - 3 Wichita, Estado Dan Smith, Miami (FL) Texas Cliff Gu"&amp;"stafson 4 - 3 Alabama Calvin Schiraldi, Texas 1984 Cal State Fullerton Augie Garrido 3 - 1 Texas John Fishel, Cal State Fullerton 1985 Miami (FL) Ron Fraser 10 - 6 Texas Greg Ellena, Miami (FL) 1986 Arizona Jerry Kindall 10 - 2 Estado da Flórida Mike Senn"&amp;"e, Arizona Stanford Mark Marquês 9 - 5 Estado de Oklahoma Paul Carey, Stanford 1988 Stanford Mark Marquess 9 - 4 Estado do Arizona Lee Plemel, Stanford 1989 Wichita State Gene Stephenson 5 - 3 Texas Greg Brummett, Estado de Wichita 1990 Georgia Steve Webb"&amp;"er 2 - 1 Estado de Oklahoma Mike Rebhan, Georgia 1991 Lsu Skip Bertman 6 - 3 Wichita State Gary Hymel, LSU 1992 Pepperdine e Lopez 3 - 2 calçadas Fullerton Phil Nevin, Cal State Fullerton 1993 Lsu Skip Bertman 8 - 0 Estado de Wichita Todd Walker, LSU 1994"&amp;" Oklahoma Larry Cochell 13 - 5 Georgia Tech Chip Glass, Oklahoma 1995 State Fullerton Augie Garrido 11 - 5 Southern California Mark Kotsay, Cal State Fullerton LSU SKIP BERTMAN 9 - 8 MIAMI (FL) PAT BURRELL, MIAMI (FL) 1997 LSU SKIP BERTMAN 13 - 6 Alabama "&amp;"Brandon Larson, LSU 1998 Califórnia Mike Gillespie 21 - 14 Estado do Arizona Wes Rachels, sul da Califórnia 1999 Miami (FL) Jim Morris 6 - 5 Estado da Flórida Marshall McDougall, Florida State 2000 LSU Skip Bertman 6 - 5 Stanford Trey Hodges, LSU 2001 Mia"&amp;"mi (FL) Jim Morris 12 - 1 Stanford Charlton Jimerson, Miami (Fl) 2002 Texas Augie Garrido 12 -6 Street da Carolina do Sul Huston, Texas 2003 Rice Wayne Graham 4 -3, 3 -8, 14 -2 Stanford John Hudgins, Stanford Cal State Fullerton George Horton 6 -4, 3 - 2 "&amp;"Texas Jason Windsor, Cal State Fullerton 2005 Texas Augie Garrido 4 - 2, 6 - 2 Florida David Maroul, Texas 2006 Estado de Oregon Pat Casey 3 - 4, 11 - 7, 3 - 2 Carolina do Norte Jonah Nickerson, Oregon State 2007 Estado de Oregon Pat Casey 11 - 4, 9 - 3 C"&amp;"arolina do Norte Jorge Luis Reyes, Oregon State 2008 Estado de Fresno Mike Batesole 6 - 7, 19 - 10, 6 - 1 Georgia Tommy Mendonca, Fresno State 2009 LSU Paul Mainieri 7 - 6, 1 - 5, 11 - 4 Texas Jared Mitchell, LSU Carolina do Sul Ray Tanner 7 - 1, 2 - 1 UC"&amp;"LA Jackie Bradley, Jr., Carolina do Sul 2011 Carolina do Sul Ray Tanner 2 - 1, 5- 2 Florida Scott Wingo, Carolina do Sul 2012 Arizona Andy Lopez 5- 1, 4- 1 Carolina do Sul Rob Refsnyder, Arizona 2013 UCLA John Savage 3- 1, 8- 0 Mississippi State Adam Plut"&amp;"ko . 2016 Carolina costeira Gary Gilmore 0 - 3, 5 - 4, 4 - 3 Arizona Andrew Beckwith, Carolina Coastal 2017 Florida Kevin O'Sullivan 4 - 3, 6 - 1 LSU Alex Faedo, Flórida 2018 Oregon Pat Casey 1 - 4, 5 - 3, 5 - 0 Arkansas Adley Rutschman, Estado de Oregon")</f>
        <v>   Ano Treinador campeão Runner - UP MAIS MELHOR JOGADOR 1947 California Clint Evans 17 - 8, 8 - 7 Yale 1948 Southern California Sam Barry 3 - 1, 3 - 8, 9 - 2 Yale 1949 Texas Bibb Falk 10 - - 3 Wake Forest Tom Hamilton, Texas 1950 Texas Bibb Falk 3 - 0 Estado de Washington Ray Vancleef, Rutgers 1951 Oklahoma Jack Baer 3 - 2 Tennessee Sidney Hatfield, Tennessee 1952 Cruz Holy Jack Barry 8 - 4 Missouri James O'Neill, Holy Cross 1953 Michigan Ray Fisher 7 - 5 Texas J.L. Smith, Texas 1954 Missouri Hi Simmons 4 - 1 Rollins Tom Yewcic, Michigan State 1955 Wake Forest Taylor Sanford 7 - 6 Oeste de Michigan Tom Borland, Oklahoma A &amp; M 1956 Minnesota Dick Siebert 12 - 1 Arizona Jerry Thomas, Minnesota 1957 Califórnia George Wolfman 1- 0 Penn State Cal Emery, Penn State 1958 Sul da Califórnia Rod DeDeaux 8- 7 Missouri Bill Thom, sul da Califórnia 1959 Oklahoma State Toby Greene 5- 3 Arizona Jim Dobsson 1959 , Oklahoma State 1960 Minnesota Dick Siebert 2 - 1 Southern California John Erickson, Minnesota 1961 Sul da Califórnia Rod deDeaux 1 - 0 Oklahoma State Littleton Fowler, Oklahoma State 1962 Michigan Don Lund 5 - 4 Santa Clara Bob Garibaldi, Santa Cara 1963 Southern California Rod DeDeaux 5 -2 Arizona Bud Hollowell, sul da Califórnia 1964 Minnesota Dick Siebert 5 -1 Missouri Joe Ferris, Maine 1965 Estado do Arizona Bobby Winkles 2 -1 Ohio State Sal Bando, Estado do Estado de Arizona 1966 O estado de Ohio Marty Karow 8 - 2 Estado de Oklahoma Steve Arlin, Estado de Ohio 1967 Estado do Arizona Bobby Winkles 11 - 2 Houston Ron Davini, Estado do Arizona 1968 Sul da Califórnia Rod deDeaux 4 - 3 Southern Illinois Bill Seinsoth, sul da Califórnia 1969 Estado de Arizona Bobby Winkles 10 - 1 Tulsa John John Dolinsek, Estado do Arizona 1970 Sul da Califórnia Rod Dedaux 2 - 1 Gene do Estado da Flórida Ammann, Estado da Flórida 1971 Sul da Califórnia Rod Dedaux 7 - 2 Southern Illinois Jerry Tabb, Tulsa 1972 Sul da Califórnia Rod Dedaux 1 - 0 Arizona State Russ McQueen, sul Califórnia 1973 Sul da Califórnia Rod Dedaux 4 - 3 Estado do Arizona Dave Winfield, Minnesota Sul da Califórnia Rod Dedaux 7 - 3 Miami (FL) George Milke, sul da Califórnia Texas Cliff Gustafson 5 - 1 Carolina do Sul Mickey Reichenbach, Texas 1976 Arizona Jerry Kindall 7 - 1 Oriental Michigan Steve Powers, Arizona 1977 Estado do Arizona Jim Brock 2 - 1 Carolina do Sul Bob Horner, Estado do Arizona 1978 Sul da Califórnia Rod Dedaux 10 - 3 Estado do Arizona Rod Boxberger, sul da Califórnia 1979 Cal Fullerton Fullerton Augie Garrido 2 - - 1 Arkansas Tony Hudson, Cal State Fullerton 1980 Arizona Jerry Kindall 5 - 3 Havaí Terry Francona, Arizona 1981 Estado do Arizona Jim Brock 7 - 4 Oklahoma State Stan Holmes, Estado do Arizona 1982 Miami (Fl) Ron Fraser 9 - 3 Wichita, Estado Dan Smith, Miami (FL) Texas Cliff Gustafson 4 - 3 Alabama Calvin Schiraldi, Texas 1984 Cal State Fullerton Augie Garrido 3 - 1 Texas John Fishel, Cal State Fullerton 1985 Miami (FL) Ron Fraser 10 - 6 Texas Greg Ellena, Miami (FL) 1986 Arizona Jerry Kindall 10 - 2 Estado da Flórida Mike Senne, Arizona Stanford Mark Marquês 9 - 5 Estado de Oklahoma Paul Carey, Stanford 1988 Stanford Mark Marquess 9 - 4 Estado do Arizona Lee Plemel, Stanford 1989 Wichita State Gene Stephenson 5 - 3 Texas Greg Brummett, Estado de Wichita 1990 Georgia Steve Webber 2 - 1 Estado de Oklahoma Mike Rebhan, Georgia 1991 Lsu Skip Bertman 6 - 3 Wichita State Gary Hymel, LSU 1992 Pepperdine e Lopez 3 - 2 calçadas Fullerton Phil Nevin, Cal State Fullerton 1993 Lsu Skip Bertman 8 - 0 Estado de Wichita Todd Walker, LSU 1994 Oklahoma Larry Cochell 13 - 5 Georgia Tech Chip Glass, Oklahoma 1995 State Fullerton Augie Garrido 11 - 5 Southern California Mark Kotsay, Cal State Fullerton LSU SKIP BERTMAN 9 - 8 MIAMI (FL) PAT BURRELL, MIAMI (FL) 1997 LSU SKIP BERTMAN 13 - 6 Alabama Brandon Larson, LSU 1998 Califórnia Mike Gillespie 21 - 14 Estado do Arizona Wes Rachels, sul da Califórnia 1999 Miami (FL) Jim Morris 6 - 5 Estado da Flórida Marshall McDougall, Florida State 2000 LSU Skip Bertman 6 - 5 Stanford Trey Hodges, LSU 2001 Miami (FL) Jim Morris 12 - 1 Stanford Charlton Jimerson, Miami (Fl) 2002 Texas Augie Garrido 12 -6 Street da Carolina do Sul Huston, Texas 2003 Rice Wayne Graham 4 -3, 3 -8, 14 -2 Stanford John Hudgins, Stanford Cal State Fullerton George Horton 6 -4, 3 - 2 Texas Jason Windsor, Cal State Fullerton 2005 Texas Augie Garrido 4 - 2, 6 - 2 Florida David Maroul, Texas 2006 Estado de Oregon Pat Casey 3 - 4, 11 - 7, 3 - 2 Carolina do Norte Jonah Nickerson, Oregon State 2007 Estado de Oregon Pat Casey 11 - 4, 9 - 3 Carolina do Norte Jorge Luis Reyes, Oregon State 2008 Estado de Fresno Mike Batesole 6 - 7, 19 - 10, 6 - 1 Georgia Tommy Mendonca, Fresno State 2009 LSU Paul Mainieri 7 - 6, 1 - 5, 11 - 4 Texas Jared Mitchell, LSU Carolina do Sul Ray Tanner 7 - 1, 2 - 1 UCLA Jackie Bradley, Jr., Carolina do Sul 2011 Carolina do Sul Ray Tanner 2 - 1, 5- 2 Florida Scott Wingo, Carolina do Sul 2012 Arizona Andy Lopez 5- 1, 4- 1 Carolina do Sul Rob Refsnyder, Arizona 2013 UCLA John Savage 3- 1, 8- 0 Mississippi State Adam Plutko . 2016 Carolina costeira Gary Gilmore 0 - 3, 5 - 4, 4 - 3 Arizona Andrew Beckwith, Carolina Coastal 2017 Florida Kevin O'Sullivan 4 - 3, 6 - 1 LSU Alex Faedo, Flórida 2018 Oregon Pat Casey 1 - 4, 5 - 3, 5 - 0 Arkansas Adley Rutschman, Estado de Oregon</v>
      </c>
      <c r="I84" s="3" t="str">
        <f>IFERROR(__xludf.DUMMYFUNCTION("GOOGLETRANSLATE(E84)"),"Arkansa")</f>
        <v>Arkansa</v>
      </c>
    </row>
    <row r="85" ht="15.75" customHeight="1">
      <c r="A85" s="1">
        <v>83.0</v>
      </c>
      <c r="B85" s="3" t="s">
        <v>318</v>
      </c>
      <c r="C85" s="3" t="s">
        <v>319</v>
      </c>
      <c r="D85" s="3" t="s">
        <v>320</v>
      </c>
      <c r="F85" s="3" t="str">
        <f>IFERROR(__xludf.DUMMYFUNCTION("GOOGLETRANSLATE(B85)")," Lista de campeões da NBA")</f>
        <v> Lista de campeões da NBA</v>
      </c>
      <c r="G85" s="3" t="str">
        <f>IFERROR(__xludf.DUMMYFUNCTION("GOOGLETRANSLATE(C85)"),"que jogou nas últimas 3 finais da NBA")</f>
        <v>que jogou nas últimas 3 finais da NBA</v>
      </c>
      <c r="H85" s="3" t="str">
        <f>IFERROR(__xludf.DUMMYFUNCTION("GOOGLETRANSLATE(D85)"),"   Ano Campeões Ocidentais Resultados Campeões Orientais Referência 1950 Minneapolis Lakers 4 - 2 Syracuse Nationals 1951 Rochester Royals (2) 4 - 3 New York Knicks (3) 1952 Minneapolis Lakers (2) 4 - 3 New York Knicks (3) 1953 MINNEAPOLIS Lakers (1) 4 - "&amp;"1 New York Knicks (1) 1954 Minneapolis Lakers (1) 4 - 3 Syracuse Nationals (1) 1955 Fort Wayne Pistons (1) 3 - 4 Syracuse Nationals (1) 1956 Fort Wayne Pistons ( 1) 1 - 4 Philadelphia Warriors (1) 1957 St. Louis Hawks (1) 3 - 4 Boston Celtics (1) 1958 St."&amp;" Louis Hawks (1) 4 - 2 Boston Celtics (1) 1959 Minneapolis Lakers (2 ) 0 - 4 Boston Celtics (1) 1960 St. Louis Hawks (1) 3 - 4 Boston Celtics (1) 1961 St. Louis Hawks (1) 1 - 4 Boston Celtics (1) 1962 Los Angeles Lakers (1 ) 3 - 4 Boston Celtics (1) 1963 "&amp;"Los Angeles Lakers (1) 2 - 4 Boston Celtics (1) 1964 São Francisco Warriors (1) 1 - 4 Boston Celtics (1) 1965 Los Angeles Lakers (1) 1 -4 Boston Celtics (1) 1966 Los Angeles Lakers (1) 3-4 Boston Celtics (2) 1967 San Francisco Warriors (1) 2-4 Filadélfia "&amp;"76ers (1) 1968 Los Angeles Lakers (2) 2-2- 4 Boston Celtics (2) 1969 Los Angeles Lakers (1) 3 - 4 Boston Celtics (4) 1970 Los Angeles Lakers (2) 3 - 4 New York Knicks (1) 1971 Milwaukee Bucks (1) 4 - 0 Baltimore Bullets (1) 1972 Los Angeles Lakers (1) 4 -"&amp;" 1 New York Knicks (2) 1973 Los Angeles Lakers (2) 1 - 4 New York Knicks (2) Milwaukee Bucks (1) 3 - 4 Boston Celtics ( 1) Golden State Warriors (1) 4 - 0 Washington Bullets (2) 1976 Phoenix Suns (3) 2 - 4 Boston Celtics (1) 1977 Portland Trail Blazers (3"&amp;") 4 - 2 Philadelphia 76ers (1) 1978 Seattle Supersonics (4) 3 - 4 Washington Bullets (3) 1979 Seattle Supersonics (1) 4 - 1 Washington Bullets (1) 1980 Los Angeles Lakers (1) 4 - 2 Philadelphia 76ers (3) 1981 Houston Rockets (6) 2 -4 Boston Celtics (1) 19"&amp;"82 Los Angeles Lakers (1) 4 -2 Philadelphia 76ers (3) Los Angeles Lakers (1) 0 -4 Philadelphia 76ers (1) 1984 Los Angeles Lakers (1) 3 - 4 Boston Celtics (1) 1985 Los Angeles Lakers (1) 4 - 2 Boston Celtics (1) 1986 Houston Rockets (2) 2 - 4 Boston Celtic"&amp;"s (1) Los Angeles Lakers (1) 4 - 2 Boston Celtics ( 1) 1988 Los Angeles Lakers (1) 4 - 3 Detroit Pistons (2) 1989 Los Angeles Lakers (1) 0 - 4 Detroit Pistons (1) 1990 Portland Trail Blazers (3) 1 - 4 Detroit Pistons (1) 1991 Los Angeles Lakers (3) 1 - 4 "&amp;"Chicago Bulls (1) 1992 Portland Trail Blazers (1) 2 - 4 Chicago Bulls (1) 1993 Phoenix Suns (1) 2 - 4 Chicago Bulls (2) 1994 Houston Rockets (2) 4 - 3 New York Knicks (2) 1995 Houston Rockets (6) 4 - 0 Orlando Magic (1) Seattle Supersonics (1) 2 - 4 Chica"&amp;"go Bulls (1) 1997 Utah Jazz (1) 2 - - 4 Chicago Bulls (1) 1998 Utah Jazz (1) 2 - 4 Chicago Bulls (1) 1999 San Antonio Spurs (1) 4 - 1 New York Knicks (8) 2000 Los Angeles Lakers (1) 4 - 2 Indiana Pacers (1) 2001 Los Angeles Lakers (2) 4 - 1 Philadelphia 7"&amp;"6ers (1) 2002 Los Angeles Lakers (3) 4 - 0 Nets de Nova Jersey (1) 2003 San Antonio Spurs (1) 4 - 2 Novo Jersey Nets (2) Los Angeles Lakers (2) 1 - 4 Detroit Pistons (3) 2005 San Antonio Spurs (2) 4 - 3 Detroit Pistons (2) 2006 Dallas Mavericks (4) 2 - 4 "&amp;"Miami Heat (2 ) 2007 San Antonio Spurs (3) 4 - 0 Cleveland Cavaliers (2) 2008 Los Angeles Lakers (1) 2 - 4 Boston Celtics (1) 2009 Los Angeles Lakers (1) 4 - 1 Orlando Magic (3) Los Angeles Lakers (1) 4 - 3 Boston Celtics (4) 2011 Dallas Mavericks (3) 4 -"&amp;" 2 Miami Heat (2) 2012 Oklahoma City Thunder (2) 1 - 4 Miami Heat (2) 2013 San Antonio Spurs ( 2) 3 - 4 Miami Heat (1) 2014 San Antonio Spurs (1) 4 - 1 Miami Heat (2) 2015 Golden State Warriors (1) 4 - 2 Cleveland Cavaliers (2) 2016 Golden State Warriors "&amp;"(1) 3 - 4 Cleveland Cavaliers (1) 2017 Golden State Warriors (1) 4 - 1 Cleveland Cavaliers (2)")</f>
        <v>   Ano Campeões Ocidentais Resultados Campeões Orientais Referência 1950 Minneapolis Lakers 4 - 2 Syracuse Nationals 1951 Rochester Royals (2) 4 - 3 New York Knicks (3) 1952 Minneapolis Lakers (2) 4 - 3 New York Knicks (3) 1953 MINNEAPOLIS Lakers (1) 4 - 1 New York Knicks (1) 1954 Minneapolis Lakers (1) 4 - 3 Syracuse Nationals (1) 1955 Fort Wayne Pistons (1) 3 - 4 Syracuse Nationals (1) 1956 Fort Wayne Pistons ( 1) 1 - 4 Philadelphia Warriors (1) 1957 St. Louis Hawks (1) 3 - 4 Boston Celtics (1) 1958 St. Louis Hawks (1) 4 - 2 Boston Celtics (1) 1959 Minneapolis Lakers (2 ) 0 - 4 Boston Celtics (1) 1960 St. Louis Hawks (1) 3 - 4 Boston Celtics (1) 1961 St. Louis Hawks (1) 1 - 4 Boston Celtics (1) 1962 Los Angeles Lakers (1 ) 3 - 4 Boston Celtics (1) 1963 Los Angeles Lakers (1) 2 - 4 Boston Celtics (1) 1964 São Francisco Warriors (1) 1 - 4 Boston Celtics (1) 1965 Los Angeles Lakers (1) 1 -4 Boston Celtics (1) 1966 Los Angeles Lakers (1) 3-4 Boston Celtics (2) 1967 San Francisco Warriors (1) 2-4 Filadélfia 76ers (1) 1968 Los Angeles Lakers (2) 2-2- 4 Boston Celtics (2) 1969 Los Angeles Lakers (1) 3 - 4 Boston Celtics (4) 1970 Los Angeles Lakers (2) 3 - 4 New York Knicks (1) 1971 Milwaukee Bucks (1) 4 - 0 Baltimore Bullets (1) 1972 Los Angeles Lakers (1) 4 - 1 New York Knicks (2) 1973 Los Angeles Lakers (2) 1 - 4 New York Knicks (2) Milwaukee Bucks (1) 3 - 4 Boston Celtics ( 1) Golden State Warriors (1) 4 - 0 Washington Bullets (2) 1976 Phoenix Suns (3) 2 - 4 Boston Celtics (1) 1977 Portland Trail Blazers (3) 4 - 2 Philadelphia 76ers (1) 1978 Seattle Supersonics (4) 3 - 4 Washington Bullets (3) 1979 Seattle Supersonics (1) 4 - 1 Washington Bullets (1) 1980 Los Angeles Lakers (1) 4 - 2 Philadelphia 76ers (3) 1981 Houston Rockets (6) 2 -4 Boston Celtics (1) 1982 Los Angeles Lakers (1) 4 -2 Philadelphia 76ers (3) Los Angeles Lakers (1) 0 -4 Philadelphia 76ers (1) 1984 Los Angeles Lakers (1) 3 - 4 Boston Celtics (1) 1985 Los Angeles Lakers (1) 4 - 2 Boston Celtics (1) 1986 Houston Rockets (2) 2 - 4 Boston Celtics (1) Los Angeles Lakers (1) 4 - 2 Boston Celtics ( 1) 1988 Los Angeles Lakers (1) 4 - 3 Detroit Pistons (2) 1989 Los Angeles Lakers (1) 0 - 4 Detroit Pistons (1) 1990 Portland Trail Blazers (3) 1 - 4 Detroit Pistons (1) 1991 Los Angeles Lakers (3) 1 - 4 Chicago Bulls (1) 1992 Portland Trail Blazers (1) 2 - 4 Chicago Bulls (1) 1993 Phoenix Suns (1) 2 - 4 Chicago Bulls (2) 1994 Houston Rockets (2) 4 - 3 New York Knicks (2) 1995 Houston Rockets (6) 4 - 0 Orlando Magic (1) Seattle Supersonics (1) 2 - 4 Chicago Bulls (1) 1997 Utah Jazz (1) 2 - - 4 Chicago Bulls (1) 1998 Utah Jazz (1) 2 - 4 Chicago Bulls (1) 1999 San Antonio Spurs (1) 4 - 1 New York Knicks (8) 2000 Los Angeles Lakers (1) 4 - 2 Indiana Pacers (1) 2001 Los Angeles Lakers (2) 4 - 1 Philadelphia 76ers (1) 2002 Los Angeles Lakers (3) 4 - 0 Nets de Nova Jersey (1) 2003 San Antonio Spurs (1) 4 - 2 Novo Jersey Nets (2) Los Angeles Lakers (2) 1 - 4 Detroit Pistons (3) 2005 San Antonio Spurs (2) 4 - 3 Detroit Pistons (2) 2006 Dallas Mavericks (4) 2 - 4 Miami Heat (2 ) 2007 San Antonio Spurs (3) 4 - 0 Cleveland Cavaliers (2) 2008 Los Angeles Lakers (1) 2 - 4 Boston Celtics (1) 2009 Los Angeles Lakers (1) 4 - 1 Orlando Magic (3) Los Angeles Lakers (1) 4 - 3 Boston Celtics (4) 2011 Dallas Mavericks (3) 4 - 2 Miami Heat (2) 2012 Oklahoma City Thunder (2) 1 - 4 Miami Heat (2) 2013 San Antonio Spurs ( 2) 3 - 4 Miami Heat (1) 2014 San Antonio Spurs (1) 4 - 1 Miami Heat (2) 2015 Golden State Warriors (1) 4 - 2 Cleveland Cavaliers (2) 2016 Golden State Warriors (1) 3 - 4 Cleveland Cavaliers (1) 2017 Golden State Warriors (1) 4 - 1 Cleveland Cavaliers (2)</v>
      </c>
      <c r="I85" s="3" t="str">
        <f>IFERROR(__xludf.DUMMYFUNCTION("GOOGLETRANSLATE(E85)"),"#VALUE!")</f>
        <v>#VALUE!</v>
      </c>
    </row>
    <row r="86" ht="15.75" customHeight="1">
      <c r="A86" s="1">
        <v>84.0</v>
      </c>
      <c r="B86" s="3" t="s">
        <v>321</v>
      </c>
      <c r="C86" s="3" t="s">
        <v>322</v>
      </c>
      <c r="D86" s="3" t="s">
        <v>323</v>
      </c>
      <c r="E86" s="3" t="s">
        <v>324</v>
      </c>
      <c r="F86" s="3" t="str">
        <f>IFERROR(__xludf.DUMMYFUNCTION("GOOGLETRANSLATE(B86)")," Conversa: melhor - vendendo artista musical")</f>
        <v> Conversa: melhor - vendendo artista musical</v>
      </c>
      <c r="G86" s="3" t="str">
        <f>IFERROR(__xludf.DUMMYFUNCTION("GOOGLETRANSLATE(C86)"),"Quem vendeu mais álbuns Elvis ou Micheal Jackson")</f>
        <v>Quem vendeu mais álbuns Elvis ou Micheal Jackson</v>
      </c>
      <c r="H86" s="3" t="str">
        <f>IFERROR(__xludf.DUMMYFUNCTION("GOOGLETRANSLATE(D86)")," Michael Jackson vendeu 750 milhões de recordes vivos, os Beatles venderam 500 + milhões de registros alive Elvis Presley vendeu 350 + milhões de discos vivos")</f>
        <v> Michael Jackson vendeu 750 milhões de recordes vivos, os Beatles venderam 500 + milhões de registros alive Elvis Presley vendeu 350 + milhões de discos vivos</v>
      </c>
      <c r="I86" s="3" t="str">
        <f>IFERROR(__xludf.DUMMYFUNCTION("GOOGLETRANSLATE(E86)"),"Michael Jackson")</f>
        <v>Michael Jackson</v>
      </c>
    </row>
    <row r="87" ht="15.75" customHeight="1">
      <c r="A87" s="1">
        <v>85.0</v>
      </c>
      <c r="B87" s="3" t="s">
        <v>325</v>
      </c>
      <c r="C87" s="3" t="s">
        <v>326</v>
      </c>
      <c r="D87" s="3" t="s">
        <v>327</v>
      </c>
      <c r="E87" s="3" t="s">
        <v>328</v>
      </c>
      <c r="F87" s="3" t="str">
        <f>IFERROR(__xludf.DUMMYFUNCTION("GOOGLETRANSLATE(B87)")," Dieta de Santa Clarita")</f>
        <v> Dieta de Santa Clarita</v>
      </c>
      <c r="G87" s="3" t="str">
        <f>IFERROR(__xludf.DUMMYFUNCTION("GOOGLETRANSLATE(C87)"),"que interpreta o oficial Garcia na dieta de Santa Clarita")</f>
        <v>que interpreta o oficial Garcia na dieta de Santa Clarita</v>
      </c>
      <c r="H87" s="3" t="str">
        <f>IFERROR(__xludf.DUMMYFUNCTION("GOOGLETRANSLATE(D87)")," Natalie Morales como Anne Garcia, vice de um xerife, parceira de Dan, e muito religiosa. Ela se envolve romanticamente com Lisa depois que Dan desaparece.")</f>
        <v> Natalie Morales como Anne Garcia, vice de um xerife, parceira de Dan, e muito religiosa. Ela se envolve romanticamente com Lisa depois que Dan desaparece.</v>
      </c>
      <c r="I87" s="3" t="str">
        <f>IFERROR(__xludf.DUMMYFUNCTION("GOOGLETRANSLATE(E87)"),"Natalie Morales")</f>
        <v>Natalie Morales</v>
      </c>
    </row>
    <row r="88" ht="15.75" customHeight="1">
      <c r="A88" s="1">
        <v>86.0</v>
      </c>
      <c r="B88" s="3" t="s">
        <v>329</v>
      </c>
      <c r="C88" s="3" t="s">
        <v>330</v>
      </c>
      <c r="D88" s="3" t="s">
        <v>331</v>
      </c>
      <c r="E88" s="3" t="s">
        <v>332</v>
      </c>
      <c r="F88" s="3" t="str">
        <f>IFERROR(__xludf.DUMMYFUNCTION("GOOGLETRANSLATE(B88)")," Grande pirâmide de Gizé")</f>
        <v> Grande pirâmide de Gizé</v>
      </c>
      <c r="G88" s="3" t="str">
        <f>IFERROR(__xludf.DUMMYFUNCTION("GOOGLETRANSLATE(C88)"),"Quando foi criada a grande pirâmide de Gizé")</f>
        <v>Quando foi criada a grande pirâmide de Gizé</v>
      </c>
      <c r="H88" s="3" t="str">
        <f>IFERROR(__xludf.DUMMYFUNCTION("GOOGLETRANSLATE(D88)")," Com base em uma marca em uma câmara interior nomeando a gangue de trabalho e uma referência à quarta dinastia faraó egípcia Khufu, os egiptólogos acreditam que a pirâmide foi construída como túmulo durante um período de 10 a 20 anos, concluindo cerca de "&amp;"2560 aC. Inicialmente a 146,5 metros (481 pés), a Grande Pirâmide era o homem mais alto - fez estrutura do mundo por mais de 3.800 anos. Originalmente, a Grande Pirâmide era coberta por pedras da carcaça que formavam uma superfície externa lisa; O que é v"&amp;"isto hoje é a estrutura central subjacente. Algumas das pedras de invólucro que já cobriam a estrutura ainda podem ser vistas ao redor da base. Houve várias teorias científicas e alternativas sobre as técnicas de construção da Grande Pirâmide. A maioria d"&amp;"as hipóteses de construção aceita baseia -se na idéia de que foi construída movendo pedras enormes de uma pedreira e arrastando e levantando -as no lugar.")</f>
        <v> Com base em uma marca em uma câmara interior nomeando a gangue de trabalho e uma referência à quarta dinastia faraó egípcia Khufu, os egiptólogos acreditam que a pirâmide foi construída como túmulo durante um período de 10 a 20 anos, concluindo cerca de 2560 aC. Inicialmente a 146,5 metros (481 pés), a Grande Pirâmide era o homem mais alto - fez estrutura do mundo por mais de 3.800 anos. Originalmente, a Grande Pirâmide era coberta por pedras da carcaça que formavam uma superfície externa lisa; O que é visto hoje é a estrutura central subjacente. Algumas das pedras de invólucro que já cobriam a estrutura ainda podem ser vistas ao redor da base. Houve várias teorias científicas e alternativas sobre as técnicas de construção da Grande Pirâmide. A maioria das hipóteses de construção aceita baseia -se na idéia de que foi construída movendo pedras enormes de uma pedreira e arrastando e levantando -as no lugar.</v>
      </c>
      <c r="I88" s="3" t="str">
        <f>IFERROR(__xludf.DUMMYFUNCTION("GOOGLETRANSLATE(E88)"),"10 a 20 - período de ano concluindo cerca de 2560 aC")</f>
        <v>10 a 20 - período de ano concluindo cerca de 2560 aC</v>
      </c>
    </row>
    <row r="89" ht="15.75" customHeight="1">
      <c r="A89" s="1">
        <v>87.0</v>
      </c>
      <c r="B89" s="3" t="s">
        <v>333</v>
      </c>
      <c r="C89" s="3" t="s">
        <v>334</v>
      </c>
      <c r="D89" s="3" t="s">
        <v>335</v>
      </c>
      <c r="E89" s="3" t="s">
        <v>336</v>
      </c>
      <c r="F89" s="3" t="str">
        <f>IFERROR(__xludf.DUMMYFUNCTION("GOOGLETRANSLATE(B89)")," Rato em Mi Kitchen")</f>
        <v> Rato em Mi Kitchen</v>
      </c>
      <c r="G89" s="3" t="str">
        <f>IFERROR(__xludf.DUMMYFUNCTION("GOOGLETRANSLATE(C89)"),"Quem cantou há um rato na minha cozinha")</f>
        <v>Quem cantou há um rato na minha cozinha</v>
      </c>
      <c r="H89" s="3" t="str">
        <f>IFERROR(__xludf.DUMMYFUNCTION("GOOGLETRANSLATE(D89)")," `` Rat in Mi Kitchen '' é uma música e uma única escrita e tocada pelo grupo britânico, UB40. Possui Herb Alpert no trompete e foi a sexta faixa do álbum Rat na cozinha. Lançado em 1986, alcançou o número 12 nas paradas do Reino Unido em 1987, ficando po"&amp;"r sete semanas.")</f>
        <v> `` Rat in Mi Kitchen '' é uma música e uma única escrita e tocada pelo grupo britânico, UB40. Possui Herb Alpert no trompete e foi a sexta faixa do álbum Rat na cozinha. Lançado em 1986, alcançou o número 12 nas paradas do Reino Unido em 1987, ficando por sete semanas.</v>
      </c>
      <c r="I89" s="3" t="str">
        <f>IFERROR(__xludf.DUMMYFUNCTION("GOOGLETRANSLATE(E89)"),"UB40")</f>
        <v>UB40</v>
      </c>
    </row>
    <row r="90" ht="15.75" customHeight="1">
      <c r="A90" s="1">
        <v>88.0</v>
      </c>
      <c r="B90" s="3" t="s">
        <v>337</v>
      </c>
      <c r="C90" s="3" t="s">
        <v>338</v>
      </c>
      <c r="D90" s="3" t="s">
        <v>339</v>
      </c>
      <c r="E90" s="3" t="s">
        <v>340</v>
      </c>
      <c r="F90" s="3" t="str">
        <f>IFERROR(__xludf.DUMMYFUNCTION("GOOGLETRANSLATE(B90)")," Agricultura na Índia")</f>
        <v> Agricultura na Índia</v>
      </c>
      <c r="G90" s="3" t="str">
        <f>IFERROR(__xludf.DUMMYFUNCTION("GOOGLETRANSLATE(C90)"),"A contribuição da agricultura no produto interno bruto da Índia é")</f>
        <v>A contribuição da agricultura no produto interno bruto da Índia é</v>
      </c>
      <c r="H90" s="3" t="str">
        <f>IFERROR(__xludf.DUMMYFUNCTION("GOOGLETRANSLATE(D90)")," A história da agricultura na Índia remonta à era da civilização do Vale do Indo e mesmo antes disso em algumas partes do sul da Índia. Hoje, a Índia ocupa o segundo mundo em todo o mundo na produção agrícola. A agricultura e setores aliados, como silvicu"&amp;"ltura e pesca, representaram 13,7 % do PIB (produto interno bruto) em 2013, cerca de 50 % da força de trabalho. A contribuição econômica da agricultura para o PIB da Índia está diminuindo constantemente com o amplo crescimento econômico de base do país. A"&amp;"inda assim, a agricultura é demograficamente o setor econômico mais amplo e desempenha um papel significativo no tecido econômico geral da Índia.")</f>
        <v> A história da agricultura na Índia remonta à era da civilização do Vale do Indo e mesmo antes disso em algumas partes do sul da Índia. Hoje, a Índia ocupa o segundo mundo em todo o mundo na produção agrícola. A agricultura e setores aliados, como silvicultura e pesca, representaram 13,7 % do PIB (produto interno bruto) em 2013, cerca de 50 % da força de trabalho. A contribuição econômica da agricultura para o PIB da Índia está diminuindo constantemente com o amplo crescimento econômico de base do país. Ainda assim, a agricultura é demograficamente o setor econômico mais amplo e desempenha um papel significativo no tecido econômico geral da Índia.</v>
      </c>
      <c r="I90" s="3" t="str">
        <f>IFERROR(__xludf.DUMMYFUNCTION("GOOGLETRANSLATE(E90)"),"13,7 % do PIB")</f>
        <v>13,7 % do PIB</v>
      </c>
    </row>
    <row r="91" ht="15.75" customHeight="1">
      <c r="A91" s="1">
        <v>89.0</v>
      </c>
      <c r="B91" s="3" t="s">
        <v>341</v>
      </c>
      <c r="C91" s="3" t="s">
        <v>342</v>
      </c>
      <c r="D91" s="3" t="s">
        <v>343</v>
      </c>
      <c r="E91" s="3" t="s">
        <v>344</v>
      </c>
      <c r="F91" s="3" t="str">
        <f>IFERROR(__xludf.DUMMYFUNCTION("GOOGLETRANSLATE(B91)")," Show de intervalo do Super Bowl LII")</f>
        <v> Show de intervalo do Super Bowl LII</v>
      </c>
      <c r="G91" s="3" t="str">
        <f>IFERROR(__xludf.DUMMYFUNCTION("GOOGLETRANSLATE(C91)"),"Quem está fazendo o show no intervalo em 2018")</f>
        <v>Quem está fazendo o show no intervalo em 2018</v>
      </c>
      <c r="H91" s="3" t="str">
        <f>IFERROR(__xludf.DUMMYFUNCTION("GOOGLETRANSLATE(D91)")," O show de intervalo do Super Bowl LII (oficialmente conhecido como show de intervalo da Pepsi Super Bowl LII) ocorreu em 4 de fevereiro de 2018 no U.S. Bank Stadium em Minneapolis, Minnesota, como parte do Super Bowl LII. Justin Timberlake foi o artista "&amp;"em destaque, conforme confirmado pela National Football League (NFL) em 22 de outubro de 2017. Foi televisionado nacionalmente pela NBC.")</f>
        <v> O show de intervalo do Super Bowl LII (oficialmente conhecido como show de intervalo da Pepsi Super Bowl LII) ocorreu em 4 de fevereiro de 2018 no U.S. Bank Stadium em Minneapolis, Minnesota, como parte do Super Bowl LII. Justin Timberlake foi o artista em destaque, conforme confirmado pela National Football League (NFL) em 22 de outubro de 2017. Foi televisionado nacionalmente pela NBC.</v>
      </c>
      <c r="I91" s="3" t="str">
        <f>IFERROR(__xludf.DUMMYFUNCTION("GOOGLETRANSLATE(E91)"),"Justin Timberlake")</f>
        <v>Justin Timberlake</v>
      </c>
    </row>
    <row r="92" ht="15.75" customHeight="1">
      <c r="A92" s="1">
        <v>90.0</v>
      </c>
      <c r="B92" s="3" t="s">
        <v>345</v>
      </c>
      <c r="C92" s="3" t="s">
        <v>346</v>
      </c>
      <c r="D92" s="3" t="s">
        <v>347</v>
      </c>
      <c r="F92" s="3" t="str">
        <f>IFERROR(__xludf.DUMMYFUNCTION("GOOGLETRANSLATE(B92)")," Energia renovável na África do Sul")</f>
        <v> Energia renovável na África do Sul</v>
      </c>
      <c r="G92" s="3" t="str">
        <f>IFERROR(__xludf.DUMMYFUNCTION("GOOGLETRANSLATE(C92)"),"Razões pelas quais a África do Sul deve incluir energia renovável em seu mix de energia")</f>
        <v>Razões pelas quais a África do Sul deve incluir energia renovável em seu mix de energia</v>
      </c>
      <c r="H92" s="3" t="str">
        <f>IFERROR(__xludf.DUMMYFUNCTION("GOOGLETRANSLATE(D92)")," As duas principais barreiras que acompanham a energia renovável na África do Sul são; o sistema de inovação energética e o alto custo das tecnologias de energia renovável. O Programa de Compras de Produtores de Energia Renovável de Energia (REI4P) sugere"&amp;" que o custo associado à energia renovável será igual ao custo da energia não renovável até 2030. A energia renovável está se tornando mais eficiente, barata e amplamente usada. A África do Sul tem uma abundância de recursos renováveis ​​que podem efetiva"&amp;"mente fornecer a energia do país.")</f>
        <v> As duas principais barreiras que acompanham a energia renovável na África do Sul são; o sistema de inovação energética e o alto custo das tecnologias de energia renovável. O Programa de Compras de Produtores de Energia Renovável de Energia (REI4P) sugere que o custo associado à energia renovável será igual ao custo da energia não renovável até 2030. A energia renovável está se tornando mais eficiente, barata e amplamente usada. A África do Sul tem uma abundância de recursos renováveis ​​que podem efetivamente fornecer a energia do país.</v>
      </c>
      <c r="I92" s="3" t="str">
        <f>IFERROR(__xludf.DUMMYFUNCTION("GOOGLETRANSLATE(E92)"),"#VALUE!")</f>
        <v>#VALUE!</v>
      </c>
    </row>
    <row r="93" ht="15.75" customHeight="1">
      <c r="A93" s="1">
        <v>91.0</v>
      </c>
      <c r="B93" s="3" t="s">
        <v>348</v>
      </c>
      <c r="C93" s="3" t="s">
        <v>349</v>
      </c>
      <c r="D93" s="3" t="s">
        <v>350</v>
      </c>
      <c r="F93" s="3" t="str">
        <f>IFERROR(__xludf.DUMMYFUNCTION("GOOGLETRANSLATE(B93)")," Lok Sabha")</f>
        <v> Lok Sabha</v>
      </c>
      <c r="G93" s="3" t="str">
        <f>IFERROR(__xludf.DUMMYFUNCTION("GOOGLETRANSLATE(C93)"),"Quais são as funções do Lok Sabha")</f>
        <v>Quais são as funções do Lok Sabha</v>
      </c>
      <c r="H93" s="3" t="str">
        <f>IFERROR(__xludf.DUMMYFUNCTION("GOOGLETRANSLATE(D93)"),"  Moções de não confiança contra o governo podem ser introduzidas e aprovadas no Lok Sabha. Se aprovada por uma votação majoritária, o primeiro -ministro e o Conselho de Ministros renunciam coletivamente. O Rajya Sabha não tem poder sobre tal movimento e,"&amp;" portanto, não tem poder real sobre o executivo. Isso ocorre porque a Constituição da Índia apenas tornou o Conselho de Ministros da União responsável pelo Lok Sabha, não ao Rajya Sabha. As contas de dinheiro só podem ser introduzidas no Lok Sabha e, ao s"&amp;"erem aprovadas, são enviadas para o Rajya Sabha, onde pode ser deliberado por até 14 dias. Se não for rejeitado pelo Rajya Sabha, ou 14 dias de lapso da introdução do projeto de lei no Rajya Sabha sem nenhuma ação da Câmara, ou as recomendações feitas pel"&amp;"o Rajya Sabha não são aceitas pelo Lok Sabha, o projeto é considerado aprovado. O orçamento é apresentado no Lok Sabha pelo ministro das Finanças em nome do Presidente da Índia. Em questões referentes a projetos de lei não financeiros (ordinários), depois"&amp;" que o projeto foi aprovado pela casa onde foi originalmente apresentada (Lok Sabha ou Rajya Sabha), é enviada para a outra casa, onde pode ser mantido para um máximo período de 6 meses. Se a outra casa rejeitar o projeto de lei ou um período de 6 meses, "&amp;"sem nenhuma ação por essa casa, ou a casa que originalmente apresentou a conta não aceita as recomendações feitas pelos membros da outra casa, isso resulta em um impasse. Isso é resolvido por uma sessão conjunta de ambas as casas, presidida pelo President"&amp;"e do Lok Sabha e decidido por uma maioria simples. Embora a Constituição tenha colocado as duas casas na mesma posição a esse respeito, na realidade são as opiniões do Lok Sabha que prevalecem principalmente - devido à sua maior força numérica. Poderes ig"&amp;"uais com o Rajya Sabha ao iniciar e aprovar qualquer projeto de lei para a emenda constitucional (pela maioria dos membros totais da Câmara e pelo menos dois terços da maioria dos membros presentes e votando). Poderes iguais com o Rajya Sabha ao iniciar e"&amp;" passar uma moção para o impeachment do Presidente (por dois terços dos membros da Câmara). Poderes iguais com o Rajya Sabha no processo de impeachment (iniciando e transmitindo uma moção para a remoção) dos juízes da Suprema Corte e dos tribunais superio"&amp;"res estaduais (pela maioria dos membros da Câmara e pelo menos dois terços da maioria dos terços do membros presentes e votando), que pode ser removido pelo presidente da Índia. Poderes iguais com o Rajya Sabha ao iniciar e aprovar uma resolução declarand"&amp;"o guerra ou emergência nacional (por maioria dos terços) ou emergência constitucional (por maioria simples) em um estado. Se o Lok Sabha for dissolvido antes ou depois da declaração de uma emergência nacional, o Rajya Sabha se torna o único parlamento. Nã"&amp;"o pode ser dissolvido. Esta é uma limitação para o Lok Sabha. Mas existe a possibilidade de que o presidente possa exceder o termo para não mais de 1 ano sob a proclamação de emergência e o mesmo seria reduzido para seis meses se a proclamação referida de"&amp;"ixar de operar.")</f>
        <v>  Moções de não confiança contra o governo podem ser introduzidas e aprovadas no Lok Sabha. Se aprovada por uma votação majoritária, o primeiro -ministro e o Conselho de Ministros renunciam coletivamente. O Rajya Sabha não tem poder sobre tal movimento e, portanto, não tem poder real sobre o executivo. Isso ocorre porque a Constituição da Índia apenas tornou o Conselho de Ministros da União responsável pelo Lok Sabha, não ao Rajya Sabha. As contas de dinheiro só podem ser introduzidas no Lok Sabha e, ao serem aprovadas, são enviadas para o Rajya Sabha, onde pode ser deliberado por até 14 dias. Se não for rejeitado pelo Rajya Sabha, ou 14 dias de lapso da introdução do projeto de lei no Rajya Sabha sem nenhuma ação da Câmara, ou as recomendações feitas pelo Rajya Sabha não são aceitas pelo Lok Sabha, o projeto é considerado aprovado. O orçamento é apresentado no Lok Sabha pelo ministro das Finanças em nome do Presidente da Índia. Em questões referentes a projetos de lei não financeiros (ordinários), depois que o projeto foi aprovado pela casa onde foi originalmente apresentada (Lok Sabha ou Rajya Sabha), é enviada para a outra casa, onde pode ser mantido para um máximo período de 6 meses. Se a outra casa rejeitar o projeto de lei ou um período de 6 meses, sem nenhuma ação por essa casa, ou a casa que originalmente apresentou a conta não aceita as recomendações feitas pelos membros da outra casa, isso resulta em um impasse. Isso é resolvido por uma sessão conjunta de ambas as casas, presidida pelo Presidente do Lok Sabha e decidido por uma maioria simples. Embora a Constituição tenha colocado as duas casas na mesma posição a esse respeito, na realidade são as opiniões do Lok Sabha que prevalecem principalmente - devido à sua maior força numérica. Poderes iguais com o Rajya Sabha ao iniciar e aprovar qualquer projeto de lei para a emenda constitucional (pela maioria dos membros totais da Câmara e pelo menos dois terços da maioria dos membros presentes e votando). Poderes iguais com o Rajya Sabha ao iniciar e passar uma moção para o impeachment do Presidente (por dois terços dos membros da Câmara). Poderes iguais com o Rajya Sabha no processo de impeachment (iniciando e transmitindo uma moção para a remoção) dos juízes da Suprema Corte e dos tribunais superiores estaduais (pela maioria dos membros da Câmara e pelo menos dois terços da maioria dos terços do membros presentes e votando), que pode ser removido pelo presidente da Índia. Poderes iguais com o Rajya Sabha ao iniciar e aprovar uma resolução declarando guerra ou emergência nacional (por maioria dos terços) ou emergência constitucional (por maioria simples) em um estado. Se o Lok Sabha for dissolvido antes ou depois da declaração de uma emergência nacional, o Rajya Sabha se torna o único parlamento. Não pode ser dissolvido. Esta é uma limitação para o Lok Sabha. Mas existe a possibilidade de que o presidente possa exceder o termo para não mais de 1 ano sob a proclamação de emergência e o mesmo seria reduzido para seis meses se a proclamação referida deixar de operar.</v>
      </c>
      <c r="I93" s="3" t="str">
        <f>IFERROR(__xludf.DUMMYFUNCTION("GOOGLETRANSLATE(E93)"),"#VALUE!")</f>
        <v>#VALUE!</v>
      </c>
    </row>
    <row r="94" ht="15.75" customHeight="1">
      <c r="A94" s="1">
        <v>92.0</v>
      </c>
      <c r="B94" s="3" t="s">
        <v>351</v>
      </c>
      <c r="C94" s="3" t="s">
        <v>352</v>
      </c>
      <c r="D94" s="3" t="s">
        <v>353</v>
      </c>
      <c r="E94" s="3" t="s">
        <v>354</v>
      </c>
      <c r="F94" s="3" t="str">
        <f>IFERROR(__xludf.DUMMYFUNCTION("GOOGLETRANSLATE(B94)")," Arroyo Dry Parkway")</f>
        <v> Arroyo Dry Parkway</v>
      </c>
      <c r="G94" s="3" t="str">
        <f>IFERROR(__xludf.DUMMYFUNCTION("GOOGLETRANSLATE(C94)"),"Quando foi a primeira rodovia construída em Los Angeles")</f>
        <v>Quando foi a primeira rodovia construída em Los Angeles</v>
      </c>
      <c r="H94" s="3" t="str">
        <f>IFERROR(__xludf.DUMMYFUNCTION("GOOGLETRANSLATE(D94)")," O Arroyo Seco Parkway, anteriormente conhecido como Pasadena Freeway, é a primeira rodovia no oeste dos Estados Unidos. Ele conecta Los Angeles a Pasadena ao lado do rio sazonal de Arroyo Seco. É notável não apenas por ser o primeiro, principalmente inau"&amp;"gurado em 1940, mas por representar a fase de transição entre as primeiras viagens e as rodovias modernas. Ele está em conformidade com os padrões modernos quando foi construído, mas agora é considerado uma estrada estreita e desatualizada. Uma extensão d"&amp;"e 1953 levou o extremo sul ao intercâmbio de quatro níveis no centro de Los Angeles e uma conexão com o restante do sistema de rodovias.")</f>
        <v> O Arroyo Seco Parkway, anteriormente conhecido como Pasadena Freeway, é a primeira rodovia no oeste dos Estados Unidos. Ele conecta Los Angeles a Pasadena ao lado do rio sazonal de Arroyo Seco. É notável não apenas por ser o primeiro, principalmente inaugurado em 1940, mas por representar a fase de transição entre as primeiras viagens e as rodovias modernas. Ele está em conformidade com os padrões modernos quando foi construído, mas agora é considerado uma estrada estreita e desatualizada. Uma extensão de 1953 levou o extremo sul ao intercâmbio de quatro níveis no centro de Los Angeles e uma conexão com o restante do sistema de rodovias.</v>
      </c>
      <c r="I94" s="3" t="str">
        <f>IFERROR(__xludf.DUMMYFUNCTION("GOOGLETRANSLATE(E94)"),"1940")</f>
        <v>1940</v>
      </c>
    </row>
    <row r="95" ht="15.75" customHeight="1">
      <c r="A95" s="1">
        <v>93.0</v>
      </c>
      <c r="B95" s="3" t="s">
        <v>355</v>
      </c>
      <c r="C95" s="3" t="s">
        <v>356</v>
      </c>
      <c r="D95" s="3" t="s">
        <v>357</v>
      </c>
      <c r="F95" s="3" t="str">
        <f>IFERROR(__xludf.DUMMYFUNCTION("GOOGLETRANSLATE(B95)")," Um bom ano")</f>
        <v> Um bom ano</v>
      </c>
      <c r="G95" s="3" t="str">
        <f>IFERROR(__xludf.DUMMYFUNCTION("GOOGLETRANSLATE(C95)"),"Onde é um bom ano filmado com Russell Crowe")</f>
        <v>Onde é um bom ano filmado com Russell Crowe</v>
      </c>
      <c r="H95" s="3" t="str">
        <f>IFERROR(__xludf.DUMMYFUNCTION("GOOGLETRANSLATE(D95)")," O filme foi filmado ao longo de nove semanas em 2005, principalmente em locais que Scott descreveu como `` oito minutos da minha casa ''. Os locais franceses foram filmados em Bonnieux, Cucuron e Gordes em Vaucluse, no aeroporto de Marselha Provence e na"&amp;" estação ferroviária de Avignon. Os locais de Londres incluíam Albion Riverside em Battersea, Broadgate, o Bluebird Cafe na King's Road, em Chelsea, e o Critério Restaurante em Piccadilly Circus. A cena com a partida de tênis entre Max e Duflot foi adicio"&amp;"nada no set, substituindo uma discussão nas videiras para fornecer `` uma cena de batalha ''. Como a piscina no Chateau La Canorgue não se encaixava naquele que Scott imaginava da cena, apenas as cenas fora da piscina foram filmadas lá. O depois que Max c"&amp;"aiu foi escavado e concreto nas proximidades, e o original substituiu digitalmente para combinar. A equipe de produção não pôde filmar a caverna do vinho de LA Canorgue enquanto filmava durante o período em que estava sendo usada; portanto, a adega de um "&amp;"hotel próximo foi transformada em uma caverna. Enquanto o sul da França não tem quadras de barro, pois o clima os torna difíceis de manter, Scott queria um por seu aspecto sujo e espancado, então a quadra de tênis foi construída do zero, incluindo postage"&amp;"ns diretamente dos tribunais de Wimbledon. O Cafe de Fanny foi filmado em um restaurante Gordes, com o designer Sonja Klaus decorando -o com itens comprados em segunda - lojas de mão, considerando que o personagem teria feito o mesmo. Klaus empregou uma d"&amp;"ecoração de kitsch na propriedade de Duflot para mostrar que era `` um personagem acompanhando os Jones - se estivesse na América, ele dirigia um cadillac dourado com assentos na pele de leopardo '' e decorava a água grande Bacia de Cucuron com velas flut"&amp;"uantes para `` Faça parecer um evento fabuloso '' para o jantar de Max com Fanny.")</f>
        <v> O filme foi filmado ao longo de nove semanas em 2005, principalmente em locais que Scott descreveu como `` oito minutos da minha casa ''. Os locais franceses foram filmados em Bonnieux, Cucuron e Gordes em Vaucluse, no aeroporto de Marselha Provence e na estação ferroviária de Avignon. Os locais de Londres incluíam Albion Riverside em Battersea, Broadgate, o Bluebird Cafe na King's Road, em Chelsea, e o Critério Restaurante em Piccadilly Circus. A cena com a partida de tênis entre Max e Duflot foi adicionada no set, substituindo uma discussão nas videiras para fornecer `` uma cena de batalha ''. Como a piscina no Chateau La Canorgue não se encaixava naquele que Scott imaginava da cena, apenas as cenas fora da piscina foram filmadas lá. O depois que Max caiu foi escavado e concreto nas proximidades, e o original substituiu digitalmente para combinar. A equipe de produção não pôde filmar a caverna do vinho de LA Canorgue enquanto filmava durante o período em que estava sendo usada; portanto, a adega de um hotel próximo foi transformada em uma caverna. Enquanto o sul da França não tem quadras de barro, pois o clima os torna difíceis de manter, Scott queria um por seu aspecto sujo e espancado, então a quadra de tênis foi construída do zero, incluindo postagens diretamente dos tribunais de Wimbledon. O Cafe de Fanny foi filmado em um restaurante Gordes, com o designer Sonja Klaus decorando -o com itens comprados em segunda - lojas de mão, considerando que o personagem teria feito o mesmo. Klaus empregou uma decoração de kitsch na propriedade de Duflot para mostrar que era `` um personagem acompanhando os Jones - se estivesse na América, ele dirigia um cadillac dourado com assentos na pele de leopardo '' e decorava a água grande Bacia de Cucuron com velas flutuantes para `` Faça parecer um evento fabuloso '' para o jantar de Max com Fanny.</v>
      </c>
      <c r="I95" s="3" t="str">
        <f>IFERROR(__xludf.DUMMYFUNCTION("GOOGLETRANSLATE(E95)"),"#VALUE!")</f>
        <v>#VALUE!</v>
      </c>
    </row>
    <row r="96" ht="15.75" customHeight="1">
      <c r="A96" s="1">
        <v>94.0</v>
      </c>
      <c r="B96" s="3" t="s">
        <v>358</v>
      </c>
      <c r="C96" s="3" t="s">
        <v>359</v>
      </c>
      <c r="D96" s="3" t="s">
        <v>360</v>
      </c>
      <c r="E96" s="3" t="s">
        <v>361</v>
      </c>
      <c r="F96" s="3" t="str">
        <f>IFERROR(__xludf.DUMMYFUNCTION("GOOGLETRANSLATE(B96)")," O Mágico de Oz (filme de 1939)")</f>
        <v> O Mágico de Oz (filme de 1939)</v>
      </c>
      <c r="G96" s="3" t="str">
        <f>IFERROR(__xludf.DUMMYFUNCTION("GOOGLETRANSLATE(C96)"),"Quando foi o Mágico de Oz feito em Technicolor")</f>
        <v>Quando foi o Mágico de Oz feito em Technicolor</v>
      </c>
      <c r="H96" s="3" t="str">
        <f>IFERROR(__xludf.DUMMYFUNCTION("GOOGLETRANSLATE(D96)")," Notável por seu uso de Technicolor, narrativa de fantasia, partitura musical e personagens memoráveis, tornou -se um ícone da cultura popular americana. Foi indicado para seis prêmios da Academia, incluindo Melhor Filme, mas perdido para Gone With the Wi"&amp;"nd. Ele venceu em outras duas categorias, incluindo a melhor música original para `` sobre o arco -íris '' e a melhor pontuação original de Herbert Stothart. Embora o filme tenha sido considerado um sucesso crítico após o lançamento em agosto de 1939, ele"&amp;" não gerou lucro para a MGM, ganhando apenas US $ 3.017.000 com um orçamento de US $ 2.777.000, o que a tornou a produção mais cara da MGM até o momento.")</f>
        <v> Notável por seu uso de Technicolor, narrativa de fantasia, partitura musical e personagens memoráveis, tornou -se um ícone da cultura popular americana. Foi indicado para seis prêmios da Academia, incluindo Melhor Filme, mas perdido para Gone With the Wind. Ele venceu em outras duas categorias, incluindo a melhor música original para `` sobre o arco -íris '' e a melhor pontuação original de Herbert Stothart. Embora o filme tenha sido considerado um sucesso crítico após o lançamento em agosto de 1939, ele não gerou lucro para a MGM, ganhando apenas US $ 3.017.000 com um orçamento de US $ 2.777.000, o que a tornou a produção mais cara da MGM até o momento.</v>
      </c>
      <c r="I96" s="3" t="str">
        <f>IFERROR(__xludf.DUMMYFUNCTION("GOOGLETRANSLATE(E96)"),"1939")</f>
        <v>1939</v>
      </c>
    </row>
    <row r="97" ht="15.75" customHeight="1">
      <c r="A97" s="1">
        <v>95.0</v>
      </c>
      <c r="B97" s="3" t="s">
        <v>362</v>
      </c>
      <c r="C97" s="3" t="s">
        <v>363</v>
      </c>
      <c r="D97" s="3" t="s">
        <v>364</v>
      </c>
      <c r="E97" s="3" t="s">
        <v>365</v>
      </c>
      <c r="F97" s="3" t="str">
        <f>IFERROR(__xludf.DUMMYFUNCTION("GOOGLETRANSLATE(B97)")," 2018 FIFA CUP DISCILINARY RECORD")</f>
        <v> 2018 FIFA CUP DISCILINARY RECORD</v>
      </c>
      <c r="G97" s="3" t="str">
        <f>IFERROR(__xludf.DUMMYFUNCTION("GOOGLETRANSLATE(C97)"),"Número de cartão vermelho na Copa do Mundo 2018")</f>
        <v>Número de cartão vermelho na Copa do Mundo 2018</v>
      </c>
      <c r="H97" s="3" t="str">
        <f>IFERROR(__xludf.DUMMYFUNCTION("GOOGLETRANSLATE(D97)"),"  Número total de cartões amarelos: 219 cartões amarelos médios por partida: 3,42 Número total de cartões vermelhos: 4 cartões vermelhos médios por partida: 0,06 Primeiro cartão amarelo do torneio: Aleksandr Golovin para a Rússia contra a Arábia Saudita P"&amp;"rimeiro cartão vermelho do torneio: Carlos Sánchez Moreno para a Colômbia contra o Japão mais rápido cartão amarelo do início: cartão amarelo mais rápido de 1º minuto depois de chegar como substituto: 1º minuto de cartão amarelo mais recente em uma partid"&amp;"a sem tempo extra: 90 + 8 minutos Aleksandar Prijović para Sérbia contra a Costa Rica, Cédric Soares para Portugal contra o mais recente cartão amarelo do Irã em uma partida com tempo extra: 118 minutos de demissão mais rápida do início: a última demissão"&amp;" de 3 minutos em uma partida sem tempo extra: 90 + 4º minutos a mais curta diferença entre duas cartas amarelas dadas ao mesmo jogador : 9 minutos Igor Smolnikov para a Rússia contra o Uruguai (reservado aos 27 minutos e novamente aos 36 minutos) mais car"&amp;"tões amarelos (equipe): 15 Croácia a maioria dos cartões vermelhos (equipe): 1 Colômbia, Alemanha, Rússia, Switzerland Metest Cards Yellow Cards ( Equipe): 1 Arábia Saudita A maioria dos cartões amarelos (jogador): 3 Sebastian Larsson A maioria dos cartõe"&amp;"s vermelhos (jogador): 1 Jérôme Boateng, Michael Lang, Carlos Sánchez Moreno, Igor Smolnikov A maioria dos cartões amarelos (fósforos): 8 Belgium vs Panam Argentina, Colômbia vs Inglaterra A maioria dos cartões vermelhos (Match): 1 Colômbia vs Japão, Alem"&amp;"anha vs Suécia, Uruguai vs Rússia, Suécia vs Suíça Menos cartões amarelos (Match): 0 Argentina vs Islândia, Uruguai x Arábia Saudi A maioria dos cartões em uma partida: Match: 8 Cards amarelos Bélgica vs Panamá, França vs Argentina, Colômbia vs Inglaterra")</f>
        <v>  Número total de cartões amarelos: 219 cartões amarelos médios por partida: 3,42 Número total de cartões vermelhos: 4 cartões vermelhos médios por partida: 0,06 Primeiro cartão amarelo do torneio: Aleksandr Golovin para a Rússia contra a Arábia Saudita Primeiro cartão vermelho do torneio: Carlos Sánchez Moreno para a Colômbia contra o Japão mais rápido cartão amarelo do início: cartão amarelo mais rápido de 1º minuto depois de chegar como substituto: 1º minuto de cartão amarelo mais recente em uma partida sem tempo extra: 90 + 8 minutos Aleksandar Prijović para Sérbia contra a Costa Rica, Cédric Soares para Portugal contra o mais recente cartão amarelo do Irã em uma partida com tempo extra: 118 minutos de demissão mais rápida do início: a última demissão de 3 minutos em uma partida sem tempo extra: 90 + 4º minutos a mais curta diferença entre duas cartas amarelas dadas ao mesmo jogador : 9 minutos Igor Smolnikov para a Rússia contra o Uruguai (reservado aos 27 minutos e novamente aos 36 minutos) mais cartões amarelos (equipe): 15 Croácia a maioria dos cartões vermelhos (equipe): 1 Colômbia, Alemanha, Rússia, Switzerland Metest Cards Yellow Cards ( Equipe): 1 Arábia Saudita A maioria dos cartões amarelos (jogador): 3 Sebastian Larsson A maioria dos cartões vermelhos (jogador): 1 Jérôme Boateng, Michael Lang, Carlos Sánchez Moreno, Igor Smolnikov A maioria dos cartões amarelos (fósforos): 8 Belgium vs Panam Argentina, Colômbia vs Inglaterra A maioria dos cartões vermelhos (Match): 1 Colômbia vs Japão, Alemanha vs Suécia, Uruguai vs Rússia, Suécia vs Suíça Menos cartões amarelos (Match): 0 Argentina vs Islândia, Uruguai x Arábia Saudi A maioria dos cartões em uma partida: Match: 8 Cards amarelos Bélgica vs Panamá, França vs Argentina, Colômbia vs Inglaterra</v>
      </c>
      <c r="I97" s="3" t="str">
        <f>IFERROR(__xludf.DUMMYFUNCTION("GOOGLETRANSLATE(E97)"),"4")</f>
        <v>4</v>
      </c>
    </row>
    <row r="98" ht="15.75" customHeight="1">
      <c r="A98" s="1">
        <v>96.0</v>
      </c>
      <c r="B98" s="3" t="s">
        <v>59</v>
      </c>
      <c r="C98" s="3" t="s">
        <v>366</v>
      </c>
      <c r="D98" s="3" t="s">
        <v>367</v>
      </c>
      <c r="E98" s="3" t="s">
        <v>368</v>
      </c>
      <c r="F98" s="3" t="str">
        <f>IFERROR(__xludf.DUMMYFUNCTION("GOOGLETRANSLATE(B98)")," Eclipse solar de 21 de agosto de 2017")</f>
        <v> Eclipse solar de 21 de agosto de 2017</v>
      </c>
      <c r="G98" s="3" t="str">
        <f>IFERROR(__xludf.DUMMYFUNCTION("GOOGLETRANSLATE(C98)"),"Onde o eclipse solar começa e termina")</f>
        <v>Onde o eclipse solar começa e termina</v>
      </c>
      <c r="H98" s="3" t="str">
        <f>IFERROR(__xludf.DUMMYFUNCTION("GOOGLETRANSLATE(D98)")," O eclipse solar de 21 de agosto de 2017, apelidado de `` The Great American Eclipse '' da mídia, era um eclipse total visível dentro de uma banda em todo o contíguo Estados Unidos, passando do Pacífico para as costas atlânticas. Como um eclipse solar par"&amp;"cial, era visível em terras de Nunavut, no norte do Canadá, até o sul do norte da América do Sul. No noroeste da Europa e África, era parcialmente visível no final da noite. Na Ásia, era visível apenas na extremidade oriental, a Península de Chukchi.")</f>
        <v> O eclipse solar de 21 de agosto de 2017, apelidado de `` The Great American Eclipse '' da mídia, era um eclipse total visível dentro de uma banda em todo o contíguo Estados Unidos, passando do Pacífico para as costas atlânticas. Como um eclipse solar parcial, era visível em terras de Nunavut, no norte do Canadá, até o sul do norte da América do Sul. No noroeste da Europa e África, era parcialmente visível no final da noite. Na Ásia, era visível apenas na extremidade oriental, a Península de Chukchi.</v>
      </c>
      <c r="I98" s="3" t="str">
        <f>IFERROR(__xludf.DUMMYFUNCTION("GOOGLETRANSLATE(E98)"),"Pacífico para as costas atlânticas")</f>
        <v>Pacífico para as costas atlânticas</v>
      </c>
    </row>
    <row r="99" ht="15.75" customHeight="1">
      <c r="A99" s="1">
        <v>97.0</v>
      </c>
      <c r="B99" s="3" t="s">
        <v>369</v>
      </c>
      <c r="C99" s="3" t="s">
        <v>370</v>
      </c>
      <c r="D99" s="3" t="s">
        <v>371</v>
      </c>
      <c r="F99" s="3" t="str">
        <f>IFERROR(__xludf.DUMMYFUNCTION("GOOGLETRANSLATE(B99)")," Vigília (sobrenome)")</f>
        <v> Vigília (sobrenome)</v>
      </c>
      <c r="G99" s="3" t="str">
        <f>IFERROR(__xludf.DUMMYFUNCTION("GOOGLETRANSLATE(C99)"),"De onde vem o sobrenome Vigil")</f>
        <v>De onde vem o sobrenome Vigil</v>
      </c>
      <c r="H99" s="3" t="str">
        <f>IFERROR(__xludf.DUMMYFUNCTION("GOOGLETRANSLATE(D99)")," Vigil (Vee - Hill) é um sobrenome espanhol. Pessoas notáveis ​​com o sobrenome incluem:")</f>
        <v> Vigil (Vee - Hill) é um sobrenome espanhol. Pessoas notáveis ​​com o sobrenome incluem:</v>
      </c>
      <c r="I99" s="3" t="str">
        <f>IFERROR(__xludf.DUMMYFUNCTION("GOOGLETRANSLATE(E99)"),"#VALUE!")</f>
        <v>#VALUE!</v>
      </c>
    </row>
    <row r="100" ht="15.75" customHeight="1">
      <c r="A100" s="1">
        <v>98.0</v>
      </c>
      <c r="B100" s="3" t="s">
        <v>372</v>
      </c>
      <c r="C100" s="3" t="s">
        <v>373</v>
      </c>
      <c r="D100" s="3" t="s">
        <v>374</v>
      </c>
      <c r="F100" s="3" t="str">
        <f>IFERROR(__xludf.DUMMYFUNCTION("GOOGLETRANSLATE(B100)")," Deitado no estado")</f>
        <v> Deitado no estado</v>
      </c>
      <c r="G100" s="3" t="str">
        <f>IFERROR(__xludf.DUMMYFUNCTION("GOOGLETRANSLATE(C100)"),"que foi colocado no estado no Capitólio")</f>
        <v>que foi colocado no estado no Capitólio</v>
      </c>
      <c r="H100" s="3" t="str">
        <f>IFERROR(__xludf.DUMMYFUNCTION("GOOGLETRANSLATE(D100)"),"  1852 - Henry Clay, Long - Senador e Representante, Secretário de Estado, Presidente da Câmara e Candidato Presidencial de Três vezes 1865 - Presidente Abraham Lincoln, assassinado no cargo 1868 - Thaddeus Stevens, representante da Pensilvânia 1874 - Cha"&amp;"rles Sumner, senador de Massachusetts 1875 - O vice -presidente Henry Wilson, serviu sob Grant, morreu no cargo de 1881 - o presidente James Garfield, assassinado no cargo de 1886 - John A. Logan, senador de Illinois 1901 - Presidente William McKinley, as"&amp;"sassinado Enquanto estava no escritório de 1909 - Pierre L'Enfant - embora ele tenha morrido em 1825, seus restos mortais foram desinteressados; Ele foi homenageado por mentir no estado antes do reinterment no Cemitério Nacional de Arlington 1917 - Almira"&amp;"nte George Dewey, almirante da Marinha de 1921 - o soldado desconhecido da Primeira Guerra Mundial 1923 - Presidente Warren Harding, morreu no cargo 1930 - Presidente William Howard Taft, Presidente 1909 - 13, também Chefe de Justiça 1921 - 30 1948 - John"&amp;" J. Pershing, general dos exércitos dos Estados Unidos durante a Primeira Guerra Mundial e depois de 1953 - Robert A. Taft, senador dos EUA e líder majoritário 1958 - Os soldados desconhecidos da Segunda Guerra Mundial e da Guerra da Coréia de 1963 - Pres"&amp;"idente John F. Kennedy, assassinado no cargo de 1964 - General Douglas MacArthur, general do Exército 1964 - Presidente Herbert Hoover, servindo 1929 - 33 1969 - Presidente Dwight Eisenhower, Presidente 1953- 1961, Comandante Supremo Aliado durante a Segu"&amp;"nda Guerra Mundial 1969- Everett Dirksen, senador de Illinois, líder da minoria do Senado 1959- 1969 1972- J. Edgar Hoover, diretor do FBI 1929- 1972 1973 1973 - Presidente Lyndon B. Johnson, Presidente 1963- 1969 1978- Hubert Humphrey, vice-presidente 19"&amp;"65- 1969, Senador de Minnesota 1984- O soldado desconhecido da Guerra do Vietnã (mais tarde identificado como 1º. Tenente Michael J. Blassie) 1989 - Claude Pepper, Long - Senador e Representante 2004 - Presidente Ronald Reagan, Presidente 1981 - 1989 2006"&amp;" - 07 - Presidente Gerald Ford, Presidente 1974 - 1977 2012 - Daniel Inouye, Presidente Pro Tempore do Senado dos EUA, senador do Havaí e destinatário da Medalha de Honra")</f>
        <v>  1852 - Henry Clay, Long - Senador e Representante, Secretário de Estado, Presidente da Câmara e Candidato Presidencial de Três vezes 1865 - Presidente Abraham Lincoln, assassinado no cargo 1868 - Thaddeus Stevens, representante da Pensilvânia 1874 - Charles Sumner, senador de Massachusetts 1875 - O vice -presidente Henry Wilson, serviu sob Grant, morreu no cargo de 1881 - o presidente James Garfield, assassinado no cargo de 1886 - John A. Logan, senador de Illinois 1901 - Presidente William McKinley, assassinado Enquanto estava no escritório de 1909 - Pierre L'Enfant - embora ele tenha morrido em 1825, seus restos mortais foram desinteressados; Ele foi homenageado por mentir no estado antes do reinterment no Cemitério Nacional de Arlington 1917 - Almirante George Dewey, almirante da Marinha de 1921 - o soldado desconhecido da Primeira Guerra Mundial 1923 - Presidente Warren Harding, morreu no cargo 1930 - Presidente William Howard Taft, Presidente 1909 - 13, também Chefe de Justiça 1921 - 30 1948 - John J. Pershing, general dos exércitos dos Estados Unidos durante a Primeira Guerra Mundial e depois de 1953 - Robert A. Taft, senador dos EUA e líder majoritário 1958 - Os soldados desconhecidos da Segunda Guerra Mundial e da Guerra da Coréia de 1963 - Presidente John F. Kennedy, assassinado no cargo de 1964 - General Douglas MacArthur, general do Exército 1964 - Presidente Herbert Hoover, servindo 1929 - 33 1969 - Presidente Dwight Eisenhower, Presidente 1953- 1961, Comandante Supremo Aliado durante a Segunda Guerra Mundial 1969- Everett Dirksen, senador de Illinois, líder da minoria do Senado 1959- 1969 1972- J. Edgar Hoover, diretor do FBI 1929- 1972 1973 1973 - Presidente Lyndon B. Johnson, Presidente 1963- 1969 1978- Hubert Humphrey, vice-presidente 1965- 1969, Senador de Minnesota 1984- O soldado desconhecido da Guerra do Vietnã (mais tarde identificado como 1º. Tenente Michael J. Blassie) 1989 - Claude Pepper, Long - Senador e Representante 2004 - Presidente Ronald Reagan, Presidente 1981 - 1989 2006 - 07 - Presidente Gerald Ford, Presidente 1974 - 1977 2012 - Daniel Inouye, Presidente Pro Tempore do Senado dos EUA, senador do Havaí e destinatário da Medalha de Honra</v>
      </c>
      <c r="I100" s="3" t="str">
        <f>IFERROR(__xludf.DUMMYFUNCTION("GOOGLETRANSLATE(E100)"),"#VALUE!")</f>
        <v>#VALUE!</v>
      </c>
    </row>
    <row r="101" ht="15.75" customHeight="1">
      <c r="A101" s="1">
        <v>99.0</v>
      </c>
      <c r="B101" s="3" t="s">
        <v>375</v>
      </c>
      <c r="C101" s="3" t="s">
        <v>376</v>
      </c>
      <c r="D101" s="3" t="s">
        <v>377</v>
      </c>
      <c r="E101" s="3" t="s">
        <v>378</v>
      </c>
      <c r="F101" s="3" t="str">
        <f>IFERROR(__xludf.DUMMYFUNCTION("GOOGLETRANSLATE(B101)")," 1938 nos Estados Unidos")</f>
        <v> 1938 nos Estados Unidos</v>
      </c>
      <c r="G101" s="3" t="str">
        <f>IFERROR(__xludf.DUMMYFUNCTION("GOOGLETRANSLATE(C101)"),"que foi presidente dos Estados Unidos em 1938")</f>
        <v>que foi presidente dos Estados Unidos em 1938</v>
      </c>
      <c r="H101" s="3" t="str">
        <f>IFERROR(__xludf.DUMMYFUNCTION("GOOGLETRANSLATE(D101)")," Presidente: Franklin D. Roosevelt (D - Nova York)")</f>
        <v> Presidente: Franklin D. Roosevelt (D - Nova York)</v>
      </c>
      <c r="I101" s="3" t="str">
        <f>IFERROR(__xludf.DUMMYFUNCTION("GOOGLETRANSLATE(E101)"),"Franklin D. Roosevelt")</f>
        <v>Franklin D. Roosevelt</v>
      </c>
    </row>
    <row r="102" ht="15.75" customHeight="1">
      <c r="A102" s="1">
        <v>100.0</v>
      </c>
      <c r="B102" s="3" t="s">
        <v>379</v>
      </c>
      <c r="C102" s="3" t="s">
        <v>380</v>
      </c>
      <c r="D102" s="3" t="s">
        <v>381</v>
      </c>
      <c r="F102" s="3" t="str">
        <f>IFERROR(__xludf.DUMMYFUNCTION("GOOGLETRANSLATE(B102)")," Melansia")</f>
        <v> Melansia</v>
      </c>
      <c r="G102" s="3" t="str">
        <f>IFERROR(__xludf.DUMMYFUNCTION("GOOGLETRANSLATE(C102)"),"Qual é o significado do nome melanesia")</f>
        <v>Qual é o significado do nome melanesia</v>
      </c>
      <c r="H102" s="3" t="str">
        <f>IFERROR(__xludf.DUMMYFUNCTION("GOOGLETRANSLATE(D102)")," O nome Melanesia (em Mélanésie Francês) foi usado pela primeira vez por Jules Dumont d'Urville em 1832 para denotar um agrupamento étnico e geográfico de ilhas cujos habitantes ele achavam distintos dos da Micronésia e da Polinésia.")</f>
        <v> O nome Melanesia (em Mélanésie Francês) foi usado pela primeira vez por Jules Dumont d'Urville em 1832 para denotar um agrupamento étnico e geográfico de ilhas cujos habitantes ele achavam distintos dos da Micronésia e da Polinésia.</v>
      </c>
      <c r="I102" s="3" t="str">
        <f>IFERROR(__xludf.DUMMYFUNCTION("GOOGLETRANSLATE(E102)"),"#VALUE!")</f>
        <v>#VALUE!</v>
      </c>
    </row>
    <row r="103" ht="15.75" customHeight="1">
      <c r="A103" s="1">
        <v>101.0</v>
      </c>
      <c r="B103" s="3" t="s">
        <v>382</v>
      </c>
      <c r="C103" s="3" t="s">
        <v>383</v>
      </c>
      <c r="D103" s="3" t="s">
        <v>384</v>
      </c>
      <c r="E103" s="3" t="s">
        <v>385</v>
      </c>
      <c r="F103" s="3" t="str">
        <f>IFERROR(__xludf.DUMMYFUNCTION("GOOGLETRANSLATE(B103)")," O caminho natural")</f>
        <v> O caminho natural</v>
      </c>
      <c r="G103" s="3" t="str">
        <f>IFERROR(__xludf.DUMMYFUNCTION("GOOGLETRANSLATE(C103)"),"que interpretou Warren em Orange é o novo preto")</f>
        <v>que interpretou Warren em Orange é o novo preto</v>
      </c>
      <c r="H103" s="3" t="str">
        <f>IFERROR(__xludf.DUMMYFUNCTION("GOOGLETRANSLATE(D103)")," Uzoamaka nwanneka `` uzo '' aduba ( / ˈuːzoʊ əˈduːbə /; nascido em 10 de fevereiro de 1981) é uma atriz americana. Ela é conhecida por seu papel como Suzanne `` Crazy Eyes '' Warren na série original da Netflix Orange is The New Black (2013 - presente), "&amp;"para a qual ganhou um prêmio Emmy por excelente atriz convidada em uma série de comédia em 2014, Um prêmio Emmy de excelente atriz coadjuvante em uma série de drama em 2015 e dois prêmios Screen Actors Guild por excelente desempenho de uma ator de uma sér"&amp;"ie de comédia em 2014 e 2015. Ela é uma das únicas dois atores a ganhar um reconhecimento do Emmy Award nas categorias de comédia e drama para o mesmo papel, sendo o outro Ed Asner para o personagem Lou Grant.")</f>
        <v> Uzoamaka nwanneka `` uzo '' aduba ( / ˈuːzoʊ əˈduːbə /; nascido em 10 de fevereiro de 1981) é uma atriz americana. Ela é conhecida por seu papel como Suzanne `` Crazy Eyes '' Warren na série original da Netflix Orange is The New Black (2013 - presente), para a qual ganhou um prêmio Emmy por excelente atriz convidada em uma série de comédia em 2014, Um prêmio Emmy de excelente atriz coadjuvante em uma série de drama em 2015 e dois prêmios Screen Actors Guild por excelente desempenho de uma ator de uma série de comédia em 2014 e 2015. Ela é uma das únicas dois atores a ganhar um reconhecimento do Emmy Award nas categorias de comédia e drama para o mesmo papel, sendo o outro Ed Asner para o personagem Lou Grant.</v>
      </c>
      <c r="I103" s="3" t="str">
        <f>IFERROR(__xludf.DUMMYFUNCTION("GOOGLETRANSLATE(E103)"),"Irmãos sugeridos")</f>
        <v>Irmãos sugeridos</v>
      </c>
    </row>
    <row r="104" ht="15.75" customHeight="1">
      <c r="A104" s="1">
        <v>102.0</v>
      </c>
      <c r="B104" s="3" t="s">
        <v>386</v>
      </c>
      <c r="C104" s="3" t="s">
        <v>387</v>
      </c>
      <c r="D104" s="3" t="s">
        <v>388</v>
      </c>
      <c r="F104" s="3" t="str">
        <f>IFERROR(__xludf.DUMMYFUNCTION("GOOGLETRANSLATE(B104)")," Boyz e o capô")</f>
        <v> Boyz e o capô</v>
      </c>
      <c r="G104" s="3" t="str">
        <f>IFERROR(__xludf.DUMMYFUNCTION("GOOGLETRANSLATE(C104)"),"que jogou Tre em Boyz no capô")</f>
        <v>que jogou Tre em Boyz no capô</v>
      </c>
      <c r="H104" s="3" t="str">
        <f>IFERROR(__xludf.DUMMYFUNCTION("GOOGLETRANSLATE(D104)"),"  Cuba Gooding Jr. como estilos de Tre Desi Arnez Hines II como um cubo de gelo com 10 anos como Darrin `` Doughboy '' Baker Baha Jackson como Doughboy com 10 anos de Morris Chestnut como Ricky Baker Donovan McCrary como Ricky, 10 anos de idade Laurence F"&amp;"ishburne (Larry Fishburn) como Jason `` furioso '' estilos jr. Nia, desde Brandi Nicole Brown como Brandi, 10 anos, Angela Bassett como Reva Styles Tyra Ferrell como Brenda Baker Redge Green como Chris Kenneth A. Brown como Chris com 10 anos Dedrick D. Go"&amp;"bert como Dooky Baldwin C. Sykes como monstro Tracey Lewis - Sinclair como Shaniqua Alysia Rogers como Shanice Regina King como Shalika Lexie Bigham como Mad Dog Raymond Turner como Ferris Lloyd Avery II como Ferris 'Triggerman (Knucklehead # 2)")</f>
        <v>  Cuba Gooding Jr. como estilos de Tre Desi Arnez Hines II como um cubo de gelo com 10 anos como Darrin `` Doughboy '' Baker Baha Jackson como Doughboy com 10 anos de Morris Chestnut como Ricky Baker Donovan McCrary como Ricky, 10 anos de idade Laurence Fishburne (Larry Fishburn) como Jason `` furioso '' estilos jr. Nia, desde Brandi Nicole Brown como Brandi, 10 anos, Angela Bassett como Reva Styles Tyra Ferrell como Brenda Baker Redge Green como Chris Kenneth A. Brown como Chris com 10 anos Dedrick D. Gobert como Dooky Baldwin C. Sykes como monstro Tracey Lewis - Sinclair como Shaniqua Alysia Rogers como Shanice Regina King como Shalika Lexie Bigham como Mad Dog Raymond Turner como Ferris Lloyd Avery II como Ferris 'Triggerman (Knucklehead # 2)</v>
      </c>
      <c r="I104" s="3" t="str">
        <f>IFERROR(__xludf.DUMMYFUNCTION("GOOGLETRANSLATE(E104)"),"#VALUE!")</f>
        <v>#VALUE!</v>
      </c>
    </row>
    <row r="105" ht="15.75" customHeight="1">
      <c r="A105" s="1">
        <v>103.0</v>
      </c>
      <c r="B105" s="3" t="s">
        <v>389</v>
      </c>
      <c r="C105" s="3" t="s">
        <v>390</v>
      </c>
      <c r="D105" s="3" t="s">
        <v>391</v>
      </c>
      <c r="F105" s="3" t="str">
        <f>IFERROR(__xludf.DUMMYFUNCTION("GOOGLETRANSLATE(B105)")," Patricia Kalember")</f>
        <v> Patricia Kalember</v>
      </c>
      <c r="G105" s="3" t="str">
        <f>IFERROR(__xludf.DUMMYFUNCTION("GOOGLETRANSLATE(C105)"),"Quem interpreta Marka Nichols em Orange é o novo preto")</f>
        <v>Quem interpreta Marka Nichols em Orange é o novo preto</v>
      </c>
      <c r="H105" s="3" t="str">
        <f>IFERROR(__xludf.DUMMYFUNCTION("GOOGLETRANSLATE(D105)"),"   Ano Notas de papel do título 1981 Episódio do Texas Meredith: `` 1.339 '' 1983 - 1984 Loving Merrill Vochek Series Regular 1985 Brass Lori Cartwright TV Pilot 1985 The Equalizer Carlene Randall Episódio: `` Pilot '' 1986 Kay O'Brien Dr. Kay ' Kayo 'O'B"&amp;"rien Series regular, 13 episódios O empate Dr. Stephanie Davis Episódio: `` Coal Black Soul' '1988 Just In Time Joanna Farrell Series regular, 6 episódios 1988 ABC ABC Afterchool Especial Maria Acero Episódio: `` Data de estupro' ' 1989 - 1991 Trinta e al"&amp;"go Susannah Hart Recorrente, 15 episódios 1991 - 1996 Irmãs Georgiana 'Georgie' Reed Whitsig Series Regular, 127 episódios 1997 Edição Early Dr. Price Episódio: `` Love Is Blind '' 1997 Michael Hayes Dr. Episódio: `` The Doctor 'S. Tale' 'Lei e Ordem: Uni"&amp;"dade de Vítimas Especiais Leslie DeSantis Episódio: `` Folly' '2002 Tocada por um episódio de Angel Janice Lowry: `` Secreets and Lies' '2004 - 2010 Law &amp; Order : Juiz da unidade de vítimas especiais Taten Recurrente, 9 episódios 2008 Gossip Girl Sra. Boa"&amp;"rdman Episódio: `` Pode haver sangue '' A boa esposa Julie Bowers Episódio: `` Painkiller '' 2011 Fins de semana na Bellevue Lucinda TV Pilot 2011 . Keller Recurrejamento Recorrente, 3 episódios 2012 Cola branca Sra. Holloman Episódio: `` Dia do julgament"&amp;"o '' 2013 - 2018 Orange é o novo papel recorrente de Marka Nichols preto, 4 episódios 2014 Olive Kitteridge Joyce HBO Minissérie; Episódio: `` Tide de entrada '' 2014 `` Power '' Kate Egan 2018 `` The Blacklist '' Episódio: `` The Invisible Hand ''")</f>
        <v>   Ano Notas de papel do título 1981 Episódio do Texas Meredith: `` 1.339 '' 1983 - 1984 Loving Merrill Vochek Series Regular 1985 Brass Lori Cartwright TV Pilot 1985 The Equalizer Carlene Randall Episódio: `` Pilot '' 1986 Kay O'Brien Dr. Kay ' Kayo 'O'Brien Series regular, 13 episódios O empate Dr. Stephanie Davis Episódio: `` Coal Black Soul' '1988 Just In Time Joanna Farrell Series regular, 6 episódios 1988 ABC ABC Afterchool Especial Maria Acero Episódio: `` Data de estupro' ' 1989 - 1991 Trinta e algo Susannah Hart Recorrente, 15 episódios 1991 - 1996 Irmãs Georgiana 'Georgie' Reed Whitsig Series Regular, 127 episódios 1997 Edição Early Dr. Price Episódio: `` Love Is Blind '' 1997 Michael Hayes Dr. Episódio: `` The Doctor 'S. Tale' 'Lei e Ordem: Unidade de Vítimas Especiais Leslie DeSantis Episódio: `` Folly' '2002 Tocada por um episódio de Angel Janice Lowry: `` Secreets and Lies' '2004 - 2010 Law &amp; Order : Juiz da unidade de vítimas especiais Taten Recurrente, 9 episódios 2008 Gossip Girl Sra. Boardman Episódio: `` Pode haver sangue '' A boa esposa Julie Bowers Episódio: `` Painkiller '' 2011 Fins de semana na Bellevue Lucinda TV Pilot 2011 . Keller Recurrejamento Recorrente, 3 episódios 2012 Cola branca Sra. Holloman Episódio: `` Dia do julgamento '' 2013 - 2018 Orange é o novo papel recorrente de Marka Nichols preto, 4 episódios 2014 Olive Kitteridge Joyce HBO Minissérie; Episódio: `` Tide de entrada '' 2014 `` Power '' Kate Egan 2018 `` The Blacklist '' Episódio: `` The Invisible Hand ''</v>
      </c>
      <c r="I105" s="3" t="str">
        <f>IFERROR(__xludf.DUMMYFUNCTION("GOOGLETRANSLATE(E105)"),"#VALUE!")</f>
        <v>#VALUE!</v>
      </c>
    </row>
    <row r="106" ht="15.75" customHeight="1">
      <c r="A106" s="1">
        <v>104.0</v>
      </c>
      <c r="B106" s="3" t="s">
        <v>392</v>
      </c>
      <c r="C106" s="3" t="s">
        <v>393</v>
      </c>
      <c r="D106" s="3" t="s">
        <v>394</v>
      </c>
      <c r="F106" s="3" t="str">
        <f>IFERROR(__xludf.DUMMYFUNCTION("GOOGLETRANSLATE(B106)")," Lobos na Grã -Bretanha")</f>
        <v> Lobos na Grã -Bretanha</v>
      </c>
      <c r="G106" s="3" t="str">
        <f>IFERROR(__xludf.DUMMYFUNCTION("GOOGLETRANSLATE(C106)"),"Quando foi o último lobo morto na Escócia")</f>
        <v>Quando foi o último lobo morto na Escócia</v>
      </c>
      <c r="H106" s="3" t="str">
        <f>IFERROR(__xludf.DUMMYFUNCTION("GOOGLETRANSLATE(D106)")," Os lobos mais tarde causaram tantos danos aos rebanhos de gado de Sutherland que, em 1577, James VI tornou obrigatório caçar lobos três vezes por ano. As histórias do assassinato do suposto último lobo da Escócia variam. Os registros oficiais indicam que"&amp;" o último lobo escocês foi morto por Sir Ewen Cameron em 1680 em Killiecrankie (Perthshire), mas há relatos de que os lobos sobreviveram na Escócia até o século XVIII, e ainda existe um conto de um visto até 1888 .")</f>
        <v> Os lobos mais tarde causaram tantos danos aos rebanhos de gado de Sutherland que, em 1577, James VI tornou obrigatório caçar lobos três vezes por ano. As histórias do assassinato do suposto último lobo da Escócia variam. Os registros oficiais indicam que o último lobo escocês foi morto por Sir Ewen Cameron em 1680 em Killiecrankie (Perthshire), mas há relatos de que os lobos sobreviveram na Escócia até o século XVIII, e ainda existe um conto de um visto até 1888 .</v>
      </c>
      <c r="I106" s="3" t="str">
        <f>IFERROR(__xludf.DUMMYFUNCTION("GOOGLETRANSLATE(E106)"),"#VALUE!")</f>
        <v>#VALUE!</v>
      </c>
    </row>
    <row r="107" ht="15.75" customHeight="1">
      <c r="A107" s="1">
        <v>105.0</v>
      </c>
      <c r="B107" s="3" t="s">
        <v>395</v>
      </c>
      <c r="C107" s="3" t="s">
        <v>396</v>
      </c>
      <c r="D107" s="3" t="s">
        <v>397</v>
      </c>
      <c r="E107" s="3" t="s">
        <v>398</v>
      </c>
      <c r="F107" s="3" t="str">
        <f>IFERROR(__xludf.DUMMYFUNCTION("GOOGLETRANSLATE(B107)")," Inglaterra na Copa do Mundo da FIFA")</f>
        <v> Inglaterra na Copa do Mundo da FIFA</v>
      </c>
      <c r="G107" s="3" t="str">
        <f>IFERROR(__xludf.DUMMYFUNCTION("GOOGLETRANSLATE(C107)"),"Quando foi a última vez que a Inglaterra estava na semifinal da Copa do Mundo")</f>
        <v>Quando foi a última vez que a Inglaterra estava na semifinal da Copa do Mundo</v>
      </c>
      <c r="H107" s="3" t="str">
        <f>IFERROR(__xludf.DUMMYFUNCTION("GOOGLETRANSLATE(D107)"),"   Posição durante todo o ano GP D * GF GA GD 1930 Não é um membro da FIFA 1934 1938 1950 Etapa do grupo 8th 0 0 1954 Quarter - Finals 7th 8 8 0 1958 Etapa do grupo 11th 0 5 - 1 1962 Quarter - Final 6 5 0 11 8 1970 Quarter - Finals 8º 0 0 Não qualificou 1"&amp;"978 1982 Etapa do segundo grupo 6th 5 0 6 5 1986 Quarter - final 8º 5 7 7 1990 Semi -finais 4th 7 8 6 1994 não qualificou 1998 rodada de 16 9th 7 2002 Quarter - Finals 6th 5 6 2006 Quarter - final 7th 5 0 6 Rodada de 16 13th 5 - 2 2014 Etapa do grupo 26th"&amp;" 0 - 2 2018 Semi -finais 4º 7 12 8 2022 TBD 2026 Total 15/11 1 Título 69 29 21 19 91 91 64 27")</f>
        <v>   Posição durante todo o ano GP D * GF GA GD 1930 Não é um membro da FIFA 1934 1938 1950 Etapa do grupo 8th 0 0 1954 Quarter - Finals 7th 8 8 0 1958 Etapa do grupo 11th 0 5 - 1 1962 Quarter - Final 6 5 0 11 8 1970 Quarter - Finals 8º 0 0 Não qualificou 1978 1982 Etapa do segundo grupo 6th 5 0 6 5 1986 Quarter - final 8º 5 7 7 1990 Semi -finais 4th 7 8 6 1994 não qualificou 1998 rodada de 16 9th 7 2002 Quarter - Finals 6th 5 6 2006 Quarter - final 7th 5 0 6 Rodada de 16 13th 5 - 2 2014 Etapa do grupo 26th 0 - 2 2018 Semi -finais 4º 7 12 8 2022 TBD 2026 Total 15/11 1 Título 69 29 21 19 91 91 64 27</v>
      </c>
      <c r="I107" s="3" t="str">
        <f>IFERROR(__xludf.DUMMYFUNCTION("GOOGLETRANSLATE(E107)"),"2018")</f>
        <v>2018</v>
      </c>
    </row>
    <row r="108" ht="15.75" customHeight="1">
      <c r="A108" s="1">
        <v>106.0</v>
      </c>
      <c r="B108" s="3" t="s">
        <v>399</v>
      </c>
      <c r="C108" s="3" t="s">
        <v>400</v>
      </c>
      <c r="D108" s="3" t="s">
        <v>401</v>
      </c>
      <c r="F108" s="3" t="str">
        <f>IFERROR(__xludf.DUMMYFUNCTION("GOOGLETRANSLATE(B108)")," Ponteiro nulo")</f>
        <v> Ponteiro nulo</v>
      </c>
      <c r="G108" s="3" t="str">
        <f>IFERROR(__xludf.DUMMYFUNCTION("GOOGLETRANSLATE(C108)"),"qual é o valor de nulo em c")</f>
        <v>qual é o valor de nulo em c</v>
      </c>
      <c r="H108" s="3" t="str">
        <f>IFERROR(__xludf.DUMMYFUNCTION("GOOGLETRANSLATE(D108)")," Em C, dois ponteiros nulos de qualquer tipo têm garantia de comparar igual. A macro nula pré -processadora é definida como uma constante de ponteiro nulo definido - definido, que em C99 pode ser expressa portavelmente como o valor inteiro 0 convertido im"&amp;"plicitamente ou explicitamente ao tipo vazio * (ponteiro para anular). O padrão C não diz que o ponteiro nulo é o mesmo que o ponteiro do endereço de memória 0, embora esse possa ser o caso na prática. A desreferência de um ponteiro nulo é um comportament"&amp;"o indefinido em C, e uma implementação em conformidade pode assumir que qualquer ponteiro desreferenciado não é nulo.")</f>
        <v> Em C, dois ponteiros nulos de qualquer tipo têm garantia de comparar igual. A macro nula pré -processadora é definida como uma constante de ponteiro nulo definido - definido, que em C99 pode ser expressa portavelmente como o valor inteiro 0 convertido implicitamente ou explicitamente ao tipo vazio * (ponteiro para anular). O padrão C não diz que o ponteiro nulo é o mesmo que o ponteiro do endereço de memória 0, embora esse possa ser o caso na prática. A desreferência de um ponteiro nulo é um comportamento indefinido em C, e uma implementação em conformidade pode assumir que qualquer ponteiro desreferenciado não é nulo.</v>
      </c>
      <c r="I108" s="3" t="str">
        <f>IFERROR(__xludf.DUMMYFUNCTION("GOOGLETRANSLATE(E108)"),"#VALUE!")</f>
        <v>#VALUE!</v>
      </c>
    </row>
    <row r="109" ht="15.75" customHeight="1">
      <c r="A109" s="1">
        <v>107.0</v>
      </c>
      <c r="B109" s="3" t="s">
        <v>402</v>
      </c>
      <c r="C109" s="3" t="s">
        <v>403</v>
      </c>
      <c r="D109" s="3" t="s">
        <v>404</v>
      </c>
      <c r="E109" s="3" t="s">
        <v>405</v>
      </c>
      <c r="F109" s="3" t="str">
        <f>IFERROR(__xludf.DUMMYFUNCTION("GOOGLETRANSLATE(B109)")," Bataan Death March")</f>
        <v> Bataan Death March</v>
      </c>
      <c r="G109" s="3" t="str">
        <f>IFERROR(__xludf.DUMMYFUNCTION("GOOGLETRANSLATE(C109)"),"Onde a marcha da morte de Bataan aconteceu")</f>
        <v>Onde a marcha da morte de Bataan aconteceu</v>
      </c>
      <c r="H109" s="3" t="str">
        <f>IFERROR(__xludf.DUMMYFUNCTION("GOOGLETRANSLATE(D109)")," A Marcha da Morte de Bataan (Filipino: Marchang Kamatayan em Bataan; Japanese: Japão: ぐタび 恳 恳 死 恳 死 恳 死 恳 死 ね 死 恳 死 ね 死 ね 死 死 死 om ímãs om, ponto, Bataan e Mariveles to acampamento O'Donnell, Capas, Tarlac, via San Fernando, Pampanga, onde os prisioneiro"&amp;"s foram didos a A transferência começou em 9 de abril de 1942, após a batalha de três meses de Bataan nas Filipinas durante a Segunda Guerra Mundial A distância total marchou de Mariveles para San Fernando e da estação de trem de Capas para Camp O'Donnell"&amp;" é ventosia relatada por diferentes fontes de origem como entre 60 e 69,6 milhas (96,6 e 112,0 km) Fontes diferentes também relatam as vítimas de prisioneiros de guerra amplamente diferentes antes de chegar a Camp O'Donnell: de 5.000 a 18.000 mortes filip"&amp;"inas e 500 a 650 American Death durante a marcha A marcha foi caracterizada por abuso físico grave e lobo, e mais tarde foi julgado por uma comissão militar aliada como um crime de guerra japonês")</f>
        <v> A Marcha da Morte de Bataan (Filipino: Marchang Kamatayan em Bataan; Japanese: Japão: ぐタび 恳 恳 死 恳 死 恳 死 恳 死 ね 死 恳 死 ね 死 ね 死 死 死 om ímãs om, ponto, Bataan e Mariveles to acampamento O'Donnell, Capas, Tarlac, via San Fernando, Pampanga, onde os prisioneiros foram didos a A transferência começou em 9 de abril de 1942, após a batalha de três meses de Bataan nas Filipinas durante a Segunda Guerra Mundial A distância total marchou de Mariveles para San Fernando e da estação de trem de Capas para Camp O'Donnell é ventosia relatada por diferentes fontes de origem como entre 60 e 69,6 milhas (96,6 e 112,0 km) Fontes diferentes também relatam as vítimas de prisioneiros de guerra amplamente diferentes antes de chegar a Camp O'Donnell: de 5.000 a 18.000 mortes filipinas e 500 a 650 American Death durante a marcha A marcha foi caracterizada por abuso físico grave e lobo, e mais tarde foi julgado por uma comissão militar aliada como um crime de guerra japonês</v>
      </c>
      <c r="I109" s="3" t="str">
        <f>IFERROR(__xludf.DUMMYFUNCTION("GOOGLETRANSLATE(E109)"),"De Sayain Point, Bagac, Bataan e Mariveles para Camp O'Donnell, Capas, Tarlac, via San Fernando, Pampanga, onde os prisioneiros são estanqueados nos trens")</f>
        <v>De Sayain Point, Bagac, Bataan e Mariveles para Camp O'Donnell, Capas, Tarlac, via San Fernando, Pampanga, onde os prisioneiros são estanqueados nos trens</v>
      </c>
    </row>
    <row r="110" ht="15.75" customHeight="1">
      <c r="A110" s="1">
        <v>108.0</v>
      </c>
      <c r="B110" s="3" t="s">
        <v>406</v>
      </c>
      <c r="C110" s="3" t="s">
        <v>407</v>
      </c>
      <c r="D110" s="3" t="s">
        <v>408</v>
      </c>
      <c r="E110" s="3" t="s">
        <v>409</v>
      </c>
      <c r="F110" s="3" t="str">
        <f>IFERROR(__xludf.DUMMYFUNCTION("GOOGLETRANSLATE(B110)")," Vince Carter")</f>
        <v> Vince Carter</v>
      </c>
      <c r="G110" s="3" t="str">
        <f>IFERROR(__xludf.DUMMYFUNCTION("GOOGLETRANSLATE(C110)"),"Vince Carter Career High Points em um jogo")</f>
        <v>Vince Carter Career High Points em um jogo</v>
      </c>
      <c r="H110" s="3" t="str">
        <f>IFERROR(__xludf.DUMMYFUNCTION("GOOGLETRANSLATE(D110)")," Pontos: 51 (2 vezes)")</f>
        <v> Pontos: 51 (2 vezes)</v>
      </c>
      <c r="I110" s="3" t="str">
        <f>IFERROR(__xludf.DUMMYFUNCTION("GOOGLETRANSLATE(E110)"),"51")</f>
        <v>51</v>
      </c>
    </row>
    <row r="111" ht="15.75" customHeight="1">
      <c r="A111" s="1">
        <v>109.0</v>
      </c>
      <c r="B111" s="3" t="s">
        <v>410</v>
      </c>
      <c r="C111" s="3" t="s">
        <v>411</v>
      </c>
      <c r="D111" s="3" t="s">
        <v>412</v>
      </c>
      <c r="E111" s="3" t="s">
        <v>413</v>
      </c>
      <c r="F111" s="3" t="str">
        <f>IFERROR(__xludf.DUMMYFUNCTION("GOOGLETRANSLATE(B111)")," Implante de microchip (animal)")</f>
        <v> Implante de microchip (animal)</v>
      </c>
      <c r="G111" s="3" t="str">
        <f>IFERROR(__xludf.DUMMYFUNCTION("GOOGLETRANSLATE(C111)"),"onde eles colocam o chip em cães")</f>
        <v>onde eles colocam o chip em cães</v>
      </c>
      <c r="H111" s="3" t="str">
        <f>IFERROR(__xludf.DUMMYFUNCTION("GOOGLETRANSLATE(D111)")," Em cães e gatos, os chips geralmente são inseridos abaixo da pele na parte de trás do pescoço entre as omoplatas na linha média dorsal. De acordo com uma referência, os animais de estimação da Europa Continental recebem o implante no lado esquerdo do pes"&amp;"coço. O chip pode frequentemente ser sentido sob a pele. Camadas finas de tecido conjuntivo se formam ao redor do implante e mantenha -o no lugar.")</f>
        <v> Em cães e gatos, os chips geralmente são inseridos abaixo da pele na parte de trás do pescoço entre as omoplatas na linha média dorsal. De acordo com uma referência, os animais de estimação da Europa Continental recebem o implante no lado esquerdo do pescoço. O chip pode frequentemente ser sentido sob a pele. Camadas finas de tecido conjuntivo se formam ao redor do implante e mantenha -o no lugar.</v>
      </c>
      <c r="I111" s="3" t="str">
        <f>IFERROR(__xludf.DUMMYFUNCTION("GOOGLETRANSLATE(E111)"),"geralmente inserido abaixo da pele na parte de trás do pescoço entre as omoplatas na linha média dorsal")</f>
        <v>geralmente inserido abaixo da pele na parte de trás do pescoço entre as omoplatas na linha média dorsal</v>
      </c>
    </row>
    <row r="112" ht="15.75" customHeight="1">
      <c r="A112" s="1">
        <v>110.0</v>
      </c>
      <c r="B112" s="3" t="s">
        <v>414</v>
      </c>
      <c r="C112" s="3" t="s">
        <v>415</v>
      </c>
      <c r="D112" s="3" t="s">
        <v>416</v>
      </c>
      <c r="F112" s="3" t="str">
        <f>IFERROR(__xludf.DUMMYFUNCTION("GOOGLETRANSLATE(B112)")," Coluna")</f>
        <v> Coluna</v>
      </c>
      <c r="G112" s="3" t="str">
        <f>IFERROR(__xludf.DUMMYFUNCTION("GOOGLETRANSLATE(C112)"),"Como você chama o topo de uma coluna")</f>
        <v>Como você chama o topo de uma coluna</v>
      </c>
      <c r="H112" s="3" t="str">
        <f>IFERROR(__xludf.DUMMYFUNCTION("GOOGLETRANSLATE(D112)")," No topo do eixo, há uma capital, sobre a qual o telhado ou outros elementos arquitetônicos descansam. No caso de colunas dóricas, a capital geralmente consiste em uma almofada redonda, afinada, ou equinus, apoiando uma laje quadrada, conhecida como Abax "&amp;"ou Abacus. As capitais iônicas apresentam um par de volutas ou rolos, enquanto as capitais coríntias são decoradas com relevos na forma de folhas de acanto. Qualquer tipo de capital pode ser acompanhado pelas mesmas molduras que a base. No caso de colunas"&amp;" livres - em pé, os elementos decorativos no topo do eixo são conhecidos como um finial.")</f>
        <v> No topo do eixo, há uma capital, sobre a qual o telhado ou outros elementos arquitetônicos descansam. No caso de colunas dóricas, a capital geralmente consiste em uma almofada redonda, afinada, ou equinus, apoiando uma laje quadrada, conhecida como Abax ou Abacus. As capitais iônicas apresentam um par de volutas ou rolos, enquanto as capitais coríntias são decoradas com relevos na forma de folhas de acanto. Qualquer tipo de capital pode ser acompanhado pelas mesmas molduras que a base. No caso de colunas livres - em pé, os elementos decorativos no topo do eixo são conhecidos como um finial.</v>
      </c>
      <c r="I112" s="3" t="str">
        <f>IFERROR(__xludf.DUMMYFUNCTION("GOOGLETRANSLATE(E112)"),"#VALUE!")</f>
        <v>#VALUE!</v>
      </c>
    </row>
    <row r="113" ht="15.75" customHeight="1">
      <c r="A113" s="1">
        <v>111.0</v>
      </c>
      <c r="B113" s="3" t="s">
        <v>417</v>
      </c>
      <c r="C113" s="3" t="s">
        <v>418</v>
      </c>
      <c r="D113" s="3" t="s">
        <v>419</v>
      </c>
      <c r="F113" s="3" t="str">
        <f>IFERROR(__xludf.DUMMYFUNCTION("GOOGLETRANSLATE(B113)")," Don Miguel Ruiz")</f>
        <v> Don Miguel Ruiz</v>
      </c>
      <c r="G113" s="3" t="str">
        <f>IFERROR(__xludf.DUMMYFUNCTION("GOOGLETRANSLATE(C113)"),"Quais são os quatro acordos do livro")</f>
        <v>Quais são os quatro acordos do livro</v>
      </c>
      <c r="H113" s="3" t="str">
        <f>IFERROR(__xludf.DUMMYFUNCTION("GOOGLETRANSLATE(D113)"),"  Seja impecável com sua palavra. Não tome nada para o lado pessoal. Não faça suposições. Sempre faça o seu melhor.")</f>
        <v>  Seja impecável com sua palavra. Não tome nada para o lado pessoal. Não faça suposições. Sempre faça o seu melhor.</v>
      </c>
      <c r="I113" s="3" t="str">
        <f>IFERROR(__xludf.DUMMYFUNCTION("GOOGLETRANSLATE(E113)"),"#VALUE!")</f>
        <v>#VALUE!</v>
      </c>
    </row>
    <row r="114" ht="15.75" customHeight="1">
      <c r="A114" s="1">
        <v>112.0</v>
      </c>
      <c r="B114" s="3" t="s">
        <v>420</v>
      </c>
      <c r="C114" s="3" t="s">
        <v>421</v>
      </c>
      <c r="D114" s="3" t="s">
        <v>422</v>
      </c>
      <c r="E114" s="3" t="s">
        <v>423</v>
      </c>
      <c r="F114" s="3" t="str">
        <f>IFERROR(__xludf.DUMMYFUNCTION("GOOGLETRANSLATE(B114)")," Oort Cloud")</f>
        <v> Oort Cloud</v>
      </c>
      <c r="G114" s="3" t="str">
        <f>IFERROR(__xludf.DUMMYFUNCTION("GOOGLETRANSLATE(C114)"),"Quanto tempo levará a Voyager para passar pela nuvem de Oort")</f>
        <v>Quanto tempo levará a Voyager para passar pela nuvem de Oort</v>
      </c>
      <c r="H114" s="3" t="str">
        <f>IFERROR(__xludf.DUMMYFUNCTION("GOOGLETRANSLATE(D114)")," As sondas espaciais ainda precisam chegar à área da nuvem de Oort. A Voyager 1, a mais rápida e mais distante das sondas espaciais interplanetárias que atualmente deixa o sistema solar, chegará à nuvem de Oort em cerca de 300 anos e levará cerca de 30.00"&amp;"0 anos para passar por ele. No entanto, por volta de 2025, os geradores termoelétricos do radioisótopo no Voyager 1 não fornecerão mais energia suficiente para operar nenhum de seus instrumentos científicos, impedindo qualquer exploração da Voyager 1. As "&amp;"outras quatro sondas que atualmente escapam do sistema solar já estão ou prevêem ser não funcionais quando atingem a nuvem de Oort; No entanto, pode ser possível encontrar um objeto da nuvem que foi derrubada no sistema solar interno.")</f>
        <v> As sondas espaciais ainda precisam chegar à área da nuvem de Oort. A Voyager 1, a mais rápida e mais distante das sondas espaciais interplanetárias que atualmente deixa o sistema solar, chegará à nuvem de Oort em cerca de 300 anos e levará cerca de 30.000 anos para passar por ele. No entanto, por volta de 2025, os geradores termoelétricos do radioisótopo no Voyager 1 não fornecerão mais energia suficiente para operar nenhum de seus instrumentos científicos, impedindo qualquer exploração da Voyager 1. As outras quatro sondas que atualmente escapam do sistema solar já estão ou prevêem ser não funcionais quando atingem a nuvem de Oort; No entanto, pode ser possível encontrar um objeto da nuvem que foi derrubada no sistema solar interno.</v>
      </c>
      <c r="I114" s="3" t="str">
        <f>IFERROR(__xludf.DUMMYFUNCTION("GOOGLETRANSLATE(E114)"),"cerca de 30.000 anos")</f>
        <v>cerca de 30.000 anos</v>
      </c>
    </row>
    <row r="115" ht="15.75" customHeight="1">
      <c r="A115" s="1">
        <v>113.0</v>
      </c>
      <c r="B115" s="3" t="s">
        <v>424</v>
      </c>
      <c r="C115" s="3" t="s">
        <v>425</v>
      </c>
      <c r="D115" s="3" t="s">
        <v>426</v>
      </c>
      <c r="E115" s="3" t="s">
        <v>427</v>
      </c>
      <c r="F115" s="3" t="str">
        <f>IFERROR(__xludf.DUMMYFUNCTION("GOOGLETRANSLATE(B115)")," Lista de finais da Copa da Escócia")</f>
        <v> Lista de finais da Copa da Escócia</v>
      </c>
      <c r="G115" s="3" t="str">
        <f>IFERROR(__xludf.DUMMYFUNCTION("GOOGLETRANSLATE(C115)"),"Quando o Rangers venceu pela última vez a Copa da Escócia")</f>
        <v>Quando o Rangers venceu pela última vez a Copa da Escócia</v>
      </c>
      <c r="H115" s="3" t="str">
        <f>IFERROR(__xludf.DUMMYFUNCTION("GOOGLETRANSLATE(D115)"),"   Vencedor da temporada Score Runner - Notas de atendimento do local UP 1873 - 74 Queen 's Park (1) 2 - 0 Clydesdale Hampden Park (original) 2.500 1874 - 75 Queen's Park (2) 3 - 0 Renton Hampden Park ( Original) 7.000 1875 -76 Queen's Park (3) 1 -1 3rd L"&amp;"anark RV Hamilton Crescent 6.000 (R) 2 -0 Hampden Park (original) 10.000 1876 -77 Vale de Leven (1) 1 - 1 Rangers Hamilton Crescent 8.000 (R) 1 - 1 Hamilton Crescent 15.000 (SR) 3 - 2 Hampden Park (original) 12.000 1877 - 78 Vale de Leven (2) 1 - 0 3º Lan"&amp;"ark RV Hampden Park (original) 5.000 1878 - 79 Vale de Leven (3) 1 - 1 Rangers Hampden Park (original) 9.000 (R) Walkingver Hampden Park (original) 1879 - 80 Queen's Park (4) 3 - 0 Thornliebank Hampden Park ( original) 4.000 1880 - 81 Queen's Park (5) 2 -"&amp;" 1 ‡ Dumbarton Kinning Park 15.000 (R) 3 - 1 Parque Kinning 10.000 1881 - 82 Queen's Park (6) 2 - 2 Dumbarton Cathkin Parque (primeiro) 12.500 (R) 4 - 1 Cathkin Park (primeiro) 14.000 1882 - 83 Dumbarton (1) 2 - 2 Vale de Leven Hampden Park (original) 15."&amp;"000 (R) 2 - 1 Hampden Park (original ) 12.000 1883 - 84 Queen's Park (7) Walkover Vale de Leven Cathkin Park (Primeiro) 1884 - 85 Renton (1) 0 - 0 Vale de Leven Hampden Park (Segundo) 3.000 (R) 3 - 1 Hampden Park (segundo) 5.500 1885 -86 Queen's Park (8) "&amp;"3 -1 Renton Cathkin Park (primeiro) 7.000 1886 -87 Hibernian (1) 2 -1 Dumbarton Hampden Park (Second) 15.000 1887 - 88 Renton (2) 6 - 1 Cambuslang Hampden Park (segundo) 10.000 1888 - 89 3º Lanark RV (1) 3 - 0 ‡ Celtic Hampden Park (Segundo) 17.000 (R) 2 "&amp;"- 1 Hampden Park (segundo) 13.000 1889 - 90 Queen's Park (9) 1 - 1 Vale de Leven Ibrox Park (primeiro) 11.000 (R) 2 - 1 Ibrox Park (Primeiro) 13.000 1890 - 91 Coração de Midlothian (1) 1 - - 0 Dumbarton Hampden Park (Segundo) 10.836 1891 - 92 Celtic (1) 1"&amp;" - 0 ‡ Park Park do Queen Ibrox Park (Primeiro) 40.000 (R) 5 - 1 IBROX Park (Primeiro) 26.000 1892 - 93 Queen Parque (10) 0 - 1 ‡ Celtic Ibrox Park (Primeiro) 18.771 (R) 2 - 1 IBROX Park (Primeiro) 13.239 1893 - 94 Rangers (1) 3 - 1 Celtic Hampden Park (S"&amp;"econd) 17.000 1894 - 95 St. Bernard's (1) 2 - 1 Renton Ibrox Park (Primeiro) 10.000 1895 - 96 Coração de Midlothian (2) 3 - 1 Hibernian New Logie Green 16.034 1896 - 97 Rangers (2) 5 - 1 Dumbarton Hampden Park (segundo) 14.000 1897 - 98 Rangers (3) 2 - 0 "&amp;"Kilmarnock Hampden Park (segundo) 13.000 1898 - 99 Celtic (2) 2 - 0 Rangers Hampden Park (segundo) 25.000 1899 - - 1900 CELTIC (3) 4 - 3 Parque de Queen Ibrox Park 15.000 1900 - 01 Heart of Midlothian (3) 4 - 3 Celtic Ibrox Park 15.000 1901 - 02 Hibernian"&amp;" (2) 1 - 0 Celtic Celtic Park Park 16.000 1902 -03 Rangers (4) 1 -1 Coração do Parque Celtic Midlothian 13.000 (R) 0 -0 Celtic Park 35.000 (SR) 2 -0 Celtic Park 30.000 1903 -04 Celtic (4) 3 - 2 Rangers Hampden Park 64.472 1904 - 05 Terceiro Lanark (2) 0 -"&amp;" 0 Rangers Hampden Park 54.000 (R) 3 - 1 Hampden Park 55.000 1905 - 06 Coração de Midlothian (4) 1 - 0 Terceiro Lanark Ibrox Park Park Ibrox Park 30.000 1906 - 07 Celtic (5) 3 - 0 Coração de Midlothian Hampden Park 50.000 1907 - 08 Celtic (6) 5 - 1 St Mir"&amp;"ren Hampden Park 58.000 1909 - 10 Dundee (1) 2 - 2 Clyde Ibrox Parque 60.000 (R) 0 - 0 * IBROX Park 25.000 (SR) 2 - 1 IBROX Park 25.000 1910 - 11 Celtic (7) 0 - 0 Hamilton Academical Ibrox Park 45.000 (R) 2 - 0 Ibrox Park 25.000 1911 - 12 Celtic (8) 2 - 0"&amp;" Clyde Ibrox Park 45.000 1912 - 13 Falkirk (1) 2 - 0 Raith Rovers Celtic Park 45.000 1913 - 14 Celtic (9) 0 - 0 Hibernian Ibrox Park 56.000 ( R) 4 - 1 IBROX Park 40.000 1919 - 20 Kilmarnock (1) 3 - 2 Albion Rovers Hampden Park 95.000 1920 - 21 Partick Thi"&amp;"stle (1) 1 - 0 Rangers Celtic Park 28.294 1921 - 22 Morton (1 ) 1 - 0 Rangers Hampden Park 70.000 1922 - 23 Celtic (10) 1 - 0 Hibernian Hampden Park 82.000 1923 - 24 Airdrieonians (1) 2 - 0 Hibernian Ibrox Park 65.000 1924 - 25 Celtic (11) 2 - 1 Dundee Ha"&amp;"mpden Park 75.317 1925- 26 St Mirren (1) 2- 0 Celtic Hampden Park 98.000 1926- 27 Celtic (12) 3- 1 East Fife Hampden Park 80.070 1927- 28 Rangers (5) 4 4 - 0 Celtic Hampden Park 118,115 1928- 29 Kilmarnock (2) 2- 0 Rangers Hampden Park 114.780 1929- 30 Ra"&amp;"ngers (6) 0- 0 Park Hampden Park 107.475 (R) 2- 1 Hampden Park 103,688 1930 - 31 Celtic (13) 2 - 2 Motherwell Hampden Park 104.863 (R) 4 - 2 Hampden Park 98.509 1931 - 32 Rangers (7) 1 - 1 Kilmarnock Hampden Park 112.000 (R) 3 - 0 Hampden Parque 104.600 1"&amp;"932 - 33 Celtic (14) 1 - 0 Motherwell Hampden Park 102.339 1933 - 34 Rangers (8) 5 - 0 St. Mirren Hampden Park 113.430 1934 - 35 Rangers (9) 2 - 1 Hamilton Academical Hampden Parque 87.740 1935 - 36 Rangers (10) 1 - 0 Terceiro Lanark Hampden Park 88.859 1"&amp;"936 - 37 Celtic (15) 2 - 1 Aberdeen Hampden Park 147.365 1937 - 38 East Fife (1) 1 - 1 Kilmarnock Hampden Parque 80.091 (R) 4 - 2 * Hampden Park 92.716 1938 - 39 Clyde (1) 4 - 0 Motherwell Hampden Park 94.000 1946 - 47 Aberdeen (1) 2 - 1 Hibernian Hampden"&amp;" Park 82,140 1947 - 48 Rangers (11) 1 -1 * Morton Hampden Park 129.176 (R) 1 -0 * Hampden Park 133.750 1948 -49 Rangers (12) 4 -1 Clyde Hampden Park 108.435 1949 -50 Rangers (13) 3 - 0 East Fife Hampden Park 118.262 1950 - 51 Celtic (16) 1 - 0 Motherwell "&amp;"Hampden Park 131.943 1951 - 52 Motherwell (1) 4 - 0 Dundee Hampden Park 136.274 1952 - 53 Rangers (14) 1 - 1 - 1 - 1 - 1 Aberdeen Hampden Park 129.761 (R) 1 - 0 Hampden Park 113.700 1953 - 54 Celtic (17) 2 - 1 Aberdeen Hampden Park 130.060 1954 - 55 Clyde"&amp;" (2) 1 - 1 Celtic Hampden Park 106,234 (R) 1 - 0 Hampden Park 68.831 1955- 56 Coração de Midlothian (5) 3- 1 Celtic Hampden Park 132.840 1956- 57 Falkirk (2) 1- 1 Kilmarnock Hampden Park 83.000 (R) 2- 1 * Hampden Park 79.785 1957 - 58 Clyde (3) 1 - 0 Hibe"&amp;"rnian Hampden Park 95.123 1958 - 59 St Mirren (2) 3 - 1 Aberdeen Hampden Park 108.591 1959 - 60 Rangers (15) 2 - 0 Kilmarnock Hampden Park 108,017 1960 - 61 Dunfermline Athletic (1) 0 - 0 Celtic Hampden Park 113.618 (R) 2 - 0 Hampden Park 87.866 1961 - 62"&amp;" Rangers (16) 2 - 0 St. Mirren Hampden Park 127,940 1962 - 63 Rangers ( 17) 1 - 1 Celtic Hampden Park 129.643 (R) 3 - 0 Hampden Park 120.273 1963 - 64 Rangers (18) 3 - 1 Dundee Hampden Park 120.982 1964 - 65 Celtic (18) 3 - 2 Dunfermline atlético atlético"&amp;" Hampden Park 108.800 1965 - 66 Rangers (19) 0 - 0 Celtic Hampden Park 126.552 (R) 1 - 0 Hampden Park 98.202 1966 - 67 Celtic (19) 2 - 0 Aberdeen Hampden Park 126.102 1967 - 68 Dunfermline Athletic (2) 3 - 1 Coração de Midlothian Hampden Park 56.365 1968 "&amp;"- 69 Celtic (20) 4 - 0 Rangers Hampden Park 132.000 1969 - 70 Aberdeen (2) 3 - 1 Celtic Hampden Park 108.434 1970 - 71 Celtic (21) 1 - 1 Rangers Hampden Park 120.092 (R) 2 - 1 Hampden Park 103.332 1971 - 72 Celtic (22) 6 - 1 Hibernian Hampden Park 106,102"&amp;" 1972 - 73 Rangers (20) 3 - 2 Celtic Hampden Park 122.714 1973 - 74 Celtic (23) 3 - 0 Dundee United Hampden Park 75.959 1974 - 75 Celtic (24) 3 - 1 Airdrieonians Hampden Park 75.457 1975 - 76 Rangers (21) 3 - 1 Coração de Midlothian Hampden Park 85.354 19"&amp;"76 - 77 Celtic (25) 1 - 0 Rangers Hampden Park 54.252 1977 - 78 Rangers (22) 2 - 1 Aberdeen Hampden Park 61.563 1978 - 79 Rangers (23) 0 - 0 Hibernian. Hampden Park 50.610 (R) 0 - 0 * Hampden Park 33.504 (SR) 3 - 2 * Hampden Park 30.602 1979 - 80 Celtic ("&amp;"26) 1 - 0 * Rangers Hampden Park 70.303 1980 - 81 Rangers (24) 0 - 0 * Dundee United Hampden Park 53.000 (R) 4 - 1 Hampden Park 43.099 1981 - 82 Aberdeen (3) 4 - 1 * Rangers Hampden Park 53.788 1982 - 83 Aberdeen (4) 1 - 0 * Rangers Hampden Park 62.979 19"&amp;"83 - 84 Aberdeen (5) 2 - 1 * Celtic Hampden Park 58.900 1984 - 85 Celtic (27) 2 - 1 Dundee United Hampden Park 60.346 1985 - 86 Aberdeen (6) 3 - 0 Coração de Midlothian Hampden Park 62.841 1986 - 87 St Mirren (3) 1 - 0 * Dundee United Hampden Park 51.782 "&amp;"1987 - 88 Celtic (28) 2 - 1 Dundee United Hampden Park 74.000 1988 - 89 Celtic (29) 1 - 0 Rangers Hampden Park 72.069 1989 - 90 Aberdeen (7) 0 - 0 † Celtic Hampden Park 60.493 1990 - 91 Motherwell (2) 4 - 3 * Dundee United Hampden Park 57.319 1991 - 92 Ra"&amp;"ngers (25 ) 2 - 1 Airdrieonians Hampden Park 44.045 1992 - 93 Rangers (26) 2 - 1 Aberdeen Celtic Park 50.715 1993 - 94 Dundee United (1) 1 - 0 Rangers Hampden Park 37.450 1994 - 95 Celtic (30) 1 - 0 Airdrieonians Hampden Park 36.915 1995 - 96 Rangers (27)"&amp;" 5 - 1 Coração de Midlothian Hampden Park 37.730 1996 - 97 Kilmarnock (3) 1 - 0 Falkirk Ibrox Stadium 48.953 1997 - 98 Heart of Midlothian ( 6) 2 - 1 Rangers Celtic Park 48.946 1998 - 99 Rangers (28) 1 - 0 Celtic Hampden Park 52.670 1999 - 00 Rangers (29)"&amp;" 4 - 0 Aberdeen Hampden Park 50.865 2000 - 01 Celtic (31) 3 - 0 Hibernian Hampden Park 51.824 2001 - 02 Rangers (30) 3 - 2 Celtic Hampden Park 51.138 2002 - 03 Rangers (31) 1 - 0 Dundee Hampden Park 47.136 2003 - 04 Celtic (32) 3 - 3 - - 1 Dunfermline Ath"&amp;"letic Hampden Park 50.846 2004 - 05 Celtic (33) 1 - 0 Dundee United Hampden Park 50.635 2005 - 06 Coração de Midlothian (7) 1 - 1 † Gretna Hampden Park 51.232 2006 - 07 Celtic (34 ) 1 - 0 Dunfermline Athletic Hampden Park 49.600 2007 - 08 Rangers (32) 3 -"&amp;" 2 Queen of the South Hampden Park 48.821 2008 - 09 Rangers (33) 1 - 0 Falkirk Hampden Park 50.956 2009 - 10 Dundeee United (2) 3 -0 Ross County Hampden Park 47.122 2010 -11 Celtic (35) 3 -0 Motherwell Hampden Park 49.618 2011 -12 Heart of Midlothian (8) "&amp;"5 -1 Hibernian Hampden Park 51.041 2012 - 13 Celtic (36) 3 - 0 Hibernian Hampden Park 51.254 2013 - 14 St Johnstone (1) 2 - 0 Dundee United Celtic Park 47.345 2014 - 15 Inverness Caledonian Thistle (1) 2 - 1 Falkirk Hampden Park 37.149 2015 2015 - 16 Hibe"&amp;"rnian (3) 3- 2 Rangers Hampden Park 50.701 2016- 17 Celtic (37) 2- 1 Aberdeen Hampden Park 48.713 2017- 18 Celtic (38) 2- 0 Motherwell Hampden Park 49.967")</f>
        <v>   Vencedor da temporada Score Runner - Notas de atendimento do local UP 1873 - 74 Queen 's Park (1) 2 - 0 Clydesdale Hampden Park (original) 2.500 1874 - 75 Queen's Park (2) 3 - 0 Renton Hampden Park ( Original) 7.000 1875 -76 Queen's Park (3) 1 -1 3rd Lanark RV Hamilton Crescent 6.000 (R) 2 -0 Hampden Park (original) 10.000 1876 -77 Vale de Leven (1) 1 - 1 Rangers Hamilton Crescent 8.000 (R) 1 - 1 Hamilton Crescent 15.000 (SR) 3 - 2 Hampden Park (original) 12.000 1877 - 78 Vale de Leven (2) 1 - 0 3º Lanark RV Hampden Park (original) 5.000 1878 - 79 Vale de Leven (3) 1 - 1 Rangers Hampden Park (original) 9.000 (R) Walkingver Hampden Park (original) 1879 - 80 Queen's Park (4) 3 - 0 Thornliebank Hampden Park ( original) 4.000 1880 - 81 Queen's Park (5) 2 - 1 ‡ Dumbarton Kinning Park 15.000 (R) 3 - 1 Parque Kinning 10.000 1881 - 82 Queen's Park (6) 2 - 2 Dumbarton Cathkin Parque (primeiro) 12.500 (R) 4 - 1 Cathkin Park (primeiro) 14.000 1882 - 83 Dumbarton (1) 2 - 2 Vale de Leven Hampden Park (original) 15.000 (R) 2 - 1 Hampden Park (original ) 12.000 1883 - 84 Queen's Park (7) Walkover Vale de Leven Cathkin Park (Primeiro) 1884 - 85 Renton (1) 0 - 0 Vale de Leven Hampden Park (Segundo) 3.000 (R) 3 - 1 Hampden Park (segundo) 5.500 1885 -86 Queen's Park (8) 3 -1 Renton Cathkin Park (primeiro) 7.000 1886 -87 Hibernian (1) 2 -1 Dumbarton Hampden Park (Second) 15.000 1887 - 88 Renton (2) 6 - 1 Cambuslang Hampden Park (segundo) 10.000 1888 - 89 3º Lanark RV (1) 3 - 0 ‡ Celtic Hampden Park (Segundo) 17.000 (R) 2 - 1 Hampden Park (segundo) 13.000 1889 - 90 Queen's Park (9) 1 - 1 Vale de Leven Ibrox Park (primeiro) 11.000 (R) 2 - 1 Ibrox Park (Primeiro) 13.000 1890 - 91 Coração de Midlothian (1) 1 - - 0 Dumbarton Hampden Park (Segundo) 10.836 1891 - 92 Celtic (1) 1 - 0 ‡ Park Park do Queen Ibrox Park (Primeiro) 40.000 (R) 5 - 1 IBROX Park (Primeiro) 26.000 1892 - 93 Queen Parque (10) 0 - 1 ‡ Celtic Ibrox Park (Primeiro) 18.771 (R) 2 - 1 IBROX Park (Primeiro) 13.239 1893 - 94 Rangers (1) 3 - 1 Celtic Hampden Park (Second) 17.000 1894 - 95 St. Bernard's (1) 2 - 1 Renton Ibrox Park (Primeiro) 10.000 1895 - 96 Coração de Midlothian (2) 3 - 1 Hibernian New Logie Green 16.034 1896 - 97 Rangers (2) 5 - 1 Dumbarton Hampden Park (segundo) 14.000 1897 - 98 Rangers (3) 2 - 0 Kilmarnock Hampden Park (segundo) 13.000 1898 - 99 Celtic (2) 2 - 0 Rangers Hampden Park (segundo) 25.000 1899 - - 1900 CELTIC (3) 4 - 3 Parque de Queen Ibrox Park 15.000 1900 - 01 Heart of Midlothian (3) 4 - 3 Celtic Ibrox Park 15.000 1901 - 02 Hibernian (2) 1 - 0 Celtic Celtic Park Park 16.000 1902 -03 Rangers (4) 1 -1 Coração do Parque Celtic Midlothian 13.000 (R) 0 -0 Celtic Park 35.000 (SR) 2 -0 Celtic Park 30.000 1903 -04 Celtic (4) 3 - 2 Rangers Hampden Park 64.472 1904 - 05 Terceiro Lanark (2) 0 - 0 Rangers Hampden Park 54.000 (R) 3 - 1 Hampden Park 55.000 1905 - 06 Coração de Midlothian (4) 1 - 0 Terceiro Lanark Ibrox Park Park Ibrox Park 30.000 1906 - 07 Celtic (5) 3 - 0 Coração de Midlothian Hampden Park 50.000 1907 - 08 Celtic (6) 5 - 1 St Mirren Hampden Park 58.000 1909 - 10 Dundee (1) 2 - 2 Clyde Ibrox Parque 60.000 (R) 0 - 0 * IBROX Park 25.000 (SR) 2 - 1 IBROX Park 25.000 1910 - 11 Celtic (7) 0 - 0 Hamilton Academical Ibrox Park 45.000 (R) 2 - 0 Ibrox Park 25.000 1911 - 12 Celtic (8) 2 - 0 Clyde Ibrox Park 45.000 1912 - 13 Falkirk (1) 2 - 0 Raith Rovers Celtic Park 45.000 1913 - 14 Celtic (9) 0 - 0 Hibernian Ibrox Park 56.000 ( R) 4 - 1 IBROX Park 40.000 1919 - 20 Kilmarnock (1) 3 - 2 Albion Rovers Hampden Park 95.000 1920 - 21 Partick Thistle (1) 1 - 0 Rangers Celtic Park 28.294 1921 - 22 Morton (1 ) 1 - 0 Rangers Hampden Park 70.000 1922 - 23 Celtic (10) 1 - 0 Hibernian Hampden Park 82.000 1923 - 24 Airdrieonians (1) 2 - 0 Hibernian Ibrox Park 65.000 1924 - 25 Celtic (11) 2 - 1 Dundee Hampden Park 75.317 1925- 26 St Mirren (1) 2- 0 Celtic Hampden Park 98.000 1926- 27 Celtic (12) 3- 1 East Fife Hampden Park 80.070 1927- 28 Rangers (5) 4 4 - 0 Celtic Hampden Park 118,115 1928- 29 Kilmarnock (2) 2- 0 Rangers Hampden Park 114.780 1929- 30 Rangers (6) 0- 0 Park Hampden Park 107.475 (R) 2- 1 Hampden Park 103,688 1930 - 31 Celtic (13) 2 - 2 Motherwell Hampden Park 104.863 (R) 4 - 2 Hampden Park 98.509 1931 - 32 Rangers (7) 1 - 1 Kilmarnock Hampden Park 112.000 (R) 3 - 0 Hampden Parque 104.600 1932 - 33 Celtic (14) 1 - 0 Motherwell Hampden Park 102.339 1933 - 34 Rangers (8) 5 - 0 St. Mirren Hampden Park 113.430 1934 - 35 Rangers (9) 2 - 1 Hamilton Academical Hampden Parque 87.740 1935 - 36 Rangers (10) 1 - 0 Terceiro Lanark Hampden Park 88.859 1936 - 37 Celtic (15) 2 - 1 Aberdeen Hampden Park 147.365 1937 - 38 East Fife (1) 1 - 1 Kilmarnock Hampden Parque 80.091 (R) 4 - 2 * Hampden Park 92.716 1938 - 39 Clyde (1) 4 - 0 Motherwell Hampden Park 94.000 1946 - 47 Aberdeen (1) 2 - 1 Hibernian Hampden Park 82,140 1947 - 48 Rangers (11) 1 -1 * Morton Hampden Park 129.176 (R) 1 -0 * Hampden Park 133.750 1948 -49 Rangers (12) 4 -1 Clyde Hampden Park 108.435 1949 -50 Rangers (13) 3 - 0 East Fife Hampden Park 118.262 1950 - 51 Celtic (16) 1 - 0 Motherwell Hampden Park 131.943 1951 - 52 Motherwell (1) 4 - 0 Dundee Hampden Park 136.274 1952 - 53 Rangers (14) 1 - 1 - 1 - 1 - 1 Aberdeen Hampden Park 129.761 (R) 1 - 0 Hampden Park 113.700 1953 - 54 Celtic (17) 2 - 1 Aberdeen Hampden Park 130.060 1954 - 55 Clyde (2) 1 - 1 Celtic Hampden Park 106,234 (R) 1 - 0 Hampden Park 68.831 1955- 56 Coração de Midlothian (5) 3- 1 Celtic Hampden Park 132.840 1956- 57 Falkirk (2) 1- 1 Kilmarnock Hampden Park 83.000 (R) 2- 1 * Hampden Park 79.785 1957 - 58 Clyde (3) 1 - 0 Hibernian Hampden Park 95.123 1958 - 59 St Mirren (2) 3 - 1 Aberdeen Hampden Park 108.591 1959 - 60 Rangers (15) 2 - 0 Kilmarnock Hampden Park 108,017 1960 - 61 Dunfermline Athletic (1) 0 - 0 Celtic Hampden Park 113.618 (R) 2 - 0 Hampden Park 87.866 1961 - 62 Rangers (16) 2 - 0 St. Mirren Hampden Park 127,940 1962 - 63 Rangers ( 17) 1 - 1 Celtic Hampden Park 129.643 (R) 3 - 0 Hampden Park 120.273 1963 - 64 Rangers (18) 3 - 1 Dundee Hampden Park 120.982 1964 - 65 Celtic (18) 3 - 2 Dunfermline atlético atlético Hampden Park 108.800 1965 - 66 Rangers (19) 0 - 0 Celtic Hampden Park 126.552 (R) 1 - 0 Hampden Park 98.202 1966 - 67 Celtic (19) 2 - 0 Aberdeen Hampden Park 126.102 1967 - 68 Dunfermline Athletic (2) 3 - 1 Coração de Midlothian Hampden Park 56.365 1968 - 69 Celtic (20) 4 - 0 Rangers Hampden Park 132.000 1969 - 70 Aberdeen (2) 3 - 1 Celtic Hampden Park 108.434 1970 - 71 Celtic (21) 1 - 1 Rangers Hampden Park 120.092 (R) 2 - 1 Hampden Park 103.332 1971 - 72 Celtic (22) 6 - 1 Hibernian Hampden Park 106,102 1972 - 73 Rangers (20) 3 - 2 Celtic Hampden Park 122.714 1973 - 74 Celtic (23) 3 - 0 Dundee United Hampden Park 75.959 1974 - 75 Celtic (24) 3 - 1 Airdrieonians Hampden Park 75.457 1975 - 76 Rangers (21) 3 - 1 Coração de Midlothian Hampden Park 85.354 1976 - 77 Celtic (25) 1 - 0 Rangers Hampden Park 54.252 1977 - 78 Rangers (22) 2 - 1 Aberdeen Hampden Park 61.563 1978 - 79 Rangers (23) 0 - 0 Hibernian. Hampden Park 50.610 (R) 0 - 0 * Hampden Park 33.504 (SR) 3 - 2 * Hampden Park 30.602 1979 - 80 Celtic (26) 1 - 0 * Rangers Hampden Park 70.303 1980 - 81 Rangers (24) 0 - 0 * Dundee United Hampden Park 53.000 (R) 4 - 1 Hampden Park 43.099 1981 - 82 Aberdeen (3) 4 - 1 * Rangers Hampden Park 53.788 1982 - 83 Aberdeen (4) 1 - 0 * Rangers Hampden Park 62.979 1983 - 84 Aberdeen (5) 2 - 1 * Celtic Hampden Park 58.900 1984 - 85 Celtic (27) 2 - 1 Dundee United Hampden Park 60.346 1985 - 86 Aberdeen (6) 3 - 0 Coração de Midlothian Hampden Park 62.841 1986 - 87 St Mirren (3) 1 - 0 * Dundee United Hampden Park 51.782 1987 - 88 Celtic (28) 2 - 1 Dundee United Hampden Park 74.000 1988 - 89 Celtic (29) 1 - 0 Rangers Hampden Park 72.069 1989 - 90 Aberdeen (7) 0 - 0 † Celtic Hampden Park 60.493 1990 - 91 Motherwell (2) 4 - 3 * Dundee United Hampden Park 57.319 1991 - 92 Rangers (25 ) 2 - 1 Airdrieonians Hampden Park 44.045 1992 - 93 Rangers (26) 2 - 1 Aberdeen Celtic Park 50.715 1993 - 94 Dundee United (1) 1 - 0 Rangers Hampden Park 37.450 1994 - 95 Celtic (30) 1 - 0 Airdrieonians Hampden Park 36.915 1995 - 96 Rangers (27) 5 - 1 Coração de Midlothian Hampden Park 37.730 1996 - 97 Kilmarnock (3) 1 - 0 Falkirk Ibrox Stadium 48.953 1997 - 98 Heart of Midlothian ( 6) 2 - 1 Rangers Celtic Park 48.946 1998 - 99 Rangers (28) 1 - 0 Celtic Hampden Park 52.670 1999 - 00 Rangers (29) 4 - 0 Aberdeen Hampden Park 50.865 2000 - 01 Celtic (31) 3 - 0 Hibernian Hampden Park 51.824 2001 - 02 Rangers (30) 3 - 2 Celtic Hampden Park 51.138 2002 - 03 Rangers (31) 1 - 0 Dundee Hampden Park 47.136 2003 - 04 Celtic (32) 3 - 3 - - 1 Dunfermline Athletic Hampden Park 50.846 2004 - 05 Celtic (33) 1 - 0 Dundee United Hampden Park 50.635 2005 - 06 Coração de Midlothian (7) 1 - 1 † Gretna Hampden Park 51.232 2006 - 07 Celtic (34 ) 1 - 0 Dunfermline Athletic Hampden Park 49.600 2007 - 08 Rangers (32) 3 - 2 Queen of the South Hampden Park 48.821 2008 - 09 Rangers (33) 1 - 0 Falkirk Hampden Park 50.956 2009 - 10 Dundeee United (2) 3 -0 Ross County Hampden Park 47.122 2010 -11 Celtic (35) 3 -0 Motherwell Hampden Park 49.618 2011 -12 Heart of Midlothian (8) 5 -1 Hibernian Hampden Park 51.041 2012 - 13 Celtic (36) 3 - 0 Hibernian Hampden Park 51.254 2013 - 14 St Johnstone (1) 2 - 0 Dundee United Celtic Park 47.345 2014 - 15 Inverness Caledonian Thistle (1) 2 - 1 Falkirk Hampden Park 37.149 2015 2015 - 16 Hibernian (3) 3- 2 Rangers Hampden Park 50.701 2016- 17 Celtic (37) 2- 1 Aberdeen Hampden Park 48.713 2017- 18 Celtic (38) 2- 0 Motherwell Hampden Park 49.967</v>
      </c>
      <c r="I115" s="3" t="str">
        <f>IFERROR(__xludf.DUMMYFUNCTION("GOOGLETRANSLATE(E115)"),"2008 - 09")</f>
        <v>2008 - 09</v>
      </c>
    </row>
    <row r="116" ht="15.75" customHeight="1">
      <c r="A116" s="1">
        <v>114.0</v>
      </c>
      <c r="B116" s="3" t="s">
        <v>428</v>
      </c>
      <c r="C116" s="3" t="s">
        <v>429</v>
      </c>
      <c r="D116" s="3" t="s">
        <v>430</v>
      </c>
      <c r="E116" s="3" t="s">
        <v>431</v>
      </c>
      <c r="F116" s="3" t="str">
        <f>IFERROR(__xludf.DUMMYFUNCTION("GOOGLETRANSLATE(B116)")," Síndrome de Reye")</f>
        <v> Síndrome de Reye</v>
      </c>
      <c r="G116" s="3" t="str">
        <f>IFERROR(__xludf.DUMMYFUNCTION("GOOGLETRANSLATE(C116)"),"Uma condição idiopática associada ao tratamento de asprina durante certas infecções virais")</f>
        <v>Uma condição idiopática associada ao tratamento de asprina durante certas infecções virais</v>
      </c>
      <c r="H116" s="3" t="str">
        <f>IFERROR(__xludf.DUMMYFUNCTION("GOOGLETRANSLATE(D116)")," A causa da síndrome de Reye é desconhecida. Geralmente começa logo após a recuperação de uma infecção viral, como influenza ou varicela. Cerca de 90 % dos casos estão associados ao uso de aspirina (salicilato) em crianças. Os erros inatos do metabolismo "&amp;"também são um fator de risco. Alterações nos exames de sangue podem incluir um nível de amônia no sangue alto, baixo nível de açúcar no sangue e tempo prolongado de protrombina. Muitas vezes, o fígado é aumentado.")</f>
        <v> A causa da síndrome de Reye é desconhecida. Geralmente começa logo após a recuperação de uma infecção viral, como influenza ou varicela. Cerca de 90 % dos casos estão associados ao uso de aspirina (salicilato) em crianças. Os erros inatos do metabolismo também são um fator de risco. Alterações nos exames de sangue podem incluir um nível de amônia no sangue alto, baixo nível de açúcar no sangue e tempo prolongado de protrombina. Muitas vezes, o fígado é aumentado.</v>
      </c>
      <c r="I116" s="3" t="str">
        <f>IFERROR(__xludf.DUMMYFUNCTION("GOOGLETRANSLATE(E116)"),"Síndrome de Reye")</f>
        <v>Síndrome de Reye</v>
      </c>
    </row>
    <row r="117" ht="15.75" customHeight="1">
      <c r="A117" s="1">
        <v>115.0</v>
      </c>
      <c r="B117" s="3" t="s">
        <v>432</v>
      </c>
      <c r="C117" s="3" t="s">
        <v>433</v>
      </c>
      <c r="D117" s="3" t="s">
        <v>434</v>
      </c>
      <c r="E117" s="3" t="s">
        <v>435</v>
      </c>
      <c r="F117" s="3" t="str">
        <f>IFERROR(__xludf.DUMMYFUNCTION("GOOGLETRANSLATE(B117)")," Dr. Quinn, Mulher Mulher")</f>
        <v> Dr. Quinn, Mulher Mulher</v>
      </c>
      <c r="G117" s="3" t="str">
        <f>IFERROR(__xludf.DUMMYFUNCTION("GOOGLETRANSLATE(C117)"),"que interpretou Anthony no Dr. Quinn Medicine Woman")</f>
        <v>que interpretou Anthony no Dr. Quinn Medicine Woman</v>
      </c>
      <c r="H117" s="3" t="str">
        <f>IFERROR(__xludf.DUMMYFUNCTION("GOOGLETRANSLATE(D117)"),"  Orson Bean - Loren Bray Jim Knobeloch - Jake Slicker Frank Collison - Horace Bing William Shockley - Hank Lawson Geoffrey Lower - Rev. Timothy Johnson Henry G. Sanders - Robert e. Larry Sellers - Black Hawk (piloto), DANGEIRA DE CLOUD Jonelle Allen - Gr"&amp;"ace Nick Ramus - Chief Black Kettle (Seasons 1 - 3) Heidi Kozak - Emily Donovan (temporada 1) Gail Strickland - Olive Davis (temporada 1) Jennifer Youngs - Ingrid (temporadas 1 - 4) Helene Udy - Myra Bing (Seasons 1 - 4; Guest: Temporada 5) Haylie Johnson"&amp;" - Becky Bonner (Seasons 1 - 6) Barbara Babcock - Dorothy Jennings ( Seasons 2 -6) Georgann Johnson -Elizabeth Quinn (temporadas 2 -6) Alley Mills -Marjorie Quinn (Temporada 2 -6) Elinor Donahue -Rebecka Quinn Dickinson (Seasons 2 -6) Charlotte Chatton - "&amp;"Emma (Seasons 4 e 5) Michelle Bonilla - Teresa Morales (5ª temporada) Alex Meneses - Teresa Morales Slicker (temporada 6) Brandon Douglas - Randolph Cummings (Episódio 4.16), Dr. Andrew Cook (Seasons 4 - 6) Jason Leland Adams -George Armstrong Custer (est"&amp;"ações 2 e 3), Preston A. Lodge III (temporadas 4 -6) John Schneider -Red McCall (episódio 1.09), Daniel Simon (Seasons 5 e 6) Brenden Jefferson - Anthony (temporada 4) Brandon Hammond - Anthony (Seasons 5 e 6) Ben Murphy - Ethan Cooper (Temporada 1 - 3)")</f>
        <v>  Orson Bean - Loren Bray Jim Knobeloch - Jake Slicker Frank Collison - Horace Bing William Shockley - Hank Lawson Geoffrey Lower - Rev. Timothy Johnson Henry G. Sanders - Robert e. Larry Sellers - Black Hawk (piloto), DANGEIRA DE CLOUD Jonelle Allen - Grace Nick Ramus - Chief Black Kettle (Seasons 1 - 3) Heidi Kozak - Emily Donovan (temporada 1) Gail Strickland - Olive Davis (temporada 1) Jennifer Youngs - Ingrid (temporadas 1 - 4) Helene Udy - Myra Bing (Seasons 1 - 4; Guest: Temporada 5) Haylie Johnson - Becky Bonner (Seasons 1 - 6) Barbara Babcock - Dorothy Jennings ( Seasons 2 -6) Georgann Johnson -Elizabeth Quinn (temporadas 2 -6) Alley Mills -Marjorie Quinn (Temporada 2 -6) Elinor Donahue -Rebecka Quinn Dickinson (Seasons 2 -6) Charlotte Chatton - Emma (Seasons 4 e 5) Michelle Bonilla - Teresa Morales (5ª temporada) Alex Meneses - Teresa Morales Slicker (temporada 6) Brandon Douglas - Randolph Cummings (Episódio 4.16), Dr. Andrew Cook (Seasons 4 - 6) Jason Leland Adams -George Armstrong Custer (estações 2 e 3), Preston A. Lodge III (temporadas 4 -6) John Schneider -Red McCall (episódio 1.09), Daniel Simon (Seasons 5 e 6) Brenden Jefferson - Anthony (temporada 4) Brandon Hammond - Anthony (Seasons 5 e 6) Ben Murphy - Ethan Cooper (Temporada 1 - 3)</v>
      </c>
      <c r="I117" s="3" t="str">
        <f>IFERROR(__xludf.DUMMYFUNCTION("GOOGLETRANSLATE(E117)"),"Brenden Jefferson")</f>
        <v>Brenden Jefferson</v>
      </c>
    </row>
    <row r="118" ht="15.75" customHeight="1">
      <c r="A118" s="1">
        <v>116.0</v>
      </c>
      <c r="B118" s="3" t="s">
        <v>436</v>
      </c>
      <c r="C118" s="3" t="s">
        <v>437</v>
      </c>
      <c r="D118" s="3" t="s">
        <v>438</v>
      </c>
      <c r="E118" s="3" t="s">
        <v>439</v>
      </c>
      <c r="F118" s="3" t="str">
        <f>IFERROR(__xludf.DUMMYFUNCTION("GOOGLETRANSLATE(B118)")," Bolo do Diabo")</f>
        <v> Bolo do Diabo</v>
      </c>
      <c r="G118" s="3" t="str">
        <f>IFERROR(__xludf.DUMMYFUNCTION("GOOGLETRANSLATE(C118)"),"Qual é a diferença entre comida do diabo e chocolate")</f>
        <v>Qual é a diferença entre comida do diabo e chocolate</v>
      </c>
      <c r="H118" s="3" t="str">
        <f>IFERROR(__xludf.DUMMYFUNCTION("GOOGLETRANSLATE(D118)")," O bolo de comida do Devil é um bolo de camada de chocolate úmido, arejado e rico. É considerado uma contraparte do bolo de comida de anjo branco ou amarelo. Devido a receitas diferentes e à mudança de disponibilidade de ingredientes ao longo do século XX"&amp;", é difícil qualificar com precisão o que distingue a comida do diabo do bolo de chocolate mais padrão, embora tradicionalmente tenha mais chocolate do que um bolo de chocolate comum, tornando -o mais escuro . O bolo geralmente é combinado com uma rica co"&amp;"bertura de chocolate.")</f>
        <v> O bolo de comida do Devil é um bolo de camada de chocolate úmido, arejado e rico. É considerado uma contraparte do bolo de comida de anjo branco ou amarelo. Devido a receitas diferentes e à mudança de disponibilidade de ingredientes ao longo do século XX, é difícil qualificar com precisão o que distingue a comida do diabo do bolo de chocolate mais padrão, embora tradicionalmente tenha mais chocolate do que um bolo de chocolate comum, tornando -o mais escuro . O bolo geralmente é combinado com uma rica cobertura de chocolate.</v>
      </c>
      <c r="I118" s="3" t="str">
        <f>IFERROR(__xludf.DUMMYFUNCTION("GOOGLETRANSLATE(E118)"),"Tradicionalmente, tem mais chocolate do que um bolo de chocolate comum")</f>
        <v>Tradicionalmente, tem mais chocolate do que um bolo de chocolate comum</v>
      </c>
    </row>
    <row r="119" ht="15.75" customHeight="1">
      <c r="A119" s="1">
        <v>117.0</v>
      </c>
      <c r="B119" s="3" t="s">
        <v>440</v>
      </c>
      <c r="C119" s="3" t="s">
        <v>441</v>
      </c>
      <c r="D119" s="3" t="s">
        <v>442</v>
      </c>
      <c r="F119" s="3" t="str">
        <f>IFERROR(__xludf.DUMMYFUNCTION("GOOGLETRANSLATE(B119)")," Campeonato Aberto das Mulheres dos Estados Unidos (golfe)")</f>
        <v> Campeonato Aberto das Mulheres dos Estados Unidos (golfe)</v>
      </c>
      <c r="G119" s="3" t="str">
        <f>IFERROR(__xludf.DUMMYFUNCTION("GOOGLETRANSLATE(C119)"),"que ganhou o golfe aberto das mulheres nos EUA")</f>
        <v>que ganhou o golfe aberto das mulheres nos EUA</v>
      </c>
      <c r="H119" s="3" t="str">
        <f>IFERROR(__xludf.DUMMYFUNCTION("GOOGLETRANSLATE(D119)"),"   Ano Campeão Campeão Campeão Localização do Local para a Par Purse ($) Compartilhamento de vencedores ($) 2017 Park Sung - Hyun Coréia do Sul Trump National Golf Club Bedminster, NJ 277 - 11 5.000.000 900.000 2016 Brittany Lang Lang Estados Unidos CORDE"&amp;"VALLE GOLF Club San Martin, CA 282 - 6 4.500.000 810.000 2015 chun em - gee corea Lancaster Country Club Lancaster, PA 272 - 8 4.500.000 810.000 2014 Michelle Wie United States Pinehurst Resort, Curso No. 2 Pinehurst, NC 278 - 2 4.000.000 720.000 2013 Inb"&amp;"ee Park (2) Sul) Korea Sebonack Golf Club Southampton, NY 280 - 8 3.250.000 585.000 2012 Choi Na - Yeon Coréia do Sul Blackwolf Run, Curso Composto Kohler, WI 281 - 7 3.250.000 585.000 2011 RYU SO - YOON Coréia do Sul Broadmo Golf Club, Curso Oriental, Co"&amp;"llorado, Collorado. - 3 3.250.000 585.000 Creamer Paula Estados Unidos Oakmont Country Club Oakmont, PA 281 - 3 3.250.000 585.000 2009 Eun - HEE Ji Ji Coréia do Sul Saucon Valley Country Club Bethlehem, PA 284 3,250.000 585.000 2008 INBEAÇÃO SUL MOREA INT"&amp;"ERLACHEN MENCHEN MENS 3.250.000 585.000 2007 Cristie Kerr Estados Unidos Lodge Lodge e Golf Club Southern Pines, NC 279 - 5 3.100.000 560.000 2006 Annika Sörenstam (3) Sweden Newport Country Club Clube, RI 284 3,100.000 560.000 2005 Birdie Kim Kim Country"&amp;" Clube , CO 287 + 3 3.100.000 560.000 MEG Mallon (2) Estados Unidos O Clube de Golfe de Orchards South Hadley, MA 274 - 10 3.100.000 560.000 2003 Hilary Lunke Estados Unidos Pumpkin Ridge Golf Club, Witch Hollow Course North Plains, ou 283 - 1 3,100.000 5"&amp;"60.000 2002 2002 Juli Inkster (2) Clube de Golfe de Prairie Dunes dos Estados Unidos Hutchinson, KS 276 - 4 3.000.000 535.000 2001 Karrie Webb (2) Australia Pine agulhas Lodge e Golf Club Southern Pines, NC 273 - 7.900.000 520.000 2000 2000 Karrie Webb Au"&amp;"stralia Merit Merit Club 282 - 6 2.750.000 500.000 1999 Juli Inkster Estados Unidos Old Waverly Golf Club West Point, MS 272 - 16 1.750.000 315.000 1998 Pak SE - RI Coréia do Sul Blackwolf Run, Curso Composto Kohler, Wi 290 + 6 1,500.000 267,500 1997 Alis"&amp;"on Nichler Clube, Witch Hollow Course North Plains, ou 274 - 10 1.300.000 232.500 Annika Sörenstam (2) Suécia Lodge Lodge e Golf Club Southern Pines, NC 272 - 8 1.200.000 212.500 1995 Annika Sörensts Sweden Sweden Broadmoor Golf Cluf, Curso - 2 1.000.000 "&amp;"175.000 1994 Patty Sheehan (2) Clube de Golfe e Country da Indianwood dos Estados Unidos, Old Course Lake Orion, MI 277 - 7 850.000 155.000 1993 Lauri Merten Estados Unidos Crooked Golf Club Carmel, em 280 - 8 800.000 144.000 1992 Pattyhan Sheehan United "&amp;"Estados Oakmont Country Club Oakmont, PA 280 - 4 700.000 130.000 1991 Meg Mallon Estados Unidos Clube de Country Colonial Fort Worth, TX 283 - 1 600.000 110.000 1990 Betsy King (2) Clube Athletic de Atlanta, Riverside Duluth, GA 284 - 400.000 500.000 85.0"&amp;"00 1989 Betsy King Estados Unidos Indianwood Golf and Country Club, Old Course Lake Orion, Mi 278 - 2 450.000 80.000 1988 Liselotte Neumann Suécia Baltimore Country Club, Cinco fazendas, Curso East Baltimore, MD 277 - 7 400.000 70.000 Laura Davies Plainfi"&amp;"eld Country Club Country Club Edison, NJ 285 - 3 325.000 55.000 1986 Jane Geddes Estados Unidos NCR Country Club Kettering, OH 287 - 1 300.000 50.000 1985 Kathy Baker Estados Unidos Baltusrol Golf Club, Upper Springfield, NJ 280 - 8 250.000 41.975 1984 Ho"&amp;"llis Stacy (3 280 - 80.000 41.975 1984 Hollis Stacy (3 280 - 80.000 41,975 1984 1984 Estados Salem Country Club Peabody, MA 290 + 2 225.000 36.000 Jan Stephenson Austrália Cedar Ridge Country Club Broken Arrow, OK 290 + 6 200.000 32.780 1982 Janet Alex Es"&amp;"tados Unidos Del Paso Clube Sacramento, CA 283 - 5 175.000 27.315 1981 Pat Bradley United States United States, La Grange Country Club La Grange, IL 279 - 9 150.000 22.000 1980 AMY ALCOTT Estados Unidos Richland Country Club Nashville, TN 280 - 4 140.000 "&amp;"20.047 1979 Jerilyn Britz Estados Unidos Brooklawn Country Club Fairfield, CT 284 125.000 19.000 1978 Hollis Stacy (2) United United Clube do país de Indianapolis Indianapolis, em 289 + 5 100.000 15.000 1977 Hollis Stacy Estados Unidos Hazeltine National "&amp;"Golf Club Chaska, MN 292 + 4 75.000 11.040 1976 Joanne Carner (2) Estados Unidos Rolling Green Golf Club Springfield, PA 292 + 8 60.000 9,054 Sandra Palmer, Estados Unidos, Atlantic City Country Club Northfield, NJ 295 + 7 55.000 8.044 Sandra Haynie Estad"&amp;"os Unidos La Grange Country Club La Grange, IL 295 + 7 40.000 6.073 1973 Susie Berning (3) Estados Unidos Clube de Country de Rochester, NY 290 + 2 40.000 6.000 1972 Susie Berning (2) Clube de golfe dos pés dos Estados Unidos, East Course Mamaroneck, NY 2"&amp;"99 + 11 40.000 6.000 1971 Joanne Carner Estados Unidos Kahkwa Club Erie, PA 288 31.000 5.000 1970 1970 Donna Caponi (2) Estados Unidos Muskoge Country Club Muskogee, OK 287 - 1 30.000 5.000 1969 Donna Caponi Estados Unidos Scenic Hills Country Club Pensac"&amp;"ola, FL 294 + 6 31.040 5.000 1968 Susie Berning Berning Estados Unidos Moselem Springs Golf Club Fleetwood, PA 289 + 5 25.000 5.000 1967 Catherine Lacoste (A) France Homestead Hot Springs, VA 294 + 6 25.000 0 1966 Sandra Spuzich Estados Unidos Hazeltine N"&amp;"ational Golf Club Chaska, MN 297 + 9 20.000 4.000 1965 Carol Mann Estados Unidos Atlantic City Club Northfield, NJ 290 + 2 17.780 3.800 1964 Mickey Wright (4) Estados Unidos San Diego Country Club Chula Vista, CA 290 - 2 9.900 2.090 1963 Mary Mills Estado"&amp;"s Unidos Kenwood Country Club Cincinnati, OH 289 - 3 9.000 1.900 1962 Murle Lindstrom Estados Unidos Dunes Golf and Beach Club Beach, SC 301 + 13 8. 8.000 1,800 1961 Mickey Wright (3) Estados Unidos Baltusrol Golf Club, Curso Lower Springfield, NJ 293 + 5"&amp;" 8.000 1.800 1960 Betsy Rawls (4) Estados Unidos Worcester Country Club Worcester, MA 292 + 4 7.200 1.710 1959 Mickey Wright (2) INCLUES Valley Country Club Pittsburgh, PA 287 - 1 7.200 1.800 1958 Mickey Wright Clube do País do Lago Florest dos Estados Un"&amp;"idos Bloomfield, MI 290 - 2 7.200 1.800 1957 Betsy Rawls (3) Estados Unidos Clube de Golf Winged Foot, Curso Leste, Mamaroneck, NY 299 + 7,20 1.800 1956 Kathy Cornelius Clube do Northland Country dos Estados Unidos Duluth, MN 302 + 11 6.000 1.500 1955 Fay"&amp;" Crocker Uruguai Wichita Country Club Wichita, KS 299 + 11 7.500 2.000 1954 Babe Zaharias (3) Salem dos Estados Unidos Clube Country Pea, Ma 29. 2.000 1953 Betsy Rawls (2) Clube de Country dos Estados Unidos de Rochester Rochester, NY 302 + 10 7.500 2.000"&amp;" 1952 Louise Suggs (2) Estados Unidos Bala Golf Club Philadelphia, PA 284 + 8 7.500 1.750 1951 Betsy Rawls Unidos DRUIDS HHROFT CLUC , GA 293 + 5 7.500 1.500 1950 Babe Zaharias (2) Estados Unidos Rolling Hills Country Club Wichita, KS 291 - 9 5.000 1.250 "&amp;"1949 Louise Suggs Estados Unidos Príncipe Georges Golf and Country Club Landover, MD 291 - 9 7.500 1,500 1948 Estados Atlantic City Country Club Northfield, NJ 300 7.500 1.200 1947 Betty Jameson Estados Unidos Starmount Forest Country Club Greensboro, NC "&amp;"295 - 9 7.500 1.200 1946 Patty Berg † Estados Unidos Spokane Country Club Spokane, WA 5 e 4 19.700 5.600")</f>
        <v>   Ano Campeão Campeão Campeão Localização do Local para a Par Purse ($) Compartilhamento de vencedores ($) 2017 Park Sung - Hyun Coréia do Sul Trump National Golf Club Bedminster, NJ 277 - 11 5.000.000 900.000 2016 Brittany Lang Lang Estados Unidos CORDEVALLE GOLF Club San Martin, CA 282 - 6 4.500.000 810.000 2015 chun em - gee corea Lancaster Country Club Lancaster, PA 272 - 8 4.500.000 810.000 2014 Michelle Wie United States Pinehurst Resort, Curso No. 2 Pinehurst, NC 278 - 2 4.000.000 720.000 2013 Inbee Park (2) Sul) Korea Sebonack Golf Club Southampton, NY 280 - 8 3.250.000 585.000 2012 Choi Na - Yeon Coréia do Sul Blackwolf Run, Curso Composto Kohler, WI 281 - 7 3.250.000 585.000 2011 RYU SO - YOON Coréia do Sul Broadmo Golf Club, Curso Oriental, Collorado, Collorado. - 3 3.250.000 585.000 Creamer Paula Estados Unidos Oakmont Country Club Oakmont, PA 281 - 3 3.250.000 585.000 2009 Eun - HEE Ji Ji Coréia do Sul Saucon Valley Country Club Bethlehem, PA 284 3,250.000 585.000 2008 INBEAÇÃO SUL MOREA INTERLACHEN MENCHEN MENS 3.250.000 585.000 2007 Cristie Kerr Estados Unidos Lodge Lodge e Golf Club Southern Pines, NC 279 - 5 3.100.000 560.000 2006 Annika Sörenstam (3) Sweden Newport Country Club Clube, RI 284 3,100.000 560.000 2005 Birdie Kim Kim Country Clube , CO 287 + 3 3.100.000 560.000 MEG Mallon (2) Estados Unidos O Clube de Golfe de Orchards South Hadley, MA 274 - 10 3.100.000 560.000 2003 Hilary Lunke Estados Unidos Pumpkin Ridge Golf Club, Witch Hollow Course North Plains, ou 283 - 1 3,100.000 560.000 2002 2002 Juli Inkster (2) Clube de Golfe de Prairie Dunes dos Estados Unidos Hutchinson, KS 276 - 4 3.000.000 535.000 2001 Karrie Webb (2) Australia Pine agulhas Lodge e Golf Club Southern Pines, NC 273 - 7.900.000 520.000 2000 2000 Karrie Webb Australia Merit Merit Club 282 - 6 2.750.000 500.000 1999 Juli Inkster Estados Unidos Old Waverly Golf Club West Point, MS 272 - 16 1.750.000 315.000 1998 Pak SE - RI Coréia do Sul Blackwolf Run, Curso Composto Kohler, Wi 290 + 6 1,500.000 267,500 1997 Alison Nichler Clube, Witch Hollow Course North Plains, ou 274 - 10 1.300.000 232.500 Annika Sörenstam (2) Suécia Lodge Lodge e Golf Club Southern Pines, NC 272 - 8 1.200.000 212.500 1995 Annika Sörensts Sweden Sweden Broadmoor Golf Cluf, Curso - 2 1.000.000 175.000 1994 Patty Sheehan (2) Clube de Golfe e Country da Indianwood dos Estados Unidos, Old Course Lake Orion, MI 277 - 7 850.000 155.000 1993 Lauri Merten Estados Unidos Crooked Golf Club Carmel, em 280 - 8 800.000 144.000 1992 Pattyhan Sheehan United Estados Oakmont Country Club Oakmont, PA 280 - 4 700.000 130.000 1991 Meg Mallon Estados Unidos Clube de Country Colonial Fort Worth, TX 283 - 1 600.000 110.000 1990 Betsy King (2) Clube Athletic de Atlanta, Riverside Duluth, GA 284 - 400.000 500.000 85.000 1989 Betsy King Estados Unidos Indianwood Golf and Country Club, Old Course Lake Orion, Mi 278 - 2 450.000 80.000 1988 Liselotte Neumann Suécia Baltimore Country Club, Cinco fazendas, Curso East Baltimore, MD 277 - 7 400.000 70.000 Laura Davies Plainfield Country Club Country Club Edison, NJ 285 - 3 325.000 55.000 1986 Jane Geddes Estados Unidos NCR Country Club Kettering, OH 287 - 1 300.000 50.000 1985 Kathy Baker Estados Unidos Baltusrol Golf Club, Upper Springfield, NJ 280 - 8 250.000 41.975 1984 Hollis Stacy (3 280 - 80.000 41.975 1984 Hollis Stacy (3 280 - 80.000 41,975 1984 1984 Estados Salem Country Club Peabody, MA 290 + 2 225.000 36.000 Jan Stephenson Austrália Cedar Ridge Country Club Broken Arrow, OK 290 + 6 200.000 32.780 1982 Janet Alex Estados Unidos Del Paso Clube Sacramento, CA 283 - 5 175.000 27.315 1981 Pat Bradley United States United States, La Grange Country Club La Grange, IL 279 - 9 150.000 22.000 1980 AMY ALCOTT Estados Unidos Richland Country Club Nashville, TN 280 - 4 140.000 20.047 1979 Jerilyn Britz Estados Unidos Brooklawn Country Club Fairfield, CT 284 125.000 19.000 1978 Hollis Stacy (2) United United Clube do país de Indianapolis Indianapolis, em 289 + 5 100.000 15.000 1977 Hollis Stacy Estados Unidos Hazeltine National Golf Club Chaska, MN 292 + 4 75.000 11.040 1976 Joanne Carner (2) Estados Unidos Rolling Green Golf Club Springfield, PA 292 + 8 60.000 9,054 Sandra Palmer, Estados Unidos, Atlantic City Country Club Northfield, NJ 295 + 7 55.000 8.044 Sandra Haynie Estados Unidos La Grange Country Club La Grange, IL 295 + 7 40.000 6.073 1973 Susie Berning (3) Estados Unidos Clube de Country de Rochester, NY 290 + 2 40.000 6.000 1972 Susie Berning (2) Clube de golfe dos pés dos Estados Unidos, East Course Mamaroneck, NY 299 + 11 40.000 6.000 1971 Joanne Carner Estados Unidos Kahkwa Club Erie, PA 288 31.000 5.000 1970 1970 Donna Caponi (2) Estados Unidos Muskoge Country Club Muskogee, OK 287 - 1 30.000 5.000 1969 Donna Caponi Estados Unidos Scenic Hills Country Club Pensacola, FL 294 + 6 31.040 5.000 1968 Susie Berning Berning Estados Unidos Moselem Springs Golf Club Fleetwood, PA 289 + 5 25.000 5.000 1967 Catherine Lacoste (A) France Homestead Hot Springs, VA 294 + 6 25.000 0 1966 Sandra Spuzich Estados Unidos Hazeltine National Golf Club Chaska, MN 297 + 9 20.000 4.000 1965 Carol Mann Estados Unidos Atlantic City Club Northfield, NJ 290 + 2 17.780 3.800 1964 Mickey Wright (4) Estados Unidos San Diego Country Club Chula Vista, CA 290 - 2 9.900 2.090 1963 Mary Mills Estados Unidos Kenwood Country Club Cincinnati, OH 289 - 3 9.000 1.900 1962 Murle Lindstrom Estados Unidos Dunes Golf and Beach Club Beach, SC 301 + 13 8. 8.000 1,800 1961 Mickey Wright (3) Estados Unidos Baltusrol Golf Club, Curso Lower Springfield, NJ 293 + 5 8.000 1.800 1960 Betsy Rawls (4) Estados Unidos Worcester Country Club Worcester, MA 292 + 4 7.200 1.710 1959 Mickey Wright (2) INCLUES Valley Country Club Pittsburgh, PA 287 - 1 7.200 1.800 1958 Mickey Wright Clube do País do Lago Florest dos Estados Unidos Bloomfield, MI 290 - 2 7.200 1.800 1957 Betsy Rawls (3) Estados Unidos Clube de Golf Winged Foot, Curso Leste, Mamaroneck, NY 299 + 7,20 1.800 1956 Kathy Cornelius Clube do Northland Country dos Estados Unidos Duluth, MN 302 + 11 6.000 1.500 1955 Fay Crocker Uruguai Wichita Country Club Wichita, KS 299 + 11 7.500 2.000 1954 Babe Zaharias (3) Salem dos Estados Unidos Clube Country Pea, Ma 29. 2.000 1953 Betsy Rawls (2) Clube de Country dos Estados Unidos de Rochester Rochester, NY 302 + 10 7.500 2.000 1952 Louise Suggs (2) Estados Unidos Bala Golf Club Philadelphia, PA 284 + 8 7.500 1.750 1951 Betsy Rawls Unidos DRUIDS HHROFT CLUC , GA 293 + 5 7.500 1.500 1950 Babe Zaharias (2) Estados Unidos Rolling Hills Country Club Wichita, KS 291 - 9 5.000 1.250 1949 Louise Suggs Estados Unidos Príncipe Georges Golf and Country Club Landover, MD 291 - 9 7.500 1,500 1948 Estados Atlantic City Country Club Northfield, NJ 300 7.500 1.200 1947 Betty Jameson Estados Unidos Starmount Forest Country Club Greensboro, NC 295 - 9 7.500 1.200 1946 Patty Berg † Estados Unidos Spokane Country Club Spokane, WA 5 e 4 19.700 5.600</v>
      </c>
      <c r="I119" s="3" t="str">
        <f>IFERROR(__xludf.DUMMYFUNCTION("GOOGLETRANSLATE(E119)"),"#VALUE!")</f>
        <v>#VALUE!</v>
      </c>
    </row>
    <row r="120" ht="15.75" customHeight="1">
      <c r="A120" s="1">
        <v>118.0</v>
      </c>
      <c r="B120" s="3" t="s">
        <v>443</v>
      </c>
      <c r="C120" s="3" t="s">
        <v>444</v>
      </c>
      <c r="D120" s="3" t="s">
        <v>445</v>
      </c>
      <c r="E120" s="3" t="s">
        <v>446</v>
      </c>
      <c r="F120" s="3" t="str">
        <f>IFERROR(__xludf.DUMMYFUNCTION("GOOGLETRANSLATE(B120)")," Pertencemos um ao outro")</f>
        <v> Pertencemos um ao outro</v>
      </c>
      <c r="G120" s="3" t="str">
        <f>IFERROR(__xludf.DUMMYFUNCTION("GOOGLETRANSLATE(C120)"),"de quem é Mariah Carey falando em que pertencemos juntos")</f>
        <v>de quem é Mariah Carey falando em que pertencemos juntos</v>
      </c>
      <c r="H120" s="3" t="str">
        <f>IFERROR(__xludf.DUMMYFUNCTION("GOOGLETRANSLATE(D120)")," O videoclipe da música foi filmado como uma história de duas partes com `` é assim '', que apresentava Carey em sua festa de despedida de solteira. O vídeo para `` pertencemos juntos '' é uma continuação focada no casamento de Carey com um homem mais vel"&amp;"ho e poderoso e termina com a cantora fugindo com seu ex-amante. Surgiram rumores da conexão do vídeo com seu casamento de 1993 com Tommy Mottola. Carey tocou a música em vários shows de prêmios e aparições na televisão em todo o mundo, a saber, MTV Movie"&amp;" Awards, MTV Video Music Awards, Macy's Fourth de julho Parade, O Oprah Winfrey Show e o 48º Grammy Awards. Na Europa, a música foi tocada no The Live 8 Charity Concert, no Fashion Rocks em Mônaco e no Alemão Bambi Awards. Carey tocou a música em suas ave"&amp;"nturas de Mimi e Angels Advocate Tours.")</f>
        <v> O videoclipe da música foi filmado como uma história de duas partes com `` é assim '', que apresentava Carey em sua festa de despedida de solteira. O vídeo para `` pertencemos juntos '' é uma continuação focada no casamento de Carey com um homem mais velho e poderoso e termina com a cantora fugindo com seu ex-amante. Surgiram rumores da conexão do vídeo com seu casamento de 1993 com Tommy Mottola. Carey tocou a música em vários shows de prêmios e aparições na televisão em todo o mundo, a saber, MTV Movie Awards, MTV Video Music Awards, Macy's Fourth de julho Parade, O Oprah Winfrey Show e o 48º Grammy Awards. Na Europa, a música foi tocada no The Live 8 Charity Concert, no Fashion Rocks em Mônaco e no Alemão Bambi Awards. Carey tocou a música em suas aventuras de Mimi e Angels Advocate Tours.</v>
      </c>
      <c r="I120" s="3" t="str">
        <f>IFERROR(__xludf.DUMMYFUNCTION("GOOGLETRANSLATE(E120)"),"Seu casamento de 1993 com Tommy Mottola")</f>
        <v>Seu casamento de 1993 com Tommy Mottola</v>
      </c>
    </row>
    <row r="121" ht="15.75" customHeight="1">
      <c r="A121" s="1">
        <v>119.0</v>
      </c>
      <c r="B121" s="3" t="s">
        <v>447</v>
      </c>
      <c r="C121" s="3" t="s">
        <v>448</v>
      </c>
      <c r="D121" s="3" t="s">
        <v>449</v>
      </c>
      <c r="F121" s="3" t="str">
        <f>IFERROR(__xludf.DUMMYFUNCTION("GOOGLETRANSLATE(B121)")," Segunda Emenda à Constituição dos Estados Unidos")</f>
        <v> Segunda Emenda à Constituição dos Estados Unidos</v>
      </c>
      <c r="G121" s="3" t="str">
        <f>IFERROR(__xludf.DUMMYFUNCTION("GOOGLETRANSLATE(C121)"),"Qual foi a 2ª Emenda adicionada à Constituição")</f>
        <v>Qual foi a 2ª Emenda adicionada à Constituição</v>
      </c>
      <c r="H121" s="3" t="str">
        <f>IFERROR(__xludf.DUMMYFUNCTION("GOOGLETRANSLATE(D121)")," A Segunda Emenda (Emenda II) à Constituição dos Estados Unidos protege o direito do povo de manter e portar armas e foi adotada em 15 de dezembro de 1791, como parte das dez primeiras emendas contidas na Declaração de Direitos. A Suprema Corte dos Estado"&amp;"s Unidos decidiu que o direito pertence aos indivíduos para a autodefesa. Embora também decidisse que o direito não é ilimitado e não proíbe toda a regulamentação de armas de fogo ou dispositivos similares. Os governos estaduais e locais estão limitados n"&amp;"a mesma extensão que o governo federal de violar esse direito, de acordo com a incorporação da Declaração de Direitos.")</f>
        <v> A Segunda Emenda (Emenda II) à Constituição dos Estados Unidos protege o direito do povo de manter e portar armas e foi adotada em 15 de dezembro de 1791, como parte das dez primeiras emendas contidas na Declaração de Direitos. A Suprema Corte dos Estados Unidos decidiu que o direito pertence aos indivíduos para a autodefesa. Embora também decidisse que o direito não é ilimitado e não proíbe toda a regulamentação de armas de fogo ou dispositivos similares. Os governos estaduais e locais estão limitados na mesma extensão que o governo federal de violar esse direito, de acordo com a incorporação da Declaração de Direitos.</v>
      </c>
      <c r="I121" s="3" t="str">
        <f>IFERROR(__xludf.DUMMYFUNCTION("GOOGLETRANSLATE(E121)"),"#VALUE!")</f>
        <v>#VALUE!</v>
      </c>
    </row>
    <row r="122" ht="15.75" customHeight="1">
      <c r="A122" s="1">
        <v>120.0</v>
      </c>
      <c r="B122" s="3" t="s">
        <v>450</v>
      </c>
      <c r="C122" s="3" t="s">
        <v>451</v>
      </c>
      <c r="D122" s="3" t="s">
        <v>452</v>
      </c>
      <c r="E122" s="3" t="s">
        <v>453</v>
      </c>
      <c r="F122" s="3" t="str">
        <f>IFERROR(__xludf.DUMMYFUNCTION("GOOGLETRANSLATE(B122)")," David (Michelangelo)")</f>
        <v> David (Michelangelo)</v>
      </c>
      <c r="G122" s="3" t="str">
        <f>IFERROR(__xludf.DUMMYFUNCTION("GOOGLETRANSLATE(C122)"),"onde fica a estátua original de David na Itália")</f>
        <v>onde fica a estátua original de David na Itália</v>
      </c>
      <c r="H122" s="3" t="str">
        <f>IFERROR(__xludf.DUMMYFUNCTION("GOOGLETRANSLATE(D122)")," David ficou em exibição na Galleria Dell'Accademia de Florença desde 1873. Além da réplica de tamanho completo que ocupava o local do original em frente ao Palazzo Vecchio, uma versão de bronze tem vista para Florence do Piazzale Michelangelo. O elenco d"&amp;"e gesso de David no Museu Victoria e Albert tem uma folha de figo destacável que é exibida nas proximidades. Legend afirma que a folha de figo foi criada em resposta ao choque da rainha Victoria ao ver primeiro a nudez da estátua e foi pendurado na figura"&amp;" antes das visitas reais, usando dois ganchos estrategicamente colocados. Em 2010, o governo italiano iniciou uma campanha para solidificar sua reivindicação à icônica estátua de mármore.")</f>
        <v> David ficou em exibição na Galleria Dell'Accademia de Florença desde 1873. Além da réplica de tamanho completo que ocupava o local do original em frente ao Palazzo Vecchio, uma versão de bronze tem vista para Florence do Piazzale Michelangelo. O elenco de gesso de David no Museu Victoria e Albert tem uma folha de figo destacável que é exibida nas proximidades. Legend afirma que a folha de figo foi criada em resposta ao choque da rainha Victoria ao ver primeiro a nudez da estátua e foi pendurado na figura antes das visitas reais, usando dois ganchos estrategicamente colocados. Em 2010, o governo italiano iniciou uma campanha para solidificar sua reivindicação à icônica estátua de mármore.</v>
      </c>
      <c r="I122" s="3" t="str">
        <f>IFERROR(__xludf.DUMMYFUNCTION("GOOGLETRANSLATE(E122)"),"Galleria Dell'Accademia de Florence")</f>
        <v>Galleria Dell'Accademia de Florence</v>
      </c>
    </row>
    <row r="123" ht="15.75" customHeight="1">
      <c r="A123" s="1">
        <v>121.0</v>
      </c>
      <c r="B123" s="3" t="s">
        <v>454</v>
      </c>
      <c r="C123" s="3" t="s">
        <v>455</v>
      </c>
      <c r="D123" s="3" t="s">
        <v>456</v>
      </c>
      <c r="E123" s="3" t="s">
        <v>457</v>
      </c>
      <c r="F123" s="3" t="str">
        <f>IFERROR(__xludf.DUMMYFUNCTION("GOOGLETRANSLATE(B123)")," Barragem de Teton")</f>
        <v> Barragem de Teton</v>
      </c>
      <c r="G123" s="3" t="str">
        <f>IFERROR(__xludf.DUMMYFUNCTION("GOOGLETRANSLATE(C123)"),"Quando a barragem de Teton quebrou em Idaho")</f>
        <v>Quando a barragem de Teton quebrou em Idaho</v>
      </c>
      <c r="H123" s="3" t="str">
        <f>IFERROR(__xludf.DUMMYFUNCTION("GOOGLETRANSLATE(D123)")," A barragem de Teton era uma barragem de barro no rio Teton, em Idaho, Estados Unidos. Foi construído pelo Bureau of Reclamation, uma das oito agências federais autorizadas a construir barragens. Localizado na parte oriental do estado, entre os condados d"&amp;"e Fremont e Madison, sofreu uma falha catastrófica em 5 de junho de 1976, pois estava preenchido pela primeira vez.")</f>
        <v> A barragem de Teton era uma barragem de barro no rio Teton, em Idaho, Estados Unidos. Foi construído pelo Bureau of Reclamation, uma das oito agências federais autorizadas a construir barragens. Localizado na parte oriental do estado, entre os condados de Fremont e Madison, sofreu uma falha catastrófica em 5 de junho de 1976, pois estava preenchido pela primeira vez.</v>
      </c>
      <c r="I123" s="3" t="str">
        <f>IFERROR(__xludf.DUMMYFUNCTION("GOOGLETRANSLATE(E123)"),"5 de junho de 1976")</f>
        <v>5 de junho de 1976</v>
      </c>
    </row>
    <row r="124" ht="15.75" customHeight="1">
      <c r="A124" s="1">
        <v>122.0</v>
      </c>
      <c r="B124" s="3" t="s">
        <v>458</v>
      </c>
      <c r="C124" s="3" t="s">
        <v>459</v>
      </c>
      <c r="D124" s="3" t="s">
        <v>460</v>
      </c>
      <c r="F124" s="3" t="str">
        <f>IFERROR(__xludf.DUMMYFUNCTION("GOOGLETRANSLATE(B124)")," Ataque a Pearl Harbor")</f>
        <v> Ataque a Pearl Harbor</v>
      </c>
      <c r="G124" s="3" t="str">
        <f>IFERROR(__xludf.DUMMYFUNCTION("GOOGLETRANSLATE(C124)"),"Qual era a motivação japonesa para bombardear Pearl Harbor")</f>
        <v>Qual era a motivação japonesa para bombardear Pearl Harbor</v>
      </c>
      <c r="H124" s="3" t="str">
        <f>IFERROR(__xludf.DUMMYFUNCTION("GOOGLETRANSLATE(D124)")," O Japão pretendia o ataque como uma ação preventiva para impedir que a frota do Pacífico dos EUA interfira em suas ações militares planejadas no sudeste da Ásia contra territórios estrangeiros do Reino Unido, Holanda e Estados Unidos. Ao longo de sete ho"&amp;"ras, houve ataques japoneses coordenados aos EUA - realizados nas Filipinas, Guam e Wake Island e no Império Britânico na Malásia, Cingapura e Hong Kong.")</f>
        <v> O Japão pretendia o ataque como uma ação preventiva para impedir que a frota do Pacífico dos EUA interfira em suas ações militares planejadas no sudeste da Ásia contra territórios estrangeiros do Reino Unido, Holanda e Estados Unidos. Ao longo de sete horas, houve ataques japoneses coordenados aos EUA - realizados nas Filipinas, Guam e Wake Island e no Império Britânico na Malásia, Cingapura e Hong Kong.</v>
      </c>
      <c r="I124" s="3" t="str">
        <f>IFERROR(__xludf.DUMMYFUNCTION("GOOGLETRANSLATE(E124)"),"#VALUE!")</f>
        <v>#VALUE!</v>
      </c>
    </row>
    <row r="125" ht="15.75" customHeight="1">
      <c r="A125" s="1">
        <v>123.0</v>
      </c>
      <c r="B125" s="3" t="s">
        <v>461</v>
      </c>
      <c r="C125" s="3" t="s">
        <v>462</v>
      </c>
      <c r="D125" s="3" t="s">
        <v>463</v>
      </c>
      <c r="F125" s="3" t="str">
        <f>IFERROR(__xludf.DUMMYFUNCTION("GOOGLETRANSLATE(B125)")," Violinista no Telhado")</f>
        <v> Violinista no Telhado</v>
      </c>
      <c r="G125" s="3" t="str">
        <f>IFERROR(__xludf.DUMMYFUNCTION("GOOGLETRANSLATE(C125)"),"elenco de personagens em violinista no telhado")</f>
        <v>elenco de personagens em violinista no telhado</v>
      </c>
      <c r="H125" s="3" t="str">
        <f>IFERROR(__xludf.DUMMYFUNCTION("GOOGLETRANSLATE(D125)"),"  Tevye, um pobre leite com cinco filhas. Um firme defensor das tradições de sua fé, ele encontra muitas de suas convicções testadas pelas ações de suas três filhas mais velhas. Golde, esposa afiada de Tevye. Tzeitel, sua filha mais velha, cerca de dezeno"&amp;"ve. Ela ama seu amigo de infância, Motel e se casa com ele, mesmo que ele seja pobre, implorando ao pai que não a force a se casar com Lazar Wolf. Hodel, sua filha, cerca de dezessete. Inteligente e espirituoso, ela se apaixona por Perchik e mais tarde se"&amp;" junta a ele na Sibéria. Chava, sua filha, cerca de quinze. Um amante de livros tímidos, que se apaixona por Fyedka. Shprintze, sua filha, cerca de doze. Bielke, sua filha mais nova, cerca de nove. Motel Kamzoil, um alfaiate pobre, mas trabalhador, que am"&amp;"a, e mais tarde se casa com Tzeitel. Perchik, um estudioso e bolchevique revolucionário que vem a Anatevka e se apaixona por Hodel. Ele sai para Kiev e é exilado na Sibéria. Fyedka, um jovem cristão. Ele compartilha a paixão de Chava pela leitura e fica i"&amp;"ndignado com o tratamento dos russos aos judeus. Lazar Wolf, o rico açougueiro da vila. Viúvo de Fruma - Sarah. Tenta organizar um casamento para Tzeitel. Yente, o casamenteiro da vila fofoqueira que combina com Tzeitel e Lazar. Fruma - Sarah, a esposa mo"&amp;"rta de Lazar Wolf, que se levanta do túmulo em Tevye 'S' `` pesadelo ''. Vovó Tzeitel, a avó morta de Golde, também apareceu no `` pesadelo ''. Mordcha, o estalajadeiro. Rabino, o sábio rabino da vila. Constable, um homem cristão; o chefe da polícia russa"&amp;" local.")</f>
        <v>  Tevye, um pobre leite com cinco filhas. Um firme defensor das tradições de sua fé, ele encontra muitas de suas convicções testadas pelas ações de suas três filhas mais velhas. Golde, esposa afiada de Tevye. Tzeitel, sua filha mais velha, cerca de dezenove. Ela ama seu amigo de infância, Motel e se casa com ele, mesmo que ele seja pobre, implorando ao pai que não a force a se casar com Lazar Wolf. Hodel, sua filha, cerca de dezessete. Inteligente e espirituoso, ela se apaixona por Perchik e mais tarde se junta a ele na Sibéria. Chava, sua filha, cerca de quinze. Um amante de livros tímidos, que se apaixona por Fyedka. Shprintze, sua filha, cerca de doze. Bielke, sua filha mais nova, cerca de nove. Motel Kamzoil, um alfaiate pobre, mas trabalhador, que ama, e mais tarde se casa com Tzeitel. Perchik, um estudioso e bolchevique revolucionário que vem a Anatevka e se apaixona por Hodel. Ele sai para Kiev e é exilado na Sibéria. Fyedka, um jovem cristão. Ele compartilha a paixão de Chava pela leitura e fica indignado com o tratamento dos russos aos judeus. Lazar Wolf, o rico açougueiro da vila. Viúvo de Fruma - Sarah. Tenta organizar um casamento para Tzeitel. Yente, o casamenteiro da vila fofoqueira que combina com Tzeitel e Lazar. Fruma - Sarah, a esposa morta de Lazar Wolf, que se levanta do túmulo em Tevye 'S' `` pesadelo ''. Vovó Tzeitel, a avó morta de Golde, também apareceu no `` pesadelo ''. Mordcha, o estalajadeiro. Rabino, o sábio rabino da vila. Constable, um homem cristão; o chefe da polícia russa local.</v>
      </c>
      <c r="I125" s="3" t="str">
        <f>IFERROR(__xludf.DUMMYFUNCTION("GOOGLETRANSLATE(E125)"),"#VALUE!")</f>
        <v>#VALUE!</v>
      </c>
    </row>
    <row r="126" ht="15.75" customHeight="1">
      <c r="A126" s="1">
        <v>124.0</v>
      </c>
      <c r="B126" s="3" t="s">
        <v>464</v>
      </c>
      <c r="C126" s="3" t="s">
        <v>465</v>
      </c>
      <c r="D126" s="3" t="s">
        <v>466</v>
      </c>
      <c r="E126" s="3" t="s">
        <v>467</v>
      </c>
      <c r="F126" s="3" t="str">
        <f>IFERROR(__xludf.DUMMYFUNCTION("GOOGLETRANSLATE(B126)")," Stand By Me (Film)")</f>
        <v> Stand By Me (Film)</v>
      </c>
      <c r="G126" s="3" t="str">
        <f>IFERROR(__xludf.DUMMYFUNCTION("GOOGLETRANSLATE(C126)"),"Quando o filme foi feito por mim")</f>
        <v>Quando o filme foi feito por mim</v>
      </c>
      <c r="H126" s="3" t="str">
        <f>IFERROR(__xludf.DUMMYFUNCTION("GOOGLETRANSLATE(D126)")," Stand By Me é um filme americano de 1986 - de - Age Comedy - Drama, dirigido por Rob Reiner e estrelado por Wil Wheaton, River Phoenix, Corey Feldman e Jerry O'Connell. O filme, cuja trama é baseada na novela de Stephen King, The Body (1982), e o título "&amp;"é derivado da música homônima de Ben E. King, que toca nos créditos finais, conta a história de quatro meninos em uma pequena cidade em Oregon que faz uma caminhada para encontrar o cadáver de uma criança desaparecida.")</f>
        <v> Stand By Me é um filme americano de 1986 - de - Age Comedy - Drama, dirigido por Rob Reiner e estrelado por Wil Wheaton, River Phoenix, Corey Feldman e Jerry O'Connell. O filme, cuja trama é baseada na novela de Stephen King, The Body (1982), e o título é derivado da música homônima de Ben E. King, que toca nos créditos finais, conta a história de quatro meninos em uma pequena cidade em Oregon que faz uma caminhada para encontrar o cadáver de uma criança desaparecida.</v>
      </c>
      <c r="I126" s="3" t="str">
        <f>IFERROR(__xludf.DUMMYFUNCTION("GOOGLETRANSLATE(E126)"),"1986")</f>
        <v>1986</v>
      </c>
    </row>
    <row r="127" ht="15.75" customHeight="1">
      <c r="A127" s="1">
        <v>125.0</v>
      </c>
      <c r="B127" s="3" t="s">
        <v>468</v>
      </c>
      <c r="C127" s="3" t="s">
        <v>469</v>
      </c>
      <c r="D127" s="3" t="s">
        <v>470</v>
      </c>
      <c r="E127" s="3" t="s">
        <v>471</v>
      </c>
      <c r="F127" s="3" t="str">
        <f>IFERROR(__xludf.DUMMYFUNCTION("GOOGLETRANSLATE(B127)")," Aberto da Irlanda do Norte (snooker)")</f>
        <v> Aberto da Irlanda do Norte (snooker)</v>
      </c>
      <c r="G127" s="3" t="str">
        <f>IFERROR(__xludf.DUMMYFUNCTION("GOOGLETRANSLATE(C127)"),"que venceu o campeonato de snooker da Irlanda do Norte")</f>
        <v>que venceu o campeonato de snooker da Irlanda do Norte</v>
      </c>
      <c r="H127" s="3" t="str">
        <f>IFERROR(__xludf.DUMMYFUNCTION("GOOGLETRANSLATE(D127)"),"   Ano Vencedor Runner - UP SCORE Final Patrocinador Patrocinador Patrocinador Estação do Norte Irlanda Open (ranking) 2016 Mark King Barry Hawkins 9 - 8 Coral Belfast 2016/17 2017 Mark Williams Yan Bingtao 9 - 8 Dafabet 2017/18")</f>
        <v>   Ano Vencedor Runner - UP SCORE Final Patrocinador Patrocinador Patrocinador Estação do Norte Irlanda Open (ranking) 2016 Mark King Barry Hawkins 9 - 8 Coral Belfast 2016/17 2017 Mark Williams Yan Bingtao 9 - 8 Dafabet 2017/18</v>
      </c>
      <c r="I127" s="3" t="str">
        <f>IFERROR(__xludf.DUMMYFUNCTION("GOOGLETRANSLATE(E127)"),"Mark Williams")</f>
        <v>Mark Williams</v>
      </c>
    </row>
    <row r="128" ht="15.75" customHeight="1">
      <c r="A128" s="1">
        <v>126.0</v>
      </c>
      <c r="B128" s="3" t="s">
        <v>472</v>
      </c>
      <c r="C128" s="3" t="s">
        <v>473</v>
      </c>
      <c r="D128" s="3" t="s">
        <v>474</v>
      </c>
      <c r="E128" s="3" t="s">
        <v>475</v>
      </c>
      <c r="F128" s="3" t="str">
        <f>IFERROR(__xludf.DUMMYFUNCTION("GOOGLETRANSLATE(B128)")," Torre Eiffel")</f>
        <v> Torre Eiffel</v>
      </c>
      <c r="G128" s="3" t="str">
        <f>IFERROR(__xludf.DUMMYFUNCTION("GOOGLETRANSLATE(C128)"),"é a torre Eiffel feita de aço ou ferro")</f>
        <v>é a torre Eiffel feita de aço ou ferro</v>
      </c>
      <c r="H128" s="3" t="str">
        <f>IFERROR(__xludf.DUMMYFUNCTION("GOOGLETRANSLATE(D128)")," A torre Eiffel ( / ˈaɪfəl ˈtaʊ. Ər / olho - fəl reboque - ər; francês: tour eiffel, pronunciado (tuʁ ‿ ɛfɛl) ouve) é uma torre de treliça de ferro forjado no Champ de Mars em Paris, França. Ele recebeu o nome do engenheiro Gustave Eiffel, cuja empresa pr"&amp;"ojetou e construiu a torre.")</f>
        <v> A torre Eiffel ( / ˈaɪfəl ˈtaʊ. Ər / olho - fəl reboque - ər; francês: tour eiffel, pronunciado (tuʁ ‿ ɛfɛl) ouve) é uma torre de treliça de ferro forjado no Champ de Mars em Paris, França. Ele recebeu o nome do engenheiro Gustave Eiffel, cuja empresa projetou e construiu a torre.</v>
      </c>
      <c r="I128" s="3" t="str">
        <f>IFERROR(__xludf.DUMMYFUNCTION("GOOGLETRANSLATE(E128)"),"ferro forjado")</f>
        <v>ferro forjado</v>
      </c>
    </row>
    <row r="129" ht="15.75" customHeight="1">
      <c r="A129" s="1">
        <v>127.0</v>
      </c>
      <c r="B129" s="3" t="s">
        <v>476</v>
      </c>
      <c r="C129" s="3" t="s">
        <v>477</v>
      </c>
      <c r="D129" s="3" t="s">
        <v>478</v>
      </c>
      <c r="E129" s="3" t="s">
        <v>479</v>
      </c>
      <c r="F129" s="3" t="str">
        <f>IFERROR(__xludf.DUMMYFUNCTION("GOOGLETRANSLATE(B129)")," Fort Myers, Flórida")</f>
        <v> Fort Myers, Flórida</v>
      </c>
      <c r="G129" s="3" t="str">
        <f>IFERROR(__xludf.DUMMYFUNCTION("GOOGLETRANSLATE(C129)"),"Onde está o Fort Myers Florida localizado na Flórida")</f>
        <v>Onde está o Fort Myers Florida localizado na Flórida</v>
      </c>
      <c r="H129" s="3" t="str">
        <f>IFERROR(__xludf.DUMMYFUNCTION("GOOGLETRANSLATE(D129)"),"   Fort Myers, Florida City Sidney e Berne Davis Art Museum, no centro (s) de Fort Myers: `` `` City of Palms '', no Condado de Lee, na Flórida, no U.S. Census Bureau Mapa, mostrando limites da cidade coordenados: 26 ° 37 ′ n 81 ° 50 ′ W / 26.617 ° N 81,8"&amp;"33 ° W / 26.617; - 81.833 Coordenadas: 26 ° 37 ′ N 81 ° 50 ′ W / 26,617 ° N 81,833 ° W / 26.617; - 81.833 País Estado dos Estados Unidos Florida County Lee Fundou 24 de março de 1886 Conselho do Tipo do Governo - Gerente Prefeito Randy Henderson, Jr. Área"&amp;" Total de 48,97 mm2 (126,84 km) Terra 39,78 mm2 (103,02 km) Água 9,20 m² (23,82 km) Elevação 10 pés (3 m) População (2010) Total 62.298 estimativa (2016) 77.146 1,946946 / mq / mq / mq / mq / mq / mq / mq / mq / mq MI (Mist. / km) Fuso horário Eastern (ES"&amp;"T) (UTC - 5) Verão (DST) EDT (UTC - 4) Código (s) 33900 - 33999 Código (s) de área 239 Código 12 - 24125 GNIs ID do recurso 0282700 Site Cityftmyers. com")</f>
        <v>   Fort Myers, Florida City Sidney e Berne Davis Art Museum, no centro (s) de Fort Myers: `` `` City of Palms '', no Condado de Lee, na Flórida, no U.S. Census Bureau Mapa, mostrando limites da cidade coordenados: 26 ° 37 ′ n 81 ° 50 ′ W / 26.617 ° N 81,833 ° W / 26.617; - 81.833 Coordenadas: 26 ° 37 ′ N 81 ° 50 ′ W / 26,617 ° N 81,833 ° W / 26.617; - 81.833 País Estado dos Estados Unidos Florida County Lee Fundou 24 de março de 1886 Conselho do Tipo do Governo - Gerente Prefeito Randy Henderson, Jr. Área Total de 48,97 mm2 (126,84 km) Terra 39,78 mm2 (103,02 km) Água 9,20 m² (23,82 km) Elevação 10 pés (3 m) População (2010) Total 62.298 estimativa (2016) 77.146 1,946946 / mq / mq / mq / mq / mq / mq / mq / mq / mq MI (Mist. / km) Fuso horário Eastern (EST) (UTC - 5) Verão (DST) EDT (UTC - 4) Código (s) 33900 - 33999 Código (s) de área 239 Código 12 - 24125 GNIs ID do recurso 0282700 Site Cityftmyers. com</v>
      </c>
      <c r="I129" s="3" t="str">
        <f>IFERROR(__xludf.DUMMYFUNCTION("GOOGLETRANSLATE(E129)"),"Coordenadas: 26 ° 37 ′ N 81 ° 50 ′ W / 26,617 ° N 81,833 ° W / 26.617; - 81.833 Coordenadas: 26 ° 37 ′ N 81 ° 50 ′ W / 26,617 ° N 81,833 ° W")</f>
        <v>Coordenadas: 26 ° 37 ′ N 81 ° 50 ′ W / 26,617 ° N 81,833 ° W / 26.617; - 81.833 Coordenadas: 26 ° 37 ′ N 81 ° 50 ′ W / 26,617 ° N 81,833 ° W</v>
      </c>
    </row>
    <row r="130" ht="15.75" customHeight="1">
      <c r="A130" s="1">
        <v>128.0</v>
      </c>
      <c r="B130" s="3" t="s">
        <v>480</v>
      </c>
      <c r="C130" s="3" t="s">
        <v>481</v>
      </c>
      <c r="D130" s="3" t="s">
        <v>482</v>
      </c>
      <c r="E130" s="3" t="s">
        <v>483</v>
      </c>
      <c r="F130" s="3" t="str">
        <f>IFERROR(__xludf.DUMMYFUNCTION("GOOGLETRANSLATE(B130)")," Hermafrodito")</f>
        <v> Hermafrodito</v>
      </c>
      <c r="G130" s="3" t="str">
        <f>IFERROR(__xludf.DUMMYFUNCTION("GOOGLETRANSLATE(C130)"),"Qual é o nome do jovem amado por Salmacis")</f>
        <v>Qual é o nome do jovem amado por Salmacis</v>
      </c>
      <c r="H130" s="3" t="str">
        <f>IFERROR(__xludf.DUMMYFUNCTION("GOOGLETRANSLATE(D130)")," Na mitologia grega, Hermafrodito ou Hermafroditos / Hərˌmæf. rəˈdaɪ. Təs / (ouça) (grego antigo: ἑρμαφρόδιτος) era filho de Afrodite e Hermes. Segundo Ovídio, ele nasceu um garoto notavelmente bonito com quem a ninfa de água Salmacis se apaixonou e orou "&amp;"para se unir para sempre. Um Deus, em resposta à sua oração, fundiu suas duas formas em uma e as transformou em uma forma andrógina. O nome dele é composto dos nomes de seus pais, Hermes e Afrodite. Ele era um dos Erotes.")</f>
        <v> Na mitologia grega, Hermafrodito ou Hermafroditos / Hərˌmæf. rəˈdaɪ. Təs / (ouça) (grego antigo: ἑρμαφρόδιτος) era filho de Afrodite e Hermes. Segundo Ovídio, ele nasceu um garoto notavelmente bonito com quem a ninfa de água Salmacis se apaixonou e orou para se unir para sempre. Um Deus, em resposta à sua oração, fundiu suas duas formas em uma e as transformou em uma forma andrógina. O nome dele é composto dos nomes de seus pais, Hermes e Afrodite. Ele era um dos Erotes.</v>
      </c>
      <c r="I130" s="3" t="str">
        <f>IFERROR(__xludf.DUMMYFUNCTION("GOOGLETRANSLATE(E130)"),"Hermafrodito")</f>
        <v>Hermafrodito</v>
      </c>
    </row>
    <row r="131" ht="15.75" customHeight="1">
      <c r="A131" s="1">
        <v>129.0</v>
      </c>
      <c r="B131" s="3" t="s">
        <v>484</v>
      </c>
      <c r="C131" s="3" t="s">
        <v>485</v>
      </c>
      <c r="D131" s="3" t="s">
        <v>486</v>
      </c>
      <c r="E131" s="3" t="s">
        <v>487</v>
      </c>
      <c r="F131" s="3" t="str">
        <f>IFERROR(__xludf.DUMMYFUNCTION("GOOGLETRANSLATE(B131)")," A série Magisterium")</f>
        <v> A série Magisterium</v>
      </c>
      <c r="G131" s="3" t="str">
        <f>IFERROR(__xludf.DUMMYFUNCTION("GOOGLETRANSLATE(C131)"),"Quando é o próximo livro de magistério será lançado")</f>
        <v>Quando é o próximo livro de magistério será lançado</v>
      </c>
      <c r="H131" s="3" t="str">
        <f>IFERROR(__xludf.DUMMYFUNCTION("GOOGLETRANSLATE(D131)")," A máscara de prata (26 de outubro de 2017)")</f>
        <v> A máscara de prata (26 de outubro de 2017)</v>
      </c>
      <c r="I131" s="3" t="str">
        <f>IFERROR(__xludf.DUMMYFUNCTION("GOOGLETRANSLATE(E131)"),"26 de outubro de 2017")</f>
        <v>26 de outubro de 2017</v>
      </c>
    </row>
    <row r="132" ht="15.75" customHeight="1">
      <c r="A132" s="1">
        <v>130.0</v>
      </c>
      <c r="B132" s="3" t="s">
        <v>488</v>
      </c>
      <c r="C132" s="3" t="s">
        <v>489</v>
      </c>
      <c r="D132" s="3" t="s">
        <v>490</v>
      </c>
      <c r="E132" s="3" t="s">
        <v>491</v>
      </c>
      <c r="F132" s="3" t="str">
        <f>IFERROR(__xludf.DUMMYFUNCTION("GOOGLETRANSLATE(B132)")," Cerimônia de abertura dos Jogos Olímpicos de Inverno de 2018")</f>
        <v> Cerimônia de abertura dos Jogos Olímpicos de Inverno de 2018</v>
      </c>
      <c r="G132" s="3" t="str">
        <f>IFERROR(__xludf.DUMMYFUNCTION("GOOGLETRANSLATE(C132)"),"que está se apresentando na cerimônia de abertura das Olimpíadas de 2018")</f>
        <v>que está se apresentando na cerimônia de abertura das Olimpíadas de 2018</v>
      </c>
      <c r="H132" s="3" t="str">
        <f>IFERROR(__xludf.DUMMYFUNCTION("GOOGLETRANSLATE(D132)"),"  Ha Hyun - Woo da banda Guckkasten, Ahn Ji - Jovem da dupla musical Bolbbalgan4, Lee Eun - Mi e Jeon In - Kwon com sua banda Deulgukhwa tocou e cantou John Lennon '' '`` imagine' na cerimônia de abertura. O coro das crianças do arco -íris executou um arr"&amp;"anjo, com instrumentos musicais tradicionais coreanos, do hino nacional, `` Aegukga ''. A música foi escrita para educar o público sobre várias etnias. A Insooni cantou a música tema do revezamento olímpico PyeongChang 2018, `` deixe todos brilharem ''.")</f>
        <v>  Ha Hyun - Woo da banda Guckkasten, Ahn Ji - Jovem da dupla musical Bolbbalgan4, Lee Eun - Mi e Jeon In - Kwon com sua banda Deulgukhwa tocou e cantou John Lennon '' '`` imagine' na cerimônia de abertura. O coro das crianças do arco -íris executou um arranjo, com instrumentos musicais tradicionais coreanos, do hino nacional, `` Aegukga ''. A música foi escrita para educar o público sobre várias etnias. A Insooni cantou a música tema do revezamento olímpico PyeongChang 2018, `` deixe todos brilharem ''.</v>
      </c>
      <c r="I132" s="3" t="str">
        <f>IFERROR(__xludf.DUMMYFUNCTION("GOOGLETRANSLATE(E132)"),"Ha Hyun - Woo da banda Guckkasten")</f>
        <v>Ha Hyun - Woo da banda Guckkasten</v>
      </c>
    </row>
    <row r="133" ht="15.75" customHeight="1">
      <c r="A133" s="1">
        <v>131.0</v>
      </c>
      <c r="B133" s="3" t="s">
        <v>492</v>
      </c>
      <c r="C133" s="3" t="s">
        <v>493</v>
      </c>
      <c r="D133" s="3" t="s">
        <v>494</v>
      </c>
      <c r="F133" s="3" t="str">
        <f>IFERROR(__xludf.DUMMYFUNCTION("GOOGLETRANSLATE(B133)")," Parafuso morto")</f>
        <v> Parafuso morto</v>
      </c>
      <c r="G133" s="3" t="str">
        <f>IFERROR(__xludf.DUMMYFUNCTION("GOOGLETRANSLATE(C133)"),"O que é uma trava de impasse em uma porta")</f>
        <v>O que é uma trava de impasse em uma porta</v>
      </c>
      <c r="H133" s="3" t="str">
        <f>IFERROR(__xludf.DUMMYFUNCTION("GOOGLETRANSLATE(D133)")," Um parafuso morto, a trava ou trava morta é um mecanismo de travamento distinto de uma trava de parafuso de mola porque um barro de imersão não pode ser movido para a posição aberta, exceto girando a chave. A trava do parafuso da mola mais comum usa uma "&amp;"mola para manter o parafuso no lugar, permitindo a retração aplicando força ao próprio parafuso. Um deadbolt pode, portanto, tornar uma porta mais resistente à entrada sem a chave correta.")</f>
        <v> Um parafuso morto, a trava ou trava morta é um mecanismo de travamento distinto de uma trava de parafuso de mola porque um barro de imersão não pode ser movido para a posição aberta, exceto girando a chave. A trava do parafuso da mola mais comum usa uma mola para manter o parafuso no lugar, permitindo a retração aplicando força ao próprio parafuso. Um deadbolt pode, portanto, tornar uma porta mais resistente à entrada sem a chave correta.</v>
      </c>
      <c r="I133" s="3" t="str">
        <f>IFERROR(__xludf.DUMMYFUNCTION("GOOGLETRANSLATE(E133)"),"#VALUE!")</f>
        <v>#VALUE!</v>
      </c>
    </row>
    <row r="134" ht="15.75" customHeight="1">
      <c r="A134" s="1">
        <v>132.0</v>
      </c>
      <c r="B134" s="3" t="s">
        <v>495</v>
      </c>
      <c r="C134" s="3" t="s">
        <v>496</v>
      </c>
      <c r="D134" s="3" t="s">
        <v>497</v>
      </c>
      <c r="E134" s="3" t="s">
        <v>498</v>
      </c>
      <c r="F134" s="3" t="str">
        <f>IFERROR(__xludf.DUMMYFUNCTION("GOOGLETRANSLATE(B134)")," Você não é (esqueça de mim)")</f>
        <v> Você não é (esqueça de mim)</v>
      </c>
      <c r="G134" s="3" t="str">
        <f>IFERROR(__xludf.DUMMYFUNCTION("GOOGLETRANSLATE(C134)"),"que filme tem a música, não se esqueça de mim")</f>
        <v>que filme tem a música, não se esqueça de mim</v>
      </c>
      <c r="H134" s="3" t="str">
        <f>IFERROR(__xludf.DUMMYFUNCTION("GOOGLETRANSLATE(D134)")," `` Do não você (esqueça de mim) '' é uma música pop de 1985 tocada pela banda de rock escocesa Simple Minds. A música é mais conhecida por ser tocada durante os créditos de abertura e fechamento do filme de John Hughes, The Breakfast Club. Foi escrito e "&amp;"composto pelo produtor Keith Forsey e Steve Schiff, o último dos quais era guitarrista e compositor da banda de Nina Hagen.")</f>
        <v> `` Do não você (esqueça de mim) '' é uma música pop de 1985 tocada pela banda de rock escocesa Simple Minds. A música é mais conhecida por ser tocada durante os créditos de abertura e fechamento do filme de John Hughes, The Breakfast Club. Foi escrito e composto pelo produtor Keith Forsey e Steve Schiff, o último dos quais era guitarrista e compositor da banda de Nina Hagen.</v>
      </c>
      <c r="I134" s="3" t="str">
        <f>IFERROR(__xludf.DUMMYFUNCTION("GOOGLETRANSLATE(E134)"),"O clube do café da manhã")</f>
        <v>O clube do café da manhã</v>
      </c>
    </row>
    <row r="135" ht="15.75" customHeight="1">
      <c r="A135" s="1">
        <v>133.0</v>
      </c>
      <c r="B135" s="3" t="s">
        <v>499</v>
      </c>
      <c r="C135" s="3" t="s">
        <v>500</v>
      </c>
      <c r="D135" s="3" t="s">
        <v>501</v>
      </c>
      <c r="F135" s="3" t="str">
        <f>IFERROR(__xludf.DUMMYFUNCTION("GOOGLETRANSLATE(B135)")," Desvio padrão")</f>
        <v> Desvio padrão</v>
      </c>
      <c r="G135" s="3" t="str">
        <f>IFERROR(__xludf.DUMMYFUNCTION("GOOGLETRANSLATE(C135)"),"O desvio padrão de todos os valores possíveis é chamado")</f>
        <v>O desvio padrão de todos os valores possíveis é chamado</v>
      </c>
      <c r="H135" s="3" t="str">
        <f>IFERROR(__xludf.DUMMYFUNCTION("GOOGLETRANSLATE(D135)")," Além de expressar a variabilidade de uma população, o desvio padrão é comumente usado para medir a confiança nas conclusões estatísticas. Por exemplo, a margem de erro nos dados da pesquisa é determinada calculando o desvio padrão esperado nos resultados"&amp;" se a mesma pesquisa fosse conduzida várias vezes. Essa derivação de um desvio padrão é frequentemente chamada de `` erro padrão '' da estimativa ou `` erro padrão da média '' ao se referir a uma média. É calculado como o desvio padrão de todos os meios q"&amp;"ue seriam calculados a partir dessa população se um número infinito de amostras fosse desenhado e uma média para cada amostra fosse calculada. É muito importante observar que o desvio padrão de uma população e o erro padrão de uma estatística derivada des"&amp;"sa população (como a média) são bastante diferentes, mas relacionados (relacionados pelo inverso da raiz quadrada do número de observações) . A margem relatada de erro de uma pesquisa é calculada a partir do erro padrão da média (ou alternativamente do pr"&amp;"oduto do desvio padrão da população e do inverso da raiz quadrada do tamanho da amostra, o que é a mesma coisa) e é Normalmente, cerca do dobro do desvio padrão - a metade - largura de um intervalo de confiança de 95 %. Na ciência, os pesquisadores geralm"&amp;"ente relatam o desvio padrão de dados experimentais, e apenas efeitos que caem muito mais do que dois desvios padrão do que seria esperado são considerados estatisticamente significativos - erro aleatório normal ou variação nas medições é dessa maneira di"&amp;"stinguida de prováveis ​​efeitos ou associações genuínas. O desvio padrão também é importante em finanças, onde o desvio padrão na taxa de retorno de um investimento é uma medida da volatilidade do investimento.")</f>
        <v> Além de expressar a variabilidade de uma população, o desvio padrão é comumente usado para medir a confiança nas conclusões estatísticas. Por exemplo, a margem de erro nos dados da pesquisa é determinada calculando o desvio padrão esperado nos resultados se a mesma pesquisa fosse conduzida várias vezes. Essa derivação de um desvio padrão é frequentemente chamada de `` erro padrão '' da estimativa ou `` erro padrão da média '' ao se referir a uma média. É calculado como o desvio padrão de todos os meios que seriam calculados a partir dessa população se um número infinito de amostras fosse desenhado e uma média para cada amostra fosse calculada. É muito importante observar que o desvio padrão de uma população e o erro padrão de uma estatística derivada dessa população (como a média) são bastante diferentes, mas relacionados (relacionados pelo inverso da raiz quadrada do número de observações) . A margem relatada de erro de uma pesquisa é calculada a partir do erro padrão da média (ou alternativamente do produto do desvio padrão da população e do inverso da raiz quadrada do tamanho da amostra, o que é a mesma coisa) e é Normalmente, cerca do dobro do desvio padrão - a metade - largura de um intervalo de confiança de 95 %. Na ciência, os pesquisadores geralmente relatam o desvio padrão de dados experimentais, e apenas efeitos que caem muito mais do que dois desvios padrão do que seria esperado são considerados estatisticamente significativos - erro aleatório normal ou variação nas medições é dessa maneira distinguida de prováveis ​​efeitos ou associações genuínas. O desvio padrão também é importante em finanças, onde o desvio padrão na taxa de retorno de um investimento é uma medida da volatilidade do investimento.</v>
      </c>
      <c r="I135" s="3" t="str">
        <f>IFERROR(__xludf.DUMMYFUNCTION("GOOGLETRANSLATE(E135)"),"#VALUE!")</f>
        <v>#VALUE!</v>
      </c>
    </row>
    <row r="136" ht="15.75" customHeight="1">
      <c r="A136" s="1">
        <v>134.0</v>
      </c>
      <c r="B136" s="3" t="s">
        <v>502</v>
      </c>
      <c r="C136" s="3" t="s">
        <v>503</v>
      </c>
      <c r="D136" s="3" t="s">
        <v>504</v>
      </c>
      <c r="E136" s="3" t="s">
        <v>505</v>
      </c>
      <c r="F136" s="3" t="str">
        <f>IFERROR(__xludf.DUMMYFUNCTION("GOOGLETRANSLATE(B136)")," Extremos de temperatura do estado dos EUA")</f>
        <v> Extremos de temperatura do estado dos EUA</v>
      </c>
      <c r="G136" s="3" t="str">
        <f>IFERROR(__xludf.DUMMYFUNCTION("GOOGLETRANSLATE(C136)"),"Qual é a temperatura mais baixa já registrada em Vermont")</f>
        <v>Qual é a temperatura mais baixa já registrada em Vermont</v>
      </c>
      <c r="H136" s="3" t="str">
        <f>IFERROR(__xludf.DUMMYFUNCTION("GOOGLETRANSLATE(D136)"),"   Estado recorde a data de alta temperatura local Registro de baixa temperatura Data (s) Alabama 110 ° F / 44 ° C 000000001925 - 09 - 05 - 0000 5 de setembro de 1925 Centerville - 27 ° F / - 33 ° C 000000001966 - 01 - 30 - 0000 30 de janeiro de 1966 Novo"&amp;" mercado Alasca 100 ° F / 38 ° C 000000001915 - 06 - 27 - 0000 27 de junho de 1915 Fort Yukon - 80 ° F / - 62 ° C 000000001971 - 01 - 23 - 0000 de janeiro Prospect Creek Arizona 128 ° F / 53 ° C 000000001994 - 06 - 29 - 0000 29 de junho de 1994 Lake Havas"&amp;"u City - 40 ° F / - 40 ° C 00000000001971 - 01 - 07 - 0000 7 de janeiro, 1971 McNary arkans 120 49 ° C 000000001936 - 08 - 10 - 0000 10 de agosto de 1936 Ozark - 29 ° F / - 34 ° C 000000001905 - 02 - 13 - 0000 13 de fevereiro, 1905 Gravette Califórnia 134"&amp;" ° F / 57 ° C 0000001913 - 0. 0000 10 de julho de 1913 Furnace Creek - 45 ° F / - 43 ° C 000000001937 - 01 - 20 - 0000 20 de janeiro de 1937 Boca Colorado 114 ° F / 46 ° C 000000001954 - 07 - 11 - 0000 julho, 1954 sedg. ° F / - 52 ° C 000000001985 - 02 - "&amp;"01 - 0000 1 de fevereiro de 1985 Maybell Connecticut 106 ° F / 41 ° C 000000001995 - 07 - 15 - 0000 15 de julho, 1995 Danbury - 37 ° F / − 38 ° C 00 02 - 16 - 0000 16 de fevereiro de 1943 Norfolk Delaware 110 ° F / 43 ° C 000000001930 - 07 - 21 - 0000 21 "&amp;"de julho de 1930 Millsboro - 17 ° F / - 27 ° C 0000001893 - 01 - 17 - 00 00 17, 1893 Distrito de Millsboro de Columbia 106 ° F / 41 ° C 000000001930 - 07 - 20 - 0000 20 de julho de 1930 Washington - 15 ° F / - 26 ° C 000000001899 - 02 - 11 - 0000 11 de fe"&amp;"vereiro de 1899 Washington Flora 109 ° F / 43 ° C 000000001931 - 06 - 29 - 0000 29 de junho de 1931 Monticello - 2 ° F / - 19 ° C 000000001899 - 02 - 13 - 0000 0000 0000, 1899 TaLahassee Georgia 112 ° / 44 ° C ° C 00. 20 de agosto de 1983 * Greenville - 1"&amp;"7 ° F / - 27 ° C 000000001940 - 01 - 27 - 0000 27 de janeiro de 1940 Chatsworth Hawaii 98 ° F / 37 ° C 000000001957 - 07 - 14 - 0000 14 de julho, 1957 punene * 15 ° F / - 9 ° C 000000001975 - 01 - 05 - 0000 5 de janeiro de 1975 Observadores de Mauna Kea I"&amp;"daho 118 ° F / 48 ° C 000000001934 - 07 - 28 - 0000 28 de julho de 1934 Orofino - 60 ° F / - 51 ° C 0000 28 de julho de 1934 - 01 - 18 - 0000 18 de janeiro de 1943 Island Park Illinois 117 ° F / 47 ° C 000000001954 - 07 - 14 - 0000 14 de julho de 1954 Sai"&amp;"nt Louis - 36 ° F / - 38 ° C 000000001999 - 01 - 05 - 0000 5 de janeiro de 1999 Congerville Indiana 116 ° F / 47 ° C 000000001936 - 07 - 14 - 0000 14 de julho de 1936 Collegeville - 36 ° F / - 38 ° C 00000000001994 - 01 - 19 - 0000 19, 1994 New Whiteland "&amp;"Iowa 118 ° F / 48 ° C 000000001934 - 07 - 20 - 0000 20 de julho de 1934 Keokuk - 47 ° F / - 44 ° C 000000001996 - 02 - 03 - 0000 3 de fevereiro de 1996 * Elkader Kansas 121 ° / 49 0000 - 24 - 0000 24 de julho de 1936 * Alton - 40 ° F / - 40 ° C 0000000019"&amp;"05 - 02 - 13 - 0000 13 de fevereiro de 1905 Líbano Kentucky 114 ° F / 46 ° C 000000001930 - 07 - 28 - 0000 28, 1930 GREENSBURG - 37 ° F / - 38 ° C 000000001994 - 01 - 19 - 0000 19 de janeiro de 1994 Shelbyville Louisiana 114 ° F / 46 ° C 000000001936 - 08"&amp;" - 10 - 0000 10, 1936 Plain Deleming - 16 ° ° C 000000001899 - 02 - 13 - 0000 13 de fevereiro de 1899 Minden Maine 105 ° F / 41 ° C 000000001911 - 07 - 10 - 0000 10 de julho de 1911 * Bridgton North - 50 ° F / - 46 ° C 000000002009 - - 0000 16 de janeiro "&amp;"de 2009 Clayton Lake Maryland 109 ° F / 43 ° C 000000001936 - 07 - 10 - 0000 10 de julho de 1936 * Cumberland - 40 ° F / - 40 ° C 000000001912 - 01 - 13 - 0000 Massachusetts 107 ° F / 42 ° C 000000001975 - 08 - 02 - 0000 2 de agosto de 1975 New Bedford - "&amp;"40 ° F / - 40 ° C 000000001984 - 01 - 22 - 0000 22 de janeiro, 1984 CHESTER MICHIGAN 112 ° F / 44 000000001936 - 07 - 13 - 0000 July 13 , 1936   Mio   − 51 ° F / − 46 ° C   000000001934 - 02 - 09 - 0000 February 9 , 1934   Vanderbilt     Minnesota   115 °"&amp;" F / 46 ° C   000000001917 - 07 - 29 - 0000 July 29 , 1917 Beardsley - 60 ° F / - 51 ° C 000000001996 - 02 - 02 - 0000 2 de fevereiro de 1996 Tower Mississippi 115 ° F / 46 ° C 000000001930 - 07 - 29 - 0000 29 de julho, 1930 Springs Holly 19 ° - 28 ° C 00"&amp;"0000001966 - 01 - 30 - 0000 30 de janeiro de 1966 Corinto Missouri 118 ° F / 48 ° C 000000001954 - 07 - 14 - 0000 14 de julho, 1954 * Varsóvia - 40 ° F / - 40 ° C 00000000190 - 13 - 0000 February 13 , 1905   Warsaw     Montana   117 ° F / 47 ° C   0000000"&amp;"01937 - 07 - 05 - 0000 July 5 , 1937   Medicine Lake   − 70 ° F / − 57 ° C   000000001954 - 01 - 20 - 0000 January 20 , 1954   Lincoln (Rogers Pass) Nebraska 118 ° F / 48 ° C 000000001936 - 07 - 24 - 0000 24 de julho de 1936 * Minden - 47 ° F / - 44 ° C 0"&amp;"00000001989 - 12 - 22 de dezembro 22, 1989 * Oshkosh Nevada 125 F / 52 ° C 000000001994 - 06 - 29 - 0000 29 de junho de 1994 Laughlin - 50 ° F / - 46 ° C 000000001937 - 01 - 08 - 0000 8 de janeiro de 1937 San Jacinto Hampshire 106 ° / 41 0000 07 - 04 - 00"&amp;"00 4 de julho de 1911 Nashua - 47 ° F / - 44 ° C 000000001885 - 01 - 22 - 0000 22 de janeiro de 1885 Randolph Nova Jersey 110 ° F / 43 ° C 000000001936 - 07 - 10 - 00 ° 1936 RUNYON - 34 ° F / - 37 ° C 000000001904 - 01 - 05 - 0000 5 de janeiro de 1904 Val"&amp;"e do rio Novo México 122 ° F / 50 ° C 000000001994 - 06 - 27 - 0000 27, 1994 Isolação de resíduos ° F / - 46 ° C 000000001951 - 02 - 01 - 0000 1 de fevereiro de 1951 Gavilan Nova York 109 ° F / 43 ° C 000000001926 - 07 - 22 - 0000 22, 1926 Troy - 52 ° F /"&amp;" − 47 ° ° C 00. - 02 - 18 - 0000 18 de fevereiro de 1979 * Old Forge Carolina do Norte 110 ° F / 43 ° C 000000001983 - 08 - 21 - 0000 21 de agosto de 1983 Fayetteville - 34 ° F / - 37 ° C 000000001985 - 01 - 21 - ° 00 21 de janeiro de 1985 Burnsville Dako"&amp;"ta do Norte 121 ° F / 49 ° C 000000001936 - 07 - 06 - 0000 6 de julho de 1936 Steele - 60 ° F / - 51 ° C 0000001936 - 02 - 15 - 0000 FEBREVERY 15, 1936, ohio. F / 45 ° C 000000001934 - 07 - 21 - 0000 21 de julho de 1934 Gallipolis - 39 ° F / - 39 ° C 0000"&amp;"001899 - 02 - 10 - 0000 10 de fevereiro, 1899 Miligan Oklahoma 120 ° / 49 0000 12 - 0000 12 de agosto de 1936 * Altus - 31 ° F / - 35 ° C 000000002011 - 02 - 10 - 0000 10 de fevereiro de 2011 Nowata Oregon 117 ° F / 47 ° C 000000001939 - 07 - 27 - 0000 ju"&amp;"lho, 1939 - 54 ° F / - 48 ° C 000000001933 - 02 - 10 - 0000 10 de fevereiro de 1933 * Seneca Pennsylvania 111 ° F / 44 ° C 00000000001936 - 07 - 10 ° F 10 de julho, 1936 * Phoenixville - 42 ° 00. ° C 000000001904 - 01 - 05 - 0000 5 de janeiro de 1904 SMET"&amp;"HPORT RHODE ILHA 104 ° F / 40 ° C 000000001975 - 08 - 02 - 0000 2 de agosto de 1975 Providence - 28 ° F / - 33 ° C 000000192 0000 17 de janeiro de 1942 Richmond Carolina do Sul 113 ° F / 45 ° C 000000002012 - 06 - 30 - 0000 30 de junho de 2012 * Camden - "&amp;"22 ° F / - 30 ° C 000000001985 - 01 - 21 - 0000 21 de janeiro, 1985 Landrum sul Dakota 120 ° F / 49 ° C 000000002006 - 07 - 15 - 0000 15 de julho de 2006 * Fort Pierre * - 58 ° F / - 50 ° C 000000001936 - 02 - 17 - 0000 17 de fevereiro, 1936 McINTOSHENESS"&amp;"EETEME ° C 000000001933 - 08 - 09 - 0000 9 de agosto de 1933 * PERRYVILLE - 32 ° F / - 36 ° C 000000001917 - 12 - 30 - 0000 30 de dezembro de 1917 Mountain City Texas 120 ° F / 49 ° C 00000019994 - 0000 28 de junho de 1994 * Monahans - 23 ° F / - 31 ° C 0"&amp;"00000001933 - 02 - 08 - 0000 8 de fevereiro de 1933 * Seminole Utah 117 ° F / 47 ° C 000000001985 - 07 - 05 - 0000 George - 69 ° F / - 46 ° C 000000001985 - 02 - 01 - 0000 1 de fevereiro de 1985 Peter afunda Vermont 105 ° F / 41 ° C 000000001911 - 07 - 04"&amp;" - 0000 4 de julho, 1911 Vernon - 50 ° ° C 000000001933 - 12 - 30 - 0000 30 de dezembro de 1933 Bloomfield Virginia 110 ° F / 43 ° C 000000001954 - 07 - 15 - 0000 15 de julho de 1954 Balcony Falls - 30 ° F / - 34 ° C 0000001985 -1 0000 22 de janeiro de 19"&amp;"85 Pembroke Washington 118 ° F / 48 ° C 000000001961 - 08 - 05 - 0000 5 de agosto de 1961 * Burbank - 48 ° F / - 44 ° C ° C 000000001968 - 12 - 30 - 0000 de dezembro, 1968 Maza 112 ° F / 44 ° C 000000001936 - 07 - 10 - 0000 10 de julho de 1936 * Martinsbu"&amp;"rg - 37 ° F / - 38 ° C 00000000001917 - 12 - 30 - 0000 30 de dezembro de 1917 CEWISBURGO WISCONSIN 114 ° F / 46 - 07 - 13 - 0000 13 de julho de 1936 Wisconsin dells - 55 ° F / - 48 ° C 000000001996 - 02 - 04 - 0000 4 de fevereiro de 1996 Couderay Wyoming "&amp;"115 ° F / 46 ° C 0000001983 - 08 , 1983 Bacia - 63 ° F / - 53 ° C 000000001933 - 02 - 09 - 0000 9 de fevereiro de 1933 Moran")</f>
        <v>   Estado recorde a data de alta temperatura local Registro de baixa temperatura Data (s) Alabama 110 ° F / 44 ° C 000000001925 - 09 - 05 - 0000 5 de setembro de 1925 Centerville - 27 ° F / - 33 ° C 000000001966 - 01 - 30 - 0000 30 de janeiro de 1966 Novo mercado Alasca 100 ° F / 38 ° C 000000001915 - 06 - 27 - 0000 27 de junho de 1915 Fort Yukon - 80 ° F / - 62 ° C 000000001971 - 01 - 23 - 0000 de janeiro Prospect Creek Arizona 128 ° F / 53 ° C 000000001994 - 06 - 29 - 0000 29 de junho de 1994 Lake Havasu City - 40 ° F / - 40 ° C 00000000001971 - 01 - 07 - 0000 7 de janeiro, 1971 McNary arkans 120 49 ° C 000000001936 - 08 - 10 - 0000 10 de agosto de 1936 Ozark - 29 ° F / - 34 ° C 000000001905 - 02 - 13 - 0000 13 de fevereiro, 1905 Gravette Califórnia 134 ° F / 57 ° C 0000001913 - 0. 0000 10 de julho de 1913 Furnace Creek - 45 ° F / - 43 ° C 000000001937 - 01 - 20 - 0000 20 de janeiro de 1937 Boca Colorado 114 ° F / 46 ° C 000000001954 - 07 - 11 - 0000 julho, 1954 sedg. ° F / - 52 ° C 000000001985 - 02 - 01 - 0000 1 de fevereiro de 1985 Maybell Connecticut 106 ° F / 41 ° C 000000001995 - 07 - 15 - 0000 15 de julho, 1995 Danbury - 37 ° F / − 38 ° C 00 02 - 16 - 0000 16 de fevereiro de 1943 Norfolk Delaware 110 ° F / 43 ° C 000000001930 - 07 - 21 - 0000 21 de julho de 1930 Millsboro - 17 ° F / - 27 ° C 0000001893 - 01 - 17 - 00 00 17, 1893 Distrito de Millsboro de Columbia 106 ° F / 41 ° C 000000001930 - 07 - 20 - 0000 20 de julho de 1930 Washington - 15 ° F / - 26 ° C 000000001899 - 02 - 11 - 0000 11 de fevereiro de 1899 Washington Flora 109 ° F / 43 ° C 000000001931 - 06 - 29 - 0000 29 de junho de 1931 Monticello - 2 ° F / - 19 ° C 000000001899 - 02 - 13 - 0000 0000 0000, 1899 TaLahassee Georgia 112 ° / 44 ° C ° C 00. 20 de agosto de 1983 * Greenville - 17 ° F / - 27 ° C 000000001940 - 01 - 27 - 0000 27 de janeiro de 1940 Chatsworth Hawaii 98 ° F / 37 ° C 000000001957 - 07 - 14 - 0000 14 de julho, 1957 punene * 15 ° F / - 9 ° C 000000001975 - 01 - 05 - 0000 5 de janeiro de 1975 Observadores de Mauna Kea Idaho 118 ° F / 48 ° C 000000001934 - 07 - 28 - 0000 28 de julho de 1934 Orofino - 60 ° F / - 51 ° C 0000 28 de julho de 1934 - 01 - 18 - 0000 18 de janeiro de 1943 Island Park Illinois 117 ° F / 47 ° C 000000001954 - 07 - 14 - 0000 14 de julho de 1954 Saint Louis - 36 ° F / - 38 ° C 000000001999 - 01 - 05 - 0000 5 de janeiro de 1999 Congerville Indiana 116 ° F / 47 ° C 000000001936 - 07 - 14 - 0000 14 de julho de 1936 Collegeville - 36 ° F / - 38 ° C 00000000001994 - 01 - 19 - 0000 19, 1994 New Whiteland Iowa 118 ° F / 48 ° C 000000001934 - 07 - 20 - 0000 20 de julho de 1934 Keokuk - 47 ° F / - 44 ° C 000000001996 - 02 - 03 - 0000 3 de fevereiro de 1996 * Elkader Kansas 121 ° / 49 0000 - 24 - 0000 24 de julho de 1936 * Alton - 40 ° F / - 40 ° C 000000001905 - 02 - 13 - 0000 13 de fevereiro de 1905 Líbano Kentucky 114 ° F / 46 ° C 000000001930 - 07 - 28 - 0000 28, 1930 GREENSBURG - 37 ° F / - 38 ° C 000000001994 - 01 - 19 - 0000 19 de janeiro de 1994 Shelbyville Louisiana 114 ° F / 46 ° C 000000001936 - 08 - 10 - 0000 10, 1936 Plain Deleming - 16 ° ° C 000000001899 - 02 - 13 - 0000 13 de fevereiro de 1899 Minden Maine 105 ° F / 41 ° C 000000001911 - 07 - 10 - 0000 10 de julho de 1911 * Bridgton North - 50 ° F / - 46 ° C 000000002009 - - 0000 16 de janeiro de 2009 Clayton Lake Maryland 109 ° F / 43 ° C 000000001936 - 07 - 10 - 0000 10 de julho de 1936 * Cumberland - 40 ° F / - 40 ° C 000000001912 - 01 - 13 - 0000 Massachusetts 107 ° F / 42 ° C 000000001975 - 08 - 02 - 0000 2 de agosto de 1975 New Bedford - 40 ° F / - 40 ° C 000000001984 - 01 - 22 - 0000 22 de janeiro, 1984 CHESTER MICHIGAN 112 ° F / 44 000000001936 - 07 - 13 - 0000 July 13 , 1936   Mio   − 51 ° F / − 46 ° C   000000001934 - 02 - 09 - 0000 February 9 , 1934   Vanderbilt     Minnesota   115 ° F / 46 ° C   000000001917 - 07 - 29 - 0000 July 29 , 1917 Beardsley - 60 ° F / - 51 ° C 000000001996 - 02 - 02 - 0000 2 de fevereiro de 1996 Tower Mississippi 115 ° F / 46 ° C 000000001930 - 07 - 29 - 0000 29 de julho, 1930 Springs Holly 19 ° - 28 ° C 000000001966 - 01 - 30 - 0000 30 de janeiro de 1966 Corinto Missouri 118 ° F / 48 ° C 000000001954 - 07 - 14 - 0000 14 de julho, 1954 * Varsóvia - 40 ° F / - 40 ° C 00000000190 - 13 - 0000 February 13 , 1905   Warsaw     Montana   117 ° F / 47 ° C   000000001937 - 07 - 05 - 0000 July 5 , 1937   Medicine Lake   − 70 ° F / − 57 ° C   000000001954 - 01 - 20 - 0000 January 20 , 1954   Lincoln (Rogers Pass) Nebraska 118 ° F / 48 ° C 000000001936 - 07 - 24 - 0000 24 de julho de 1936 * Minden - 47 ° F / - 44 ° C 000000001989 - 12 - 22 de dezembro 22, 1989 * Oshkosh Nevada 125 F / 52 ° C 000000001994 - 06 - 29 - 0000 29 de junho de 1994 Laughlin - 50 ° F / - 46 ° C 000000001937 - 01 - 08 - 0000 8 de janeiro de 1937 San Jacinto Hampshire 106 ° / 41 0000 07 - 04 - 0000 4 de julho de 1911 Nashua - 47 ° F / - 44 ° C 000000001885 - 01 - 22 - 0000 22 de janeiro de 1885 Randolph Nova Jersey 110 ° F / 43 ° C 000000001936 - 07 - 10 - 00 ° 1936 RUNYON - 34 ° F / - 37 ° C 000000001904 - 01 - 05 - 0000 5 de janeiro de 1904 Vale do rio Novo México 122 ° F / 50 ° C 000000001994 - 06 - 27 - 0000 27, 1994 Isolação de resíduos ° F / - 46 ° C 000000001951 - 02 - 01 - 0000 1 de fevereiro de 1951 Gavilan Nova York 109 ° F / 43 ° C 000000001926 - 07 - 22 - 0000 22, 1926 Troy - 52 ° F / − 47 ° ° C 00. - 02 - 18 - 0000 18 de fevereiro de 1979 * Old Forge Carolina do Norte 110 ° F / 43 ° C 000000001983 - 08 - 21 - 0000 21 de agosto de 1983 Fayetteville - 34 ° F / - 37 ° C 000000001985 - 01 - 21 - ° 00 21 de janeiro de 1985 Burnsville Dakota do Norte 121 ° F / 49 ° C 000000001936 - 07 - 06 - 0000 6 de julho de 1936 Steele - 60 ° F / - 51 ° C 0000001936 - 02 - 15 - 0000 FEBREVERY 15, 1936, ohio. F / 45 ° C 000000001934 - 07 - 21 - 0000 21 de julho de 1934 Gallipolis - 39 ° F / - 39 ° C 0000001899 - 02 - 10 - 0000 10 de fevereiro, 1899 Miligan Oklahoma 120 ° / 49 0000 12 - 0000 12 de agosto de 1936 * Altus - 31 ° F / - 35 ° C 000000002011 - 02 - 10 - 0000 10 de fevereiro de 2011 Nowata Oregon 117 ° F / 47 ° C 000000001939 - 07 - 27 - 0000 julho, 1939 - 54 ° F / - 48 ° C 000000001933 - 02 - 10 - 0000 10 de fevereiro de 1933 * Seneca Pennsylvania 111 ° F / 44 ° C 00000000001936 - 07 - 10 ° F 10 de julho, 1936 * Phoenixville - 42 ° 00. ° C 000000001904 - 01 - 05 - 0000 5 de janeiro de 1904 SMETHPORT RHODE ILHA 104 ° F / 40 ° C 000000001975 - 08 - 02 - 0000 2 de agosto de 1975 Providence - 28 ° F / - 33 ° C 000000192 0000 17 de janeiro de 1942 Richmond Carolina do Sul 113 ° F / 45 ° C 000000002012 - 06 - 30 - 0000 30 de junho de 2012 * Camden - 22 ° F / - 30 ° C 000000001985 - 01 - 21 - 0000 21 de janeiro, 1985 Landrum sul Dakota 120 ° F / 49 ° C 000000002006 - 07 - 15 - 0000 15 de julho de 2006 * Fort Pierre * - 58 ° F / - 50 ° C 000000001936 - 02 - 17 - 0000 17 de fevereiro, 1936 McINTOSHENESSEETEME ° C 000000001933 - 08 - 09 - 0000 9 de agosto de 1933 * PERRYVILLE - 32 ° F / - 36 ° C 000000001917 - 12 - 30 - 0000 30 de dezembro de 1917 Mountain City Texas 120 ° F / 49 ° C 00000019994 - 0000 28 de junho de 1994 * Monahans - 23 ° F / - 31 ° C 000000001933 - 02 - 08 - 0000 8 de fevereiro de 1933 * Seminole Utah 117 ° F / 47 ° C 000000001985 - 07 - 05 - 0000 George - 69 ° F / - 46 ° C 000000001985 - 02 - 01 - 0000 1 de fevereiro de 1985 Peter afunda Vermont 105 ° F / 41 ° C 000000001911 - 07 - 04 - 0000 4 de julho, 1911 Vernon - 50 ° ° C 000000001933 - 12 - 30 - 0000 30 de dezembro de 1933 Bloomfield Virginia 110 ° F / 43 ° C 000000001954 - 07 - 15 - 0000 15 de julho de 1954 Balcony Falls - 30 ° F / - 34 ° C 0000001985 -1 0000 22 de janeiro de 1985 Pembroke Washington 118 ° F / 48 ° C 000000001961 - 08 - 05 - 0000 5 de agosto de 1961 * Burbank - 48 ° F / - 44 ° C ° C 000000001968 - 12 - 30 - 0000 de dezembro, 1968 Maza 112 ° F / 44 ° C 000000001936 - 07 - 10 - 0000 10 de julho de 1936 * Martinsburg - 37 ° F / - 38 ° C 00000000001917 - 12 - 30 - 0000 30 de dezembro de 1917 CEWISBURGO WISCONSIN 114 ° F / 46 - 07 - 13 - 0000 13 de julho de 1936 Wisconsin dells - 55 ° F / - 48 ° C 000000001996 - 02 - 04 - 0000 4 de fevereiro de 1996 Couderay Wyoming 115 ° F / 46 ° C 0000001983 - 08 , 1983 Bacia - 63 ° F / - 53 ° C 000000001933 - 02 - 09 - 0000 9 de fevereiro de 1933 Moran</v>
      </c>
      <c r="I136" s="3" t="str">
        <f>IFERROR(__xludf.DUMMYFUNCTION("GOOGLETRANSLATE(E136)"),"- 50 ° F / - 46 ° C")</f>
        <v>- 50 ° F / - 46 ° C</v>
      </c>
    </row>
    <row r="137" ht="15.75" customHeight="1">
      <c r="A137" s="1">
        <v>135.0</v>
      </c>
      <c r="B137" s="3" t="s">
        <v>506</v>
      </c>
      <c r="C137" s="3" t="s">
        <v>507</v>
      </c>
      <c r="D137" s="3" t="s">
        <v>508</v>
      </c>
      <c r="E137" s="3" t="s">
        <v>509</v>
      </c>
      <c r="F137" s="3" t="str">
        <f>IFERROR(__xludf.DUMMYFUNCTION("GOOGLETRANSLATE(B137)")," 1980 Erupção de Mount St. Helens")</f>
        <v> 1980 Erupção de Mount St. Helens</v>
      </c>
      <c r="G137" s="3" t="str">
        <f>IFERROR(__xludf.DUMMYFUNCTION("GOOGLETRANSLATE(C137)"),"Quando foi a última vez que o Monte Saint Helens explodiu")</f>
        <v>Quando foi a última vez que o Monte Saint Helens explodiu</v>
      </c>
      <c r="H137" s="3" t="str">
        <f>IFERROR(__xludf.DUMMYFUNCTION("GOOGLETRANSLATE(D137)")," Em 18 de maio de 1980, ocorreu uma grande erupção vulcânica em Mount St. Helens, um vulcão localizado no condado de Skamania, no estado de Washington. A erupção (um evento VEI 5) foi a erupção vulcânica mais significativa que ocorre nos 48 estados contíg"&amp;"uos dos EUA desde a erupção muito menor de 1915 do Lassen Peak na Califórnia. Muitas vezes foi declarado como a erupção vulcânica mais desastrosa da história dos EUA. A erupção foi precedida por uma série de dois meses de terremotos e episódios de ventila"&amp;"ção a vapor, causados ​​por uma injeção de magma a profundidade rasa abaixo do vulcão que criou uma grande protuberância e um sistema de fratura na encosta norte da montanha.")</f>
        <v> Em 18 de maio de 1980, ocorreu uma grande erupção vulcânica em Mount St. Helens, um vulcão localizado no condado de Skamania, no estado de Washington. A erupção (um evento VEI 5) foi a erupção vulcânica mais significativa que ocorre nos 48 estados contíguos dos EUA desde a erupção muito menor de 1915 do Lassen Peak na Califórnia. Muitas vezes foi declarado como a erupção vulcânica mais desastrosa da história dos EUA. A erupção foi precedida por uma série de dois meses de terremotos e episódios de ventilação a vapor, causados ​​por uma injeção de magma a profundidade rasa abaixo do vulcão que criou uma grande protuberância e um sistema de fratura na encosta norte da montanha.</v>
      </c>
      <c r="I137" s="3" t="str">
        <f>IFERROR(__xludf.DUMMYFUNCTION("GOOGLETRANSLATE(E137)"),"18 de maio de 1980")</f>
        <v>18 de maio de 1980</v>
      </c>
    </row>
    <row r="138" ht="15.75" customHeight="1">
      <c r="A138" s="1">
        <v>136.0</v>
      </c>
      <c r="B138" s="3" t="s">
        <v>510</v>
      </c>
      <c r="C138" s="3" t="s">
        <v>511</v>
      </c>
      <c r="D138" s="3" t="s">
        <v>512</v>
      </c>
      <c r="E138" s="3" t="s">
        <v>513</v>
      </c>
      <c r="F138" s="3" t="str">
        <f>IFERROR(__xludf.DUMMYFUNCTION("GOOGLETRANSLATE(B138)")," 7 onze")</f>
        <v> 7 onze</v>
      </c>
      <c r="G138" s="3" t="str">
        <f>IFERROR(__xludf.DUMMYFUNCTION("GOOGLETRANSLATE(C138)"),"Quantas 7 elevens estão no mundo")</f>
        <v>Quantas 7 elevens estão no mundo</v>
      </c>
      <c r="H138" s="3" t="str">
        <f>IFERROR(__xludf.DUMMYFUNCTION("GOOGLETRANSLATE(D138)")," 7 - Onze Inc. é uma cadeia internacional americana japonesa de lojas de conveniência, com sede em Dallas, Texas. A cadeia era conhecida como Tote 'M Stores até ser renomeada em 1946. Sua empresa controladora, Seven - Eleven Japan Co., Ltd., opera, franqu"&amp;"ias e licenças 66.579 lojas em 17 países em 30 de junho de 2018. Sete - Onze O Japão está sediado em Chiyoda, Tóquio e mantido pelo Seven &amp; I Holdings Co.")</f>
        <v> 7 - Onze Inc. é uma cadeia internacional americana japonesa de lojas de conveniência, com sede em Dallas, Texas. A cadeia era conhecida como Tote 'M Stores até ser renomeada em 1946. Sua empresa controladora, Seven - Eleven Japan Co., Ltd., opera, franquias e licenças 66.579 lojas em 17 países em 30 de junho de 2018. Sete - Onze O Japão está sediado em Chiyoda, Tóquio e mantido pelo Seven &amp; I Holdings Co.</v>
      </c>
      <c r="I138" s="3" t="str">
        <f>IFERROR(__xludf.DUMMYFUNCTION("GOOGLETRANSLATE(E138)"),"66.579")</f>
        <v>66.579</v>
      </c>
    </row>
    <row r="139" ht="15.75" customHeight="1">
      <c r="A139" s="1">
        <v>137.0</v>
      </c>
      <c r="B139" s="3" t="s">
        <v>240</v>
      </c>
      <c r="C139" s="3" t="s">
        <v>514</v>
      </c>
      <c r="D139" s="3" t="s">
        <v>515</v>
      </c>
      <c r="E139" s="3" t="s">
        <v>516</v>
      </c>
      <c r="F139" s="3" t="str">
        <f>IFERROR(__xludf.DUMMYFUNCTION("GOOGLETRANSLATE(B139)")," Temperança `` ossos '' Brennan")</f>
        <v> Temperança `` ossos '' Brennan</v>
      </c>
      <c r="G139" s="3" t="str">
        <f>IFERROR(__xludf.DUMMYFUNCTION("GOOGLETRANSLATE(C139)"),"Quando Booth e Brennan se tornam um casal")</f>
        <v>Quando Booth e Brennan se tornam um casal</v>
      </c>
      <c r="H139" s="3" t="str">
        <f>IFERROR(__xludf.DUMMYFUNCTION("GOOGLETRANSLATE(D139)")," No início da 7ª temporada, Brennan e Booth muito grávidas são um casal, mas estão indo e voltando entre os apartamentos. Booth sugere que eles tenham seu próprio lugar, enquanto Brennan quer que Booth se mude para o apartamento dela. Isso causa uma peque"&amp;"na brecha entre eles, mas é resolvida quando Booth admite por que ele quer se mudar para uma nova casa e Brennan tendo algum tempo para pensar sobre isso diz que é uma boa ideia porque ela precisa dele praticamente, emocional e sexualmente. No episódio 6,"&amp;" `` The Crack in the Code ', eles decidem comprar uma casa de dois andares nos subúrbios - que eles chamavam de brincadeira de `` The Mighty Hut' ' - que o estande encontrou em um leilão policial e reformado Ele (de acordo com um cheque enviado enviado a "&amp;"Brennan em `` The Heires in the Hill '', na 9ª temporada, o endereço `` Mighty Hut '' é `` 1297 Janus Street, Washington DC, 20002 '') . No episódio 7, `` O prisioneiro no cachimbo '', Brennan entra em trabalho de parto dentro de uma prisão assim que desc"&amp;"obre quem matou em um preso lá e Booth a apressa com a intenção de levá -la ao hospital mais próximo, mas ambos Saiba que ela não chegará a tempo. Isso os leva a dirigir para uma pousada perto da prisão. A princípio, eles são rejeitados e são instruídos a"&amp;" sair, mas depois de alguns suplicantes desesperados de um Brennan agonizado, os dois são levados a uma barraca onde ela dá à luz sua filha, Christine Angela Booth (nomeada após a mãe da temperança, Christine Brennan e a melhor amiga de Temperance, Angela"&amp;" Montenegro). Algum tempo após o parto, Temperança e Seeley voltam para sua casa, onde comemoram com seus amigos do Jeffersonian, que trouxe jantares que duram algumas noites e alguns suprimentos para bebês. Em `` o passado no presente '', Brennan se torn"&amp;"a o principal suspeito do assassinato de seu amigo esquizofrênico, Ethan Sawyer, depois de supostamente ameaçar matar Christine. Max aconselha Brennan a sair da grade e se esconder, mas ela e Booth não acompanham essa sugestão. No entanto, no final do epi"&amp;"sódio, depois que Christine é batizada em uma Igreja Católica, é revelado que Brennan decidiu seguir o conselho de seu pai e fugir com a filha até que o nome dela seja liberado. Pouco antes de Brennan foge da cidade com Christine, ela diz a Booth que o am"&amp;"a e não apenas por causa da filha deles. Depois que ela é liberada do assassinato de Sawyer, Brennan, Booth e Christine retomam sua vida familiar.")</f>
        <v> No início da 7ª temporada, Brennan e Booth muito grávidas são um casal, mas estão indo e voltando entre os apartamentos. Booth sugere que eles tenham seu próprio lugar, enquanto Brennan quer que Booth se mude para o apartamento dela. Isso causa uma pequena brecha entre eles, mas é resolvida quando Booth admite por que ele quer se mudar para uma nova casa e Brennan tendo algum tempo para pensar sobre isso diz que é uma boa ideia porque ela precisa dele praticamente, emocional e sexualmente. No episódio 6, `` The Crack in the Code ', eles decidem comprar uma casa de dois andares nos subúrbios - que eles chamavam de brincadeira de `` The Mighty Hut' ' - que o estande encontrou em um leilão policial e reformado Ele (de acordo com um cheque enviado enviado a Brennan em `` The Heires in the Hill '', na 9ª temporada, o endereço `` Mighty Hut '' é `` 1297 Janus Street, Washington DC, 20002 '') . No episódio 7, `` O prisioneiro no cachimbo '', Brennan entra em trabalho de parto dentro de uma prisão assim que descobre quem matou em um preso lá e Booth a apressa com a intenção de levá -la ao hospital mais próximo, mas ambos Saiba que ela não chegará a tempo. Isso os leva a dirigir para uma pousada perto da prisão. A princípio, eles são rejeitados e são instruídos a sair, mas depois de alguns suplicantes desesperados de um Brennan agonizado, os dois são levados a uma barraca onde ela dá à luz sua filha, Christine Angela Booth (nomeada após a mãe da temperança, Christine Brennan e a melhor amiga de Temperance, Angela Montenegro). Algum tempo após o parto, Temperança e Seeley voltam para sua casa, onde comemoram com seus amigos do Jeffersonian, que trouxe jantares que duram algumas noites e alguns suprimentos para bebês. Em `` o passado no presente '', Brennan se torna o principal suspeito do assassinato de seu amigo esquizofrênico, Ethan Sawyer, depois de supostamente ameaçar matar Christine. Max aconselha Brennan a sair da grade e se esconder, mas ela e Booth não acompanham essa sugestão. No entanto, no final do episódio, depois que Christine é batizada em uma Igreja Católica, é revelado que Brennan decidiu seguir o conselho de seu pai e fugir com a filha até que o nome dela seja liberado. Pouco antes de Brennan foge da cidade com Christine, ela diz a Booth que o ama e não apenas por causa da filha deles. Depois que ela é liberada do assassinato de Sawyer, Brennan, Booth e Christine retomam sua vida familiar.</v>
      </c>
      <c r="I139" s="3" t="str">
        <f>IFERROR(__xludf.DUMMYFUNCTION("GOOGLETRANSLATE(E139)"),"No início da 7ª temporada")</f>
        <v>No início da 7ª temporada</v>
      </c>
    </row>
    <row r="140" ht="15.75" customHeight="1">
      <c r="A140" s="1">
        <v>138.0</v>
      </c>
      <c r="B140" s="3" t="s">
        <v>517</v>
      </c>
      <c r="C140" s="3" t="s">
        <v>518</v>
      </c>
      <c r="D140" s="3" t="s">
        <v>519</v>
      </c>
      <c r="E140" s="3" t="s">
        <v>520</v>
      </c>
      <c r="F140" s="3" t="str">
        <f>IFERROR(__xludf.DUMMYFUNCTION("GOOGLETRANSLATE(B140)")," Bom cyril")</f>
        <v> Bom cyril</v>
      </c>
      <c r="G140" s="3" t="str">
        <f>IFERROR(__xludf.DUMMYFUNCTION("GOOGLETRANSLATE(C140)"),"Quem cantou Nice One Cyril, bom filho")</f>
        <v>Quem cantou Nice One Cyril, bom filho</v>
      </c>
      <c r="H140" s="3" t="str">
        <f>IFERROR(__xludf.DUMMYFUNCTION("GOOGLETRANSLATE(D140)")," `` Nice One Cyril '' é um único coro de cockerel escrito por Harold Spiro e Helen Clarke. O título da música é uma referência a Cyril Knowles, um lateral esquerdo que tocou no Tottenham Hotspur. Foi lançado antes da final da Copa da Liga de Futebol de 19"&amp;"73, onde o Tottenham interpretou Norwich City. Chegou ao 14º lugar na parada britânica depois que o Tottenham venceu, e seus escritores Spiro e Clarke receberam um Prêmio Ivor Novello de Melhor Romance ou Canção Unida em 1974.")</f>
        <v> `` Nice One Cyril '' é um único coro de cockerel escrito por Harold Spiro e Helen Clarke. O título da música é uma referência a Cyril Knowles, um lateral esquerdo que tocou no Tottenham Hotspur. Foi lançado antes da final da Copa da Liga de Futebol de 1973, onde o Tottenham interpretou Norwich City. Chegou ao 14º lugar na parada britânica depois que o Tottenham venceu, e seus escritores Spiro e Clarke receberam um Prêmio Ivor Novello de Melhor Romance ou Canção Unida em 1974.</v>
      </c>
      <c r="I140" s="3" t="str">
        <f>IFERROR(__xludf.DUMMYFUNCTION("GOOGLETRANSLATE(E140)"),"Chorus de cockerel")</f>
        <v>Chorus de cockerel</v>
      </c>
    </row>
    <row r="141" ht="15.75" customHeight="1">
      <c r="A141" s="1">
        <v>139.0</v>
      </c>
      <c r="B141" s="3" t="s">
        <v>521</v>
      </c>
      <c r="C141" s="3" t="s">
        <v>522</v>
      </c>
      <c r="D141" s="3" t="s">
        <v>523</v>
      </c>
      <c r="E141" s="3" t="s">
        <v>524</v>
      </c>
      <c r="F141" s="3" t="str">
        <f>IFERROR(__xludf.DUMMYFUNCTION("GOOGLETRANSLATE(B141)")," vinho vermelho vermelho")</f>
        <v> vinho vermelho vermelho</v>
      </c>
      <c r="G141" s="3" t="str">
        <f>IFERROR(__xludf.DUMMYFUNCTION("GOOGLETRANSLATE(C141)"),"quem cantou vinho tinto vermelho nos anos 80")</f>
        <v>quem cantou vinho tinto vermelho nos anos 80</v>
      </c>
      <c r="H141" s="3" t="str">
        <f>IFERROR(__xludf.DUMMYFUNCTION("GOOGLETRANSLATE(D141)")," `` Red Red Wine '' é uma música originalmente escrita, tocada e gravada pelo cantor americano Neil Diamond em 1967. Está incluído no segundo álbum de estúdio de Neil, Just For You. As letras são cantadas da perspectiva de uma pessoa que descobre que bebe"&amp;"r vinho tinto é a única maneira de esquecer seus problemas.")</f>
        <v> `` Red Red Wine '' é uma música originalmente escrita, tocada e gravada pelo cantor americano Neil Diamond em 1967. Está incluído no segundo álbum de estúdio de Neil, Just For You. As letras são cantadas da perspectiva de uma pessoa que descobre que beber vinho tinto é a única maneira de esquecer seus problemas.</v>
      </c>
      <c r="I141" s="3" t="str">
        <f>IFERROR(__xludf.DUMMYFUNCTION("GOOGLETRANSLATE(E141)"),"Neil Diamond")</f>
        <v>Neil Diamond</v>
      </c>
    </row>
    <row r="142" ht="15.75" customHeight="1">
      <c r="A142" s="1">
        <v>140.0</v>
      </c>
      <c r="B142" s="3" t="s">
        <v>525</v>
      </c>
      <c r="C142" s="3" t="s">
        <v>526</v>
      </c>
      <c r="D142" s="3" t="s">
        <v>527</v>
      </c>
      <c r="F142" s="3" t="str">
        <f>IFERROR(__xludf.DUMMYFUNCTION("GOOGLETRANSLATE(B142)")," Cassete compacto")</f>
        <v> Cassete compacto</v>
      </c>
      <c r="G142" s="3" t="str">
        <f>IFERROR(__xludf.DUMMYFUNCTION("GOOGLETRANSLATE(C142)"),"Quanto tempo você pode gravar em uma fita cassete")</f>
        <v>Quanto tempo você pode gravar em uma fita cassete</v>
      </c>
      <c r="H142" s="3" t="str">
        <f>IFERROR(__xludf.DUMMYFUNCTION("GOOGLETRANSLATE(D142)")," O comprimento da fita geralmente é medido em minutos do tempo total de jogo. As variedades mais populares são C46 (23 minutos de cada lado), C60 (30 minutos de cada lado), C90 e C120. Os comprimentos de C46 e C60 normalmente têm 15 a 16 micrômetros (0,59"&amp;" a 0,63 mils) de espessura, mas os C90s são de 10 a 11 μm (0,39 a 0,43 mils) e (o menos comuns) tem apenas 9 μm (0,35 mils), a render eles mais suscetíveis ao alongamento ou quebra. A BASF declarou o C60 com 88 metros (289 pés). Alguns fornecedores são ma"&amp;"is generosos que outros, fornecendo 132 ou 135 metros (433 ou 443 pés) em vez de 129 metros (423 pés) de fita para uma fita C90. Até as fitas C180 estavam disponíveis ao mesmo tempo, mas essas eram extremamente finas e frágeis e sofriam de efeitos como a "&amp;"impressão - o que os tornava inadequados para uso geral. O comprimento de 150 minutos ainda está disponível em Maxell (UR 150), Sony (CDIXI 150) e TDK (TDK AE 150).")</f>
        <v> O comprimento da fita geralmente é medido em minutos do tempo total de jogo. As variedades mais populares são C46 (23 minutos de cada lado), C60 (30 minutos de cada lado), C90 e C120. Os comprimentos de C46 e C60 normalmente têm 15 a 16 micrômetros (0,59 a 0,63 mils) de espessura, mas os C90s são de 10 a 11 μm (0,39 a 0,43 mils) e (o menos comuns) tem apenas 9 μm (0,35 mils), a render eles mais suscetíveis ao alongamento ou quebra. A BASF declarou o C60 com 88 metros (289 pés). Alguns fornecedores são mais generosos que outros, fornecendo 132 ou 135 metros (433 ou 443 pés) em vez de 129 metros (423 pés) de fita para uma fita C90. Até as fitas C180 estavam disponíveis ao mesmo tempo, mas essas eram extremamente finas e frágeis e sofriam de efeitos como a impressão - o que os tornava inadequados para uso geral. O comprimento de 150 minutos ainda está disponível em Maxell (UR 150), Sony (CDIXI 150) e TDK (TDK AE 150).</v>
      </c>
      <c r="I142" s="3" t="str">
        <f>IFERROR(__xludf.DUMMYFUNCTION("GOOGLETRANSLATE(E142)"),"#VALUE!")</f>
        <v>#VALUE!</v>
      </c>
    </row>
    <row r="143" ht="15.75" customHeight="1">
      <c r="A143" s="1">
        <v>141.0</v>
      </c>
      <c r="B143" s="3" t="s">
        <v>528</v>
      </c>
      <c r="C143" s="3" t="s">
        <v>529</v>
      </c>
      <c r="D143" s="3" t="s">
        <v>530</v>
      </c>
      <c r="F143" s="3" t="str">
        <f>IFERROR(__xludf.DUMMYFUNCTION("GOOGLETRANSLATE(B143)")," Muckraker")</f>
        <v> Muckraker</v>
      </c>
      <c r="G143" s="3" t="str">
        <f>IFERROR(__xludf.DUMMYFUNCTION("GOOGLETRANSLATE(C143)"),"O termo Muckraker tem sido usado para descrever autores cujos escritos lidam principalmente com")</f>
        <v>O termo Muckraker tem sido usado para descrever autores cujos escritos lidam principalmente com</v>
      </c>
      <c r="H143" s="3" t="str">
        <f>IFERROR(__xludf.DUMMYFUNCTION("GOOGLETRANSLATE(D143)")," O termo Muckraker foi usado na era progressista para caracterizar os jornalistas americanos de mente - que atacaram instituições e líderes estabelecidos como corruptos. Eles normalmente tinham grandes públicos em algumas revistas populares. Nos EUA, o te"&amp;"rmo moderno é o jornalismo investigativo - possui conotações diferentes e mais pejorativas no inglês britânico - e jornalistas investigativos nos EUA hoje são frequentemente chamados de 'Muckrakers'.")</f>
        <v> O termo Muckraker foi usado na era progressista para caracterizar os jornalistas americanos de mente - que atacaram instituições e líderes estabelecidos como corruptos. Eles normalmente tinham grandes públicos em algumas revistas populares. Nos EUA, o termo moderno é o jornalismo investigativo - possui conotações diferentes e mais pejorativas no inglês britânico - e jornalistas investigativos nos EUA hoje são frequentemente chamados de 'Muckrakers'.</v>
      </c>
      <c r="I143" s="3" t="str">
        <f>IFERROR(__xludf.DUMMYFUNCTION("GOOGLETRANSLATE(E143)"),"#VALUE!")</f>
        <v>#VALUE!</v>
      </c>
    </row>
    <row r="144" ht="15.75" customHeight="1">
      <c r="A144" s="1">
        <v>142.0</v>
      </c>
      <c r="B144" s="3" t="s">
        <v>531</v>
      </c>
      <c r="C144" s="3" t="s">
        <v>532</v>
      </c>
      <c r="D144" s="3" t="s">
        <v>533</v>
      </c>
      <c r="E144" s="3" t="s">
        <v>534</v>
      </c>
      <c r="F144" s="3" t="str">
        <f>IFERROR(__xludf.DUMMYFUNCTION("GOOGLETRANSLATE(B144)")," Você ouve o que eu ouço?")</f>
        <v> Você ouve o que eu ouço?</v>
      </c>
      <c r="G144" s="3" t="str">
        <f>IFERROR(__xludf.DUMMYFUNCTION("GOOGLETRANSLATE(C144)"),"Quem escreveu a Carol de Natal, você ouve o que eu ouve")</f>
        <v>Quem escreveu a Carol de Natal, você ouve o que eu ouve</v>
      </c>
      <c r="H144" s="3" t="str">
        <f>IFERROR(__xludf.DUMMYFUNCTION("GOOGLETRANSLATE(D144)")," `` Você ouve o que eu ouço? '' é uma música escrita em outubro de 1962, com letras de Noël Regney e música de Gloria Shayne Baker. A dupla, casada na época, escreveu como um apelo à paz durante a crise dos mísseis cubanos. Regney foi convidado por um pro"&amp;"dutor de discos para escrever uma música de Natal, mas ele hesitou devido ao comercialismo do feriado de Natal. Ele vendeu dezenas de milhões de cópias e foi coberto por centenas de artistas.")</f>
        <v> `` Você ouve o que eu ouço? '' é uma música escrita em outubro de 1962, com letras de Noël Regney e música de Gloria Shayne Baker. A dupla, casada na época, escreveu como um apelo à paz durante a crise dos mísseis cubanos. Regney foi convidado por um produtor de discos para escrever uma música de Natal, mas ele hesitou devido ao comercialismo do feriado de Natal. Ele vendeu dezenas de milhões de cópias e foi coberto por centenas de artistas.</v>
      </c>
      <c r="I144" s="3" t="str">
        <f>IFERROR(__xludf.DUMMYFUNCTION("GOOGLETRANSLATE(E144)"),"Regney de Natal")</f>
        <v>Regney de Natal</v>
      </c>
    </row>
    <row r="145" ht="15.75" customHeight="1">
      <c r="A145" s="1">
        <v>143.0</v>
      </c>
      <c r="B145" s="3" t="s">
        <v>535</v>
      </c>
      <c r="C145" s="3" t="s">
        <v>536</v>
      </c>
      <c r="D145" s="3" t="s">
        <v>537</v>
      </c>
      <c r="F145" s="3" t="str">
        <f>IFERROR(__xludf.DUMMYFUNCTION("GOOGLETRANSLATE(B145)")," Copa do Mundo FIFA")</f>
        <v> Copa do Mundo FIFA</v>
      </c>
      <c r="G145" s="3" t="str">
        <f>IFERROR(__xludf.DUMMYFUNCTION("GOOGLETRANSLATE(C145)"),"Quantas equipes nas semifinais da Copa do Mundo")</f>
        <v>Quantas equipes nas semifinais da Copa do Mundo</v>
      </c>
      <c r="H145" s="3" t="str">
        <f>IFERROR(__xludf.DUMMYFUNCTION("GOOGLETRANSLATE(D145)")," A fase de eliminação é um torneio de eliminação único em que as equipes se jogam em um - fora de partida, com tempo extra e tiroteios de pênaltis usados ​​para decidir o vencedor, se necessário. Começa com a rodada de 16 (ou a segunda rodada), na qual o "&amp;"vencedor de cada grupo toca contra o corredor - de outro grupo. Isto é seguido pela trimestre - finais, semifinais, a terceira partida de lugar (contestada pelos semifinalistas perdedores) e pela final.")</f>
        <v> A fase de eliminação é um torneio de eliminação único em que as equipes se jogam em um - fora de partida, com tempo extra e tiroteios de pênaltis usados ​​para decidir o vencedor, se necessário. Começa com a rodada de 16 (ou a segunda rodada), na qual o vencedor de cada grupo toca contra o corredor - de outro grupo. Isto é seguido pela trimestre - finais, semifinais, a terceira partida de lugar (contestada pelos semifinalistas perdedores) e pela final.</v>
      </c>
      <c r="I145" s="3" t="str">
        <f>IFERROR(__xludf.DUMMYFUNCTION("GOOGLETRANSLATE(E145)"),"#VALUE!")</f>
        <v>#VALUE!</v>
      </c>
    </row>
    <row r="146" ht="15.75" customHeight="1">
      <c r="A146" s="1">
        <v>144.0</v>
      </c>
      <c r="B146" s="3" t="s">
        <v>538</v>
      </c>
      <c r="C146" s="3" t="s">
        <v>539</v>
      </c>
      <c r="D146" s="3" t="s">
        <v>540</v>
      </c>
      <c r="E146" s="3" t="s">
        <v>541</v>
      </c>
      <c r="F146" s="3" t="str">
        <f>IFERROR(__xludf.DUMMYFUNCTION("GOOGLETRANSLATE(B146)")," Mariska Hargitay")</f>
        <v> Mariska Hargitay</v>
      </c>
      <c r="G146" s="3" t="str">
        <f>IFERROR(__xludf.DUMMYFUNCTION("GOOGLETRANSLATE(C146)"),"que interpreta Olivia Benson por lei e ordem")</f>
        <v>que interpreta Olivia Benson por lei e ordem</v>
      </c>
      <c r="H146" s="3" t="str">
        <f>IFERROR(__xludf.DUMMYFUNCTION("GOOGLETRANSLATE(D146)")," Mariska Magdolna Hargitay ( / məˈrɪʃkə ˈhːrɪteɪ / mə - rish - kə har - ghih - tay; nascido em 23 de janeiro de 1964) é uma atriz americana mais conhecida por seu papel como detetive / sergeant / tenente Olivia Benson sobre a série de dramáticos da NB. : "&amp;"Unidade de vítimas especiais, pela qual recebeu vários prêmios e indicações, incluindo a conquista de um prêmio Emmy Primetime e Prêmio Globo de Ouro.")</f>
        <v> Mariska Magdolna Hargitay ( / məˈrɪʃkə ˈhːrɪteɪ / mə - rish - kə har - ghih - tay; nascido em 23 de janeiro de 1964) é uma atriz americana mais conhecida por seu papel como detetive / sergeant / tenente Olivia Benson sobre a série de dramáticos da NB. : Unidade de vítimas especiais, pela qual recebeu vários prêmios e indicações, incluindo a conquista de um prêmio Emmy Primetime e Prêmio Globo de Ouro.</v>
      </c>
      <c r="I146" s="3" t="str">
        <f>IFERROR(__xludf.DUMMYFUNCTION("GOOGLETRANSLATE(E146)"),"Magdolna Mariska Hargitay")</f>
        <v>Magdolna Mariska Hargitay</v>
      </c>
    </row>
    <row r="147" ht="15.75" customHeight="1">
      <c r="A147" s="1">
        <v>145.0</v>
      </c>
      <c r="B147" s="3" t="s">
        <v>542</v>
      </c>
      <c r="C147" s="3" t="s">
        <v>543</v>
      </c>
      <c r="D147" s="3" t="s">
        <v>544</v>
      </c>
      <c r="E147" s="3" t="s">
        <v>545</v>
      </c>
      <c r="F147" s="3" t="str">
        <f>IFERROR(__xludf.DUMMYFUNCTION("GOOGLETRANSLATE(B147)")," Cinquenta Tons de Cinza")</f>
        <v> Cinquenta Tons de Cinza</v>
      </c>
      <c r="G147" s="3" t="str">
        <f>IFERROR(__xludf.DUMMYFUNCTION("GOOGLETRANSLATE(C147)"),"Quantas cópias fizeram Fifty Shades of Grey")</f>
        <v>Quantas cópias fizeram Fifty Shades of Grey</v>
      </c>
      <c r="H147" s="3" t="str">
        <f>IFERROR(__xludf.DUMMYFUNCTION("GOOGLETRANSLATE(D147)")," Fifty Shades of Grey liderou as melhores listas de vendedores em todo o mundo, vendendo mais de 125 milhões de cópias em todo o mundo até junho de 2015. Ele foi traduzido para 52 idiomas e estabeleceu um recorde no Reino Unido como o brochura mais rápido"&amp;" - vendendo todos os tempos. A recepção crítica do livro, no entanto, tendia ao negativo, com a qualidade de sua prosa geralmente vista como pobre. Os recursos da Universal Pictures and Focus produziram uma adaptação cinematográfica, lançada em 13 de feve"&amp;"reiro de 2015 e também recebeu críticas geralmente desfavoráveis.")</f>
        <v> Fifty Shades of Grey liderou as melhores listas de vendedores em todo o mundo, vendendo mais de 125 milhões de cópias em todo o mundo até junho de 2015. Ele foi traduzido para 52 idiomas e estabeleceu um recorde no Reino Unido como o brochura mais rápido - vendendo todos os tempos. A recepção crítica do livro, no entanto, tendia ao negativo, com a qualidade de sua prosa geralmente vista como pobre. Os recursos da Universal Pictures and Focus produziram uma adaptação cinematográfica, lançada em 13 de fevereiro de 2015 e também recebeu críticas geralmente desfavoráveis.</v>
      </c>
      <c r="I147" s="3" t="str">
        <f>IFERROR(__xludf.DUMMYFUNCTION("GOOGLETRANSLATE(E147)"),"Mais de 125 milhões de cópias")</f>
        <v>Mais de 125 milhões de cópias</v>
      </c>
    </row>
    <row r="148" ht="15.75" customHeight="1">
      <c r="A148" s="1">
        <v>146.0</v>
      </c>
      <c r="B148" s="3" t="s">
        <v>546</v>
      </c>
      <c r="C148" s="3" t="s">
        <v>547</v>
      </c>
      <c r="D148" s="3" t="s">
        <v>548</v>
      </c>
      <c r="E148" s="3" t="s">
        <v>549</v>
      </c>
      <c r="F148" s="3" t="str">
        <f>IFERROR(__xludf.DUMMYFUNCTION("GOOGLETRANSLATE(B148)")," Green Bay, Wisconsin")</f>
        <v> Green Bay, Wisconsin</v>
      </c>
      <c r="G148" s="3" t="str">
        <f>IFERROR(__xludf.DUMMYFUNCTION("GOOGLETRANSLATE(C148)"),"Quando foi fundada a cidade de Green Bay")</f>
        <v>Quando foi fundada a cidade de Green Bay</v>
      </c>
      <c r="H148" s="3" t="str">
        <f>IFERROR(__xludf.DUMMYFUNCTION("GOOGLETRANSLATE(D148)")," Nicolet fundou um pequeno posto comercial aqui em 1634, originalmente chamado La Baye ou La Baie des Puants (francês para `` a baía das águas fedorentas ''). O assentamento de Nicolet foi um dos mais antigos assentamentos permanentes europeus da América.")</f>
        <v> Nicolet fundou um pequeno posto comercial aqui em 1634, originalmente chamado La Baye ou La Baie des Puants (francês para `` a baía das águas fedorentas ''). O assentamento de Nicolet foi um dos mais antigos assentamentos permanentes europeus da América.</v>
      </c>
      <c r="I148" s="3" t="str">
        <f>IFERROR(__xludf.DUMMYFUNCTION("GOOGLETRANSLATE(E148)"),"1634")</f>
        <v>1634</v>
      </c>
    </row>
    <row r="149" ht="15.75" customHeight="1">
      <c r="A149" s="1">
        <v>147.0</v>
      </c>
      <c r="B149" s="3" t="s">
        <v>550</v>
      </c>
      <c r="C149" s="3" t="s">
        <v>551</v>
      </c>
      <c r="D149" s="3" t="s">
        <v>552</v>
      </c>
      <c r="E149" s="3" t="s">
        <v>553</v>
      </c>
      <c r="F149" s="3" t="str">
        <f>IFERROR(__xludf.DUMMYFUNCTION("GOOGLETRANSLATE(B149)")," Osso do quadril")</f>
        <v> Osso do quadril</v>
      </c>
      <c r="G149" s="3" t="str">
        <f>IFERROR(__xludf.DUMMYFUNCTION("GOOGLETRANSLATE(C149)"),"Onde o Ilium The Ischium e o Pubis se encontram")</f>
        <v>Onde o Ilium The Ischium e o Pubis se encontram</v>
      </c>
      <c r="H149" s="3" t="str">
        <f>IFERROR(__xludf.DUMMYFUNCTION("GOOGLETRANSLATE(D149)")," O osso do quadril é formado por três partes: Ilium, Ischium e Pubis. No nascimento, esses três componentes são separados por cartilagem hialina. Eles se juntam um ao outro em uma parte em forma de Y de cartilagem no acetábulo. No final da puberdade, as t"&amp;"rês regiões terão se fundido e, aos 25 anos, eles terão ossificação. Os dois ossos do quadril se juntam na sínfise púbica. Juntamente com o sacro e o cóccix, os ossos do quadril formam a pélvis.")</f>
        <v> O osso do quadril é formado por três partes: Ilium, Ischium e Pubis. No nascimento, esses três componentes são separados por cartilagem hialina. Eles se juntam um ao outro em uma parte em forma de Y de cartilagem no acetábulo. No final da puberdade, as três regiões terão se fundido e, aos 25 anos, eles terão ossificação. Os dois ossos do quadril se juntam na sínfise púbica. Juntamente com o sacro e o cóccix, os ossos do quadril formam a pélvis.</v>
      </c>
      <c r="I149" s="3" t="str">
        <f>IFERROR(__xludf.DUMMYFUNCTION("GOOGLETRANSLATE(E149)"),"prato")</f>
        <v>prato</v>
      </c>
    </row>
    <row r="150" ht="15.75" customHeight="1">
      <c r="A150" s="1">
        <v>148.0</v>
      </c>
      <c r="B150" s="3" t="s">
        <v>554</v>
      </c>
      <c r="C150" s="3" t="s">
        <v>555</v>
      </c>
      <c r="D150" s="3" t="s">
        <v>556</v>
      </c>
      <c r="E150" s="3" t="s">
        <v>557</v>
      </c>
      <c r="F150" s="3" t="str">
        <f>IFERROR(__xludf.DUMMYFUNCTION("GOOGLETRANSLATE(B150)")," Pacote")</f>
        <v> Pacote</v>
      </c>
      <c r="G150" s="3" t="str">
        <f>IFERROR(__xludf.DUMMYFUNCTION("GOOGLETRANSLATE(C150)"),"Quem é o fundador da Pak n Save")</f>
        <v>Quem é o fundador da Pak n Save</v>
      </c>
      <c r="H150" s="3" t="str">
        <f>IFERROR(__xludf.DUMMYFUNCTION("GOOGLETRANSLATE(D150)")," Pak'nsave foi desenvolvido após uma viagem por um grupo de executivos de alimentos para os Estados Unidos em 1985. Nessa visita, eles viram a Cub Foods, operados pela Supervalu, Pak 'n Save operados pela Safeway e outros supermercados de armazém de caixa"&amp;"s. Os alimentos copiaram este formato na Nova Zelândia. O formato original de Pak'nsave era quase uma cópia idêntica da cadeia de salvamento de Safeway no norte da Califórnia.")</f>
        <v> Pak'nsave foi desenvolvido após uma viagem por um grupo de executivos de alimentos para os Estados Unidos em 1985. Nessa visita, eles viram a Cub Foods, operados pela Supervalu, Pak 'n Save operados pela Safeway e outros supermercados de armazém de caixas. Os alimentos copiaram este formato na Nova Zelândia. O formato original de Pak'nsave era quase uma cópia idêntica da cadeia de salvamento de Safeway no norte da Califórnia.</v>
      </c>
      <c r="I150" s="3" t="str">
        <f>IFERROR(__xludf.DUMMYFUNCTION("GOOGLETRANSLATE(E150)"),"Alimentos")</f>
        <v>Alimentos</v>
      </c>
    </row>
    <row r="151" ht="15.75" customHeight="1">
      <c r="A151" s="1">
        <v>149.0</v>
      </c>
      <c r="B151" s="3" t="s">
        <v>558</v>
      </c>
      <c r="C151" s="3" t="s">
        <v>559</v>
      </c>
      <c r="D151" s="3" t="s">
        <v>560</v>
      </c>
      <c r="E151" s="3" t="s">
        <v>561</v>
      </c>
      <c r="F151" s="3" t="str">
        <f>IFERROR(__xludf.DUMMYFUNCTION("GOOGLETRANSLATE(B151)")," Flora da Índia")</f>
        <v> Flora da Índia</v>
      </c>
      <c r="G151" s="3" t="str">
        <f>IFERROR(__xludf.DUMMYFUNCTION("GOOGLETRANSLATE(C151)"),"Quantas espécies de plantas são encontradas na Índia")</f>
        <v>Quantas espécies de plantas são encontradas na Índia</v>
      </c>
      <c r="H151" s="3" t="str">
        <f>IFERROR(__xludf.DUMMYFUNCTION("GOOGLETRANSLATE(D151)")," A flora da Índia é uma das mais ricas do mundo devido à ampla gama de clima, topologia e habitat do país. Estima -se que haja mais de 18.000 espécies de plantas com flores na Índia, que constituem cerca de 6 a 7 % do total de espécies vegetais no mundo. "&amp;"A Índia abriga mais de 50.000 espécies de plantas, incluindo uma variedade de endemias. O uso de plantas como fonte de medicamentos tem sido parte integrante da vida na Índia desde os primeiros tempos. Existem mais de 3000 espécies de plantas indianas ofi"&amp;"cialmente documentadas como possuindo grande potencial medicinal. A Índia é dividida em oito principais regiões florísticas: Himalaia Ocidental, Himalaia Oriental, Assam, Indo Plain, Ganges Plain, Deccan, Malabar e Ilhas Andaman.")</f>
        <v> A flora da Índia é uma das mais ricas do mundo devido à ampla gama de clima, topologia e habitat do país. Estima -se que haja mais de 18.000 espécies de plantas com flores na Índia, que constituem cerca de 6 a 7 % do total de espécies vegetais no mundo. A Índia abriga mais de 50.000 espécies de plantas, incluindo uma variedade de endemias. O uso de plantas como fonte de medicamentos tem sido parte integrante da vida na Índia desde os primeiros tempos. Existem mais de 3000 espécies de plantas indianas oficialmente documentadas como possuindo grande potencial medicinal. A Índia é dividida em oito principais regiões florísticas: Himalaia Ocidental, Himalaia Oriental, Assam, Indo Plain, Ganges Plain, Deccan, Malabar e Ilhas Andaman.</v>
      </c>
      <c r="I151" s="3" t="str">
        <f>IFERROR(__xludf.DUMMYFUNCTION("GOOGLETRANSLATE(E151)"),"Mais de 50.000")</f>
        <v>Mais de 50.000</v>
      </c>
    </row>
    <row r="152" ht="15.75" customHeight="1">
      <c r="A152" s="1">
        <v>150.0</v>
      </c>
      <c r="B152" s="3" t="s">
        <v>562</v>
      </c>
      <c r="C152" s="3" t="s">
        <v>563</v>
      </c>
      <c r="D152" s="3" t="s">
        <v>564</v>
      </c>
      <c r="E152" s="3" t="s">
        <v>565</v>
      </c>
      <c r="F152" s="3" t="str">
        <f>IFERROR(__xludf.DUMMYFUNCTION("GOOGLETRANSLATE(B152)")," Indústria automotiva no Reino Unido")</f>
        <v> Indústria automotiva no Reino Unido</v>
      </c>
      <c r="G152" s="3" t="str">
        <f>IFERROR(__xludf.DUMMYFUNCTION("GOOGLETRANSLATE(C152)"),"Qual empresa não britânica possui os famosos rolos britânicos- Royce e Mini Brands")</f>
        <v>Qual empresa não britânica possui os famosos rolos britânicos- Royce e Mini Brands</v>
      </c>
      <c r="H152" s="3" t="str">
        <f>IFERROR(__xludf.DUMMYFUNCTION("GOOGLETRANSLATE(D152)")," As origens da indústria automotiva do Reino Unido datam dos últimos anos do século XIX. Na década de 1950, o Reino Unido era o segundo maior fabricante de carros do mundo (depois dos Estados Unidos) e o maior exportador. No entanto, nas décadas subsequen"&amp;"tes, a indústria experimentou um crescimento consideravelmente menor do que os países concorrentes como França, Alemanha e Japão e, em 2008, o Reino Unido foi o 12º - o maior produtor de carros medidos em volume. Desde o início dos anos 90, muitas marcas "&amp;"de carros britânicos foram adquiridos por empresas estrangeiras, incluindo BMW (Mini and Rolls - Royce), SAIC (MG), TATA (Jaguar e Land Rover) e Volkswagen Group (Bentley). Os direitos a muitas marcas atualmente adormecidas, incluindo Austin, Riley, Rover"&amp;" e Triumph, também são de propriedade de empresas estrangeiras.")</f>
        <v> As origens da indústria automotiva do Reino Unido datam dos últimos anos do século XIX. Na década de 1950, o Reino Unido era o segundo maior fabricante de carros do mundo (depois dos Estados Unidos) e o maior exportador. No entanto, nas décadas subsequentes, a indústria experimentou um crescimento consideravelmente menor do que os países concorrentes como França, Alemanha e Japão e, em 2008, o Reino Unido foi o 12º - o maior produtor de carros medidos em volume. Desde o início dos anos 90, muitas marcas de carros britânicos foram adquiridos por empresas estrangeiras, incluindo BMW (Mini and Rolls - Royce), SAIC (MG), TATA (Jaguar e Land Rover) e Volkswagen Group (Bentley). Os direitos a muitas marcas atualmente adormecidas, incluindo Austin, Riley, Rover e Triumph, também são de propriedade de empresas estrangeiras.</v>
      </c>
      <c r="I152" s="3" t="str">
        <f>IFERROR(__xludf.DUMMYFUNCTION("GOOGLETRANSLATE(E152)"),"BMW")</f>
        <v>BMW</v>
      </c>
    </row>
    <row r="153" ht="15.75" customHeight="1">
      <c r="A153" s="1">
        <v>151.0</v>
      </c>
      <c r="B153" s="3" t="s">
        <v>566</v>
      </c>
      <c r="C153" s="3" t="s">
        <v>567</v>
      </c>
      <c r="D153" s="3" t="s">
        <v>568</v>
      </c>
      <c r="E153" s="3" t="s">
        <v>569</v>
      </c>
      <c r="F153" s="3" t="str">
        <f>IFERROR(__xludf.DUMMYFUNCTION("GOOGLETRANSLATE(B153)")," Los Angeles Dodgers")</f>
        <v> Los Angeles Dodgers</v>
      </c>
      <c r="G153" s="3" t="str">
        <f>IFERROR(__xludf.DUMMYFUNCTION("GOOGLETRANSLATE(C153)"),"Quantas vezes os Dodgers foram para a World Series")</f>
        <v>Quantas vezes os Dodgers foram para a World Series</v>
      </c>
      <c r="H153" s="3" t="str">
        <f>IFERROR(__xludf.DUMMYFUNCTION("GOOGLETRANSLATE(D153)")," Os Dodgers compartilham uma rivalidade feroz com o San Francisco Giants, a rivalidade mais antiga do beisebol, que remonta a quando as duas franquias jogavam na cidade de Nova York. Ambas as equipes se mudaram para o oeste para a temporada de 1958. Os Do"&amp;"dgers do Brooklyn e Los Angeles apareceram coletivamente na World Series 19 vezes, enquanto os Giants de Nova York e os Giants de São Francisco apareceram coletivamente 20 vezes e foram convidados 21 vezes. Os Giants venceram mais duas World Series (8); O"&amp;"s Dodgers venceram 22 galhos de flâmulas da Liga Nacional, enquanto os Giants detêm o recorde com 23. Embora as duas franquias tenham obtido um sucesso quase igual, as rivalidades da cidade são bastante desequilibradas e, em ambos os casos, o campeonato d"&amp;"e uma equipe antecedeu o primeiro do outro nesse local em particular. Quando as duas equipes estavam sediadas em Nova York, o Giants venceu cinco campeonatos da World Series e o Dodgers One. Após a mudança para a Califórnia, os Dodgers venceram cinco em L"&amp;"os Angeles, o Giants venceu três em São Francisco.")</f>
        <v> Os Dodgers compartilham uma rivalidade feroz com o San Francisco Giants, a rivalidade mais antiga do beisebol, que remonta a quando as duas franquias jogavam na cidade de Nova York. Ambas as equipes se mudaram para o oeste para a temporada de 1958. Os Dodgers do Brooklyn e Los Angeles apareceram coletivamente na World Series 19 vezes, enquanto os Giants de Nova York e os Giants de São Francisco apareceram coletivamente 20 vezes e foram convidados 21 vezes. Os Giants venceram mais duas World Series (8); Os Dodgers venceram 22 galhos de flâmulas da Liga Nacional, enquanto os Giants detêm o recorde com 23. Embora as duas franquias tenham obtido um sucesso quase igual, as rivalidades da cidade são bastante desequilibradas e, em ambos os casos, o campeonato de uma equipe antecedeu o primeiro do outro nesse local em particular. Quando as duas equipes estavam sediadas em Nova York, o Giants venceu cinco campeonatos da World Series e o Dodgers One. Após a mudança para a Califórnia, os Dodgers venceram cinco em Los Angeles, o Giants venceu três em São Francisco.</v>
      </c>
      <c r="I153" s="3" t="str">
        <f>IFERROR(__xludf.DUMMYFUNCTION("GOOGLETRANSLATE(E153)"),"19")</f>
        <v>19</v>
      </c>
    </row>
    <row r="154" ht="15.75" customHeight="1">
      <c r="A154" s="1">
        <v>152.0</v>
      </c>
      <c r="B154" s="3" t="s">
        <v>570</v>
      </c>
      <c r="C154" s="3" t="s">
        <v>571</v>
      </c>
      <c r="D154" s="3" t="s">
        <v>572</v>
      </c>
      <c r="F154" s="3" t="str">
        <f>IFERROR(__xludf.DUMMYFUNCTION("GOOGLETRANSLATE(B154)")," As Crônicas de Narnia")</f>
        <v> As Crônicas de Narnia</v>
      </c>
      <c r="G154" s="3" t="str">
        <f>IFERROR(__xludf.DUMMYFUNCTION("GOOGLETRANSLATE(C154)"),"Ordem do Leão A bruxa e os livros de guarda -roupa")</f>
        <v>Ordem do Leão A bruxa e os livros de guarda -roupa</v>
      </c>
      <c r="H154" s="3" t="str">
        <f>IFERROR(__xludf.DUMMYFUNCTION("GOOGLETRANSLATE(D154)")," As Crônicas de Nárnia As Crônicas de Nárnia (em ordem de publicação) The Lion, The Witch and the Wardrobe (1950) Príncipe Caspian (1951) A viagem de The Dawn Preader (1952) The Silver Chair (1953) O cavalo e seu cavalo Boy (1954) O sobrinho do mágico (19"&amp;"55) A última batalha (1956) Autor C.S. Ilustrador Lewis Pauline Baynes Country Reino Unido Língua Inglês Gênero de Fantasia Publicadora de Literatura HarperCollins Publicado em 16 de outubro de 1950 - 4 de setembro de 1956 Tipo de mídia tipo impressão (im"&amp;"pressão ( capa dura e brochura)")</f>
        <v> As Crônicas de Nárnia As Crônicas de Nárnia (em ordem de publicação) The Lion, The Witch and the Wardrobe (1950) Príncipe Caspian (1951) A viagem de The Dawn Preader (1952) The Silver Chair (1953) O cavalo e seu cavalo Boy (1954) O sobrinho do mágico (1955) A última batalha (1956) Autor C.S. Ilustrador Lewis Pauline Baynes Country Reino Unido Língua Inglês Gênero de Fantasia Publicadora de Literatura HarperCollins Publicado em 16 de outubro de 1950 - 4 de setembro de 1956 Tipo de mídia tipo impressão (impressão ( capa dura e brochura)</v>
      </c>
      <c r="I154" s="3" t="str">
        <f>IFERROR(__xludf.DUMMYFUNCTION("GOOGLETRANSLATE(E154)"),"#VALUE!")</f>
        <v>#VALUE!</v>
      </c>
    </row>
    <row r="155" ht="15.75" customHeight="1">
      <c r="A155" s="1">
        <v>153.0</v>
      </c>
      <c r="B155" s="3" t="s">
        <v>573</v>
      </c>
      <c r="C155" s="3" t="s">
        <v>574</v>
      </c>
      <c r="D155" s="3" t="s">
        <v>575</v>
      </c>
      <c r="E155" s="3" t="s">
        <v>576</v>
      </c>
      <c r="F155" s="3" t="str">
        <f>IFERROR(__xludf.DUMMYFUNCTION("GOOGLETRANSLATE(B155)")," Clavícula")</f>
        <v> Clavícula</v>
      </c>
      <c r="G155" s="3" t="str">
        <f>IFERROR(__xludf.DUMMYFUNCTION("GOOGLETRANSLATE(C155)"),"Em que nível está a clavícula com referência às costelas")</f>
        <v>Em que nível está a clavícula com referência às costelas</v>
      </c>
      <c r="H155" s="3" t="str">
        <f>IFERROR(__xludf.DUMMYFUNCTION("GOOGLETRANSLATE(D155)")," A clavícula é um grande osso longo duplamente curvo que conecta o braço ao tronco do corpo. Localizado diretamente acima da primeira costela, ele atua como um suporte para manter a escápula no lugar para que o braço possa pendurar livremente. Medialmente"&amp;", articula -se com o Manubrium do esterno (esterno peitoral) na articulação esternoclavicular. Na extremidade lateral, articula -se com o acrômio, um processo da escápula (ombro) na articulação acromioclavicular. Tem uma extremidade medial arredondada e u"&amp;"ma extremidade lateral achatada.")</f>
        <v> A clavícula é um grande osso longo duplamente curvo que conecta o braço ao tronco do corpo. Localizado diretamente acima da primeira costela, ele atua como um suporte para manter a escápula no lugar para que o braço possa pendurar livremente. Medialmente, articula -se com o Manubrium do esterno (esterno peitoral) na articulação esternoclavicular. Na extremidade lateral, articula -se com o acrômio, um processo da escápula (ombro) na articulação acromioclavicular. Tem uma extremidade medial arredondada e uma extremidade lateral achatada.</v>
      </c>
      <c r="I155" s="3" t="str">
        <f>IFERROR(__xludf.DUMMYFUNCTION("GOOGLETRANSLATE(E155)"),"diretamente acima da primeira costela")</f>
        <v>diretamente acima da primeira costela</v>
      </c>
    </row>
    <row r="156" ht="15.75" customHeight="1">
      <c r="A156" s="1">
        <v>154.0</v>
      </c>
      <c r="B156" s="3" t="s">
        <v>577</v>
      </c>
      <c r="C156" s="3" t="s">
        <v>578</v>
      </c>
      <c r="D156" s="3" t="s">
        <v>579</v>
      </c>
      <c r="F156" s="3" t="str">
        <f>IFERROR(__xludf.DUMMYFUNCTION("GOOGLETRANSLATE(B156)")," Little Brown Jug (troféu de futebol universitário)")</f>
        <v> Little Brown Jug (troféu de futebol universitário)</v>
      </c>
      <c r="G156" s="3" t="str">
        <f>IFERROR(__xludf.DUMMYFUNCTION("GOOGLETRANSLATE(C156)"),"Qual é o pequeno jarro marrom feito de")</f>
        <v>Qual é o pequeno jarro marrom feito de</v>
      </c>
      <c r="H156" s="3" t="str">
        <f>IFERROR(__xludf.DUMMYFUNCTION("GOOGLETRANSLATE(D156)")," MICHIGAN - A rivalidade de futebol de Minnesota é uma rivalidade de futebol universitário americano entre o time de futebol de Michigan Wolverines da Universidade de Michigan e o time de futebol de Minnesota Golden Gophers da Universidade de Minnesota. O"&amp;" Little Brown Jug é um jarro de barro que serve como um troféu concedido ao vencedor do jogo. É uma das rivalidades mais antigas e mais jogadas no futebol universitário americano, datando de 1892. O Little Brown Jug é o troféu de rivalidade mais regular d"&amp;"o futebol universitário, o mais antigo jogo de troféus do futebol universitário da FBS e o segundo troféu de rivalidade mais antigo em geral, ao lado da Copa Territorial de 1899 (que não se tornou um troféu de viagem / troca até 2001 ), contestado entre o"&amp;" Arizona e o Estado do Arizona (que não se tornou uma faculdade de quatro anos até 1925).")</f>
        <v> MICHIGAN - A rivalidade de futebol de Minnesota é uma rivalidade de futebol universitário americano entre o time de futebol de Michigan Wolverines da Universidade de Michigan e o time de futebol de Minnesota Golden Gophers da Universidade de Minnesota. O Little Brown Jug é um jarro de barro que serve como um troféu concedido ao vencedor do jogo. É uma das rivalidades mais antigas e mais jogadas no futebol universitário americano, datando de 1892. O Little Brown Jug é o troféu de rivalidade mais regular do futebol universitário, o mais antigo jogo de troféus do futebol universitário da FBS e o segundo troféu de rivalidade mais antigo em geral, ao lado da Copa Territorial de 1899 (que não se tornou um troféu de viagem / troca até 2001 ), contestado entre o Arizona e o Estado do Arizona (que não se tornou uma faculdade de quatro anos até 1925).</v>
      </c>
      <c r="I156" s="3" t="str">
        <f>IFERROR(__xludf.DUMMYFUNCTION("GOOGLETRANSLATE(E156)"),"#VALUE!")</f>
        <v>#VALUE!</v>
      </c>
    </row>
    <row r="157" ht="15.75" customHeight="1">
      <c r="A157" s="1">
        <v>155.0</v>
      </c>
      <c r="B157" s="3" t="s">
        <v>580</v>
      </c>
      <c r="C157" s="3" t="s">
        <v>581</v>
      </c>
      <c r="D157" s="3" t="s">
        <v>582</v>
      </c>
      <c r="E157" s="3" t="s">
        <v>583</v>
      </c>
      <c r="F157" s="3" t="str">
        <f>IFERROR(__xludf.DUMMYFUNCTION("GOOGLETRANSLATE(B157)")," Habeas corpus nos Estados Unidos")</f>
        <v> Habeas corpus nos Estados Unidos</v>
      </c>
      <c r="G157" s="3" t="str">
        <f>IFERROR(__xludf.DUMMYFUNCTION("GOOGLETRANSLATE(C157)"),"Quando foi criado o mandado de habeas corpus")</f>
        <v>Quando foi criado o mandado de habeas corpus</v>
      </c>
      <c r="H157" s="3" t="str">
        <f>IFERROR(__xludf.DUMMYFUNCTION("GOOGLETRANSLATE(D157)")," O habeas corpus deriva do direito comum inglês, onde o primeiro uso registrado foi em 1305, no reinado do rei Edward I da Inglaterra. O procedimento para a emissão de escritores de habeas corpus foi codificado pela primeira vez pela Lei Habeas Corpus de "&amp;"1679, após decisões judiciais que restringiram a eficácia do mandado. Um ato anterior havia sido aprovado em 1640 para derrubar uma decisão de que o comando da rainha era uma resposta suficiente para uma petição de habeas corpus. Winston Churchill, em seu"&amp;" capítulo sobre o direito comum inglês no nascimento da Grã -Bretanha, explica o processo assim:")</f>
        <v> O habeas corpus deriva do direito comum inglês, onde o primeiro uso registrado foi em 1305, no reinado do rei Edward I da Inglaterra. O procedimento para a emissão de escritores de habeas corpus foi codificado pela primeira vez pela Lei Habeas Corpus de 1679, após decisões judiciais que restringiram a eficácia do mandado. Um ato anterior havia sido aprovado em 1640 para derrubar uma decisão de que o comando da rainha era uma resposta suficiente para uma petição de habeas corpus. Winston Churchill, em seu capítulo sobre o direito comum inglês no nascimento da Grã -Bretanha, explica o processo assim:</v>
      </c>
      <c r="I157" s="3" t="str">
        <f>IFERROR(__xludf.DUMMYFUNCTION("GOOGLETRANSLATE(E157)"),"1679")</f>
        <v>1679</v>
      </c>
    </row>
    <row r="158" ht="15.75" customHeight="1">
      <c r="A158" s="1">
        <v>156.0</v>
      </c>
      <c r="B158" s="3" t="s">
        <v>584</v>
      </c>
      <c r="C158" s="3" t="s">
        <v>585</v>
      </c>
      <c r="D158" s="3" t="s">
        <v>586</v>
      </c>
      <c r="E158" s="3" t="s">
        <v>587</v>
      </c>
      <c r="F158" s="3" t="str">
        <f>IFERROR(__xludf.DUMMYFUNCTION("GOOGLETRANSLATE(B158)")," John Deere Classic")</f>
        <v> John Deere Classic</v>
      </c>
      <c r="G158" s="3" t="str">
        <f>IFERROR(__xludf.DUMMYFUNCTION("GOOGLETRANSLATE(C158)"),"onde eles estão jogando o torneio de golfe clássico John Deere")</f>
        <v>onde eles estão jogando o torneio de golfe clássico John Deere</v>
      </c>
      <c r="H158" s="3" t="str">
        <f>IFERROR(__xludf.DUMMYFUNCTION("GOOGLETRANSLATE(D158)")," O John Deere Classic é um torneio profissional de golfe no PGA Tour. É jogado anualmente em julho, uma semana antes do British Open, no TPC Deere Run na Comunidade Quad Cities de Silvis, Illinois.")</f>
        <v> O John Deere Classic é um torneio profissional de golfe no PGA Tour. É jogado anualmente em julho, uma semana antes do British Open, no TPC Deere Run na Comunidade Quad Cities de Silvis, Illinois.</v>
      </c>
      <c r="I158" s="3" t="str">
        <f>IFERROR(__xludf.DUMMYFUNCTION("GOOGLETRANSLATE(E158)"),"TPC Deere corre na comunidade Quad Cities de Silvis, Illinois")</f>
        <v>TPC Deere corre na comunidade Quad Cities de Silvis, Illinois</v>
      </c>
    </row>
    <row r="159" ht="15.75" customHeight="1">
      <c r="A159" s="1">
        <v>157.0</v>
      </c>
      <c r="B159" s="3" t="s">
        <v>588</v>
      </c>
      <c r="C159" s="3" t="s">
        <v>589</v>
      </c>
      <c r="D159" s="3" t="s">
        <v>590</v>
      </c>
      <c r="E159" s="3" t="s">
        <v>591</v>
      </c>
      <c r="F159" s="3" t="str">
        <f>IFERROR(__xludf.DUMMYFUNCTION("GOOGLETRANSLATE(B159)")," Ligação covalente")</f>
        <v> Ligação covalente</v>
      </c>
      <c r="G159" s="3" t="str">
        <f>IFERROR(__xludf.DUMMYFUNCTION("GOOGLETRANSLATE(C159)"),"Que tipos de elementos estão envolvidos na ligação covalente")</f>
        <v>Que tipos de elementos estão envolvidos na ligação covalente</v>
      </c>
      <c r="H159" s="3" t="str">
        <f>IFERROR(__xludf.DUMMYFUNCTION("GOOGLETRANSLATE(D159)")," Uma ligação covalente, também chamada de ligação molecular, é uma ligação química que envolve o compartilhamento de pares de elétrons entre átomos. Esses pares de elétrons são conhecidos como pares compartilhados ou pares de ligação, e o equilíbrio estáv"&amp;"el de forças atraentes e repulsivas entre átomos, quando compartilham elétrons, é conhecido como ligação covalente. Para muitas moléculas, o compartilhamento de elétrons permite que cada átomo atinja o equivalente a uma concha externa completa, correspond"&amp;"endo a uma configuração eletrônica estável.")</f>
        <v> Uma ligação covalente, também chamada de ligação molecular, é uma ligação química que envolve o compartilhamento de pares de elétrons entre átomos. Esses pares de elétrons são conhecidos como pares compartilhados ou pares de ligação, e o equilíbrio estável de forças atraentes e repulsivas entre átomos, quando compartilham elétrons, é conhecido como ligação covalente. Para muitas moléculas, o compartilhamento de elétrons permite que cada átomo atinja o equivalente a uma concha externa completa, correspondendo a uma configuração eletrônica estável.</v>
      </c>
      <c r="I159" s="3" t="str">
        <f>IFERROR(__xludf.DUMMYFUNCTION("GOOGLETRANSLATE(E159)"),"elétron")</f>
        <v>elétron</v>
      </c>
    </row>
    <row r="160" ht="15.75" customHeight="1">
      <c r="A160" s="1">
        <v>158.0</v>
      </c>
      <c r="B160" s="3" t="s">
        <v>592</v>
      </c>
      <c r="C160" s="3" t="s">
        <v>593</v>
      </c>
      <c r="D160" s="3" t="s">
        <v>594</v>
      </c>
      <c r="F160" s="3" t="str">
        <f>IFERROR(__xludf.DUMMYFUNCTION("GOOGLETRANSLATE(B160)")," canção do cisne")</f>
        <v> canção do cisne</v>
      </c>
      <c r="G160" s="3" t="str">
        <f>IFERROR(__xludf.DUMMYFUNCTION("GOOGLETRANSLATE(C160)"),"De onde vem o termo canção de cisne")</f>
        <v>De onde vem o termo canção de cisne</v>
      </c>
      <c r="H160" s="3" t="str">
        <f>IFERROR(__xludf.DUMMYFUNCTION("GOOGLETRANSLATE(D160)")," A canção do cisne (grego antigo: κύκνειον ᾆσμα; latim: Carmen cygni) é uma frase metafórica para um gesto, esforço ou desempenho final dado pouco antes da morte ou aposentadoria. A frase refere -se a uma crença antiga de que os cisnes (Cygnus spp.) Cante"&amp;"m uma bela música antes da morte, tendo sido silencioso (ou alternativamente, não tão musical) durante a maior parte de sua vida. Essa crença, cuja base na realidade é longa - debatida, tornou -se proverbial na Grécia antiga no século III aC e foi reitera"&amp;"da muitas vezes na poesia e arte ocidentais posteriores.")</f>
        <v> A canção do cisne (grego antigo: κύκνειον ᾆσμα; latim: Carmen cygni) é uma frase metafórica para um gesto, esforço ou desempenho final dado pouco antes da morte ou aposentadoria. A frase refere -se a uma crença antiga de que os cisnes (Cygnus spp.) Cantem uma bela música antes da morte, tendo sido silencioso (ou alternativamente, não tão musical) durante a maior parte de sua vida. Essa crença, cuja base na realidade é longa - debatida, tornou -se proverbial na Grécia antiga no século III aC e foi reiterada muitas vezes na poesia e arte ocidentais posteriores.</v>
      </c>
      <c r="I160" s="3" t="str">
        <f>IFERROR(__xludf.DUMMYFUNCTION("GOOGLETRANSLATE(E160)"),"#VALUE!")</f>
        <v>#VALUE!</v>
      </c>
    </row>
    <row r="161" ht="15.75" customHeight="1">
      <c r="A161" s="1">
        <v>159.0</v>
      </c>
      <c r="B161" s="3" t="s">
        <v>595</v>
      </c>
      <c r="C161" s="3" t="s">
        <v>596</v>
      </c>
      <c r="D161" s="3" t="s">
        <v>597</v>
      </c>
      <c r="F161" s="3" t="str">
        <f>IFERROR(__xludf.DUMMYFUNCTION("GOOGLETRANSLATE(B161)")," Harry Potter")</f>
        <v> Harry Potter</v>
      </c>
      <c r="G161" s="3" t="str">
        <f>IFERROR(__xludf.DUMMYFUNCTION("GOOGLETRANSLATE(C161)"),"Quantas páginas têm todos os livros de Harry Potter")</f>
        <v>Quantas páginas têm todos os livros de Harry Potter</v>
      </c>
      <c r="H161" s="3" t="str">
        <f>IFERROR(__xludf.DUMMYFUNCTION("GOOGLETRANSLATE(D161)")," Jenny Sawyer escreveu no Christian Science Monitor em 25 de julho de 2007 que os livros representam uma tendência perturbadora da narrativa comercial e da sociedade ocidental '' nessas histórias `` Centro Moral (sic) já desapareceu de grande parte da cul"&amp;"tura pop de hoje ... Após 10 anos, 4.195 páginas e mais de 375 milhões de cópias, J.K. A conquista imponente de Rowling carece da pedra angular da literatura de quase todas as grandes crianças: a jornada moral do herói ''. Harry Potter, argumenta Sawyer, "&amp;"nem enfrenta uma `` luta moral '' nem passa por nenhum crescimento ético e, portanto, não é `` nenhum guia nas circunstâncias em que o certo e o errado sejam nada menos que preto e branco ''. Por outro lado, Emily Griesinger descreveu a primeira passagem "&amp;"de Harry para a plataforma 93⁄4 como uma aplicação de fé e esperança, e seu encontro com o chapéu de classificação como o primeiro de muitos em que Harry é moldado pelas escolhas que ele faz. Ela também observou a `` Magia mais profunda '', pela qual o au"&amp;"to -sacrifício da mãe de Harry protege o garoto ao longo da série e que o poder - Voldemort faminto não entende.")</f>
        <v> Jenny Sawyer escreveu no Christian Science Monitor em 25 de julho de 2007 que os livros representam uma tendência perturbadora da narrativa comercial e da sociedade ocidental '' nessas histórias `` Centro Moral (sic) já desapareceu de grande parte da cultura pop de hoje ... Após 10 anos, 4.195 páginas e mais de 375 milhões de cópias, J.K. A conquista imponente de Rowling carece da pedra angular da literatura de quase todas as grandes crianças: a jornada moral do herói ''. Harry Potter, argumenta Sawyer, nem enfrenta uma `` luta moral '' nem passa por nenhum crescimento ético e, portanto, não é `` nenhum guia nas circunstâncias em que o certo e o errado sejam nada menos que preto e branco ''. Por outro lado, Emily Griesinger descreveu a primeira passagem de Harry para a plataforma 93⁄4 como uma aplicação de fé e esperança, e seu encontro com o chapéu de classificação como o primeiro de muitos em que Harry é moldado pelas escolhas que ele faz. Ela também observou a `` Magia mais profunda '', pela qual o auto -sacrifício da mãe de Harry protege o garoto ao longo da série e que o poder - Voldemort faminto não entende.</v>
      </c>
      <c r="I161" s="3" t="str">
        <f>IFERROR(__xludf.DUMMYFUNCTION("GOOGLETRANSLATE(E161)"),"#VALUE!")</f>
        <v>#VALUE!</v>
      </c>
    </row>
    <row r="162" ht="15.75" customHeight="1">
      <c r="A162" s="1">
        <v>160.0</v>
      </c>
      <c r="B162" s="3" t="s">
        <v>598</v>
      </c>
      <c r="C162" s="3" t="s">
        <v>599</v>
      </c>
      <c r="D162" s="3" t="s">
        <v>600</v>
      </c>
      <c r="E162" s="3" t="s">
        <v>601</v>
      </c>
      <c r="F162" s="3" t="str">
        <f>IFERROR(__xludf.DUMMYFUNCTION("GOOGLETRANSLATE(B162)")," Lista de presidentes que não ganharam a reeleição")</f>
        <v> Lista de presidentes que não ganharam a reeleição</v>
      </c>
      <c r="G162" s="3" t="str">
        <f>IFERROR(__xludf.DUMMYFUNCTION("GOOGLETRANSLATE(C162)"),"Quando foi a última vez que um presidente em exercício foi perdido")</f>
        <v>Quando foi a última vez que um presidente em exercício foi perdido</v>
      </c>
      <c r="H162" s="3" t="str">
        <f>IFERROR(__xludf.DUMMYFUNCTION("GOOGLETRANSLATE(D162)"),"   Termo no Presidente do Escritório País Lost Eleição Notas 1797 - 1801 John Adams Eleição Presidencial dos Estados Unidos dos Estados Unidos, 1800 1825 - 1829 John Quincy Adams Eleição presidencial dos Estados Unidos dos Estados Unidos, 1888 - 1885 - 18"&amp;"89 GROVER CLEVEND CLEVELL 1889 - 1893 Benjamin Harrison Eleição presidencial dos Estados Unidos dos Estados Unidos, 1892 1909 - 1913 William Taft Eleição Presidencial dos Estados Unidos dos Estados Unidos, 1912 1929 - 1933 Herbert Hoover Os Estados Unidos"&amp;" Eleitoram os Estados Unidos Finnug. , 1937 1948 - 1955 Luigi Einaudi Itália Eleição presidencial italiana, 1955 1955 - 1962 Giovanni Gronchi Itália Eleição presidencial italiana, 1962 1960 - 1967 Aden Abdullah Osman Daar Somalia Somali Eleção Presidente,"&amp;" 1967 1967 - 1964 - 1971 Giuseppe , 1971 1974 - 1977 Gerald Ford Eleição Presidencial dos Estados Unidos dos Estados Unidos, 1976 1976 - 1980 Jimmy Carter Eleição presidencial dos Estados Unidos, 1980 1985 - 1990 Daniel Ortega Nicarágua Nicarágua Eleição "&amp;"Geral, 1990 1974 - 1981 Valéry Giscard d'Estaing França Eleição Presidencial Francesa, 1981 1972 - 1991 Mathieu Kérékou Benin Beninês Eleição Presidencial, 1991 1964 - 1991 Kenneth Kaunda Zâmbia Eleição Geral Zâmbia, 1991 1989 - 1993 George H.W. Bush Esta"&amp;"dos Unidos Eleição Presidencial dos Estados Unidos, 1992 1989 - 1992 VÁCLAV HAVEL Tchecoslováquia eleição presidencial da Tchecoslováquia, 1992 Mais tarde eleito presidente da República Tcheca. 1975 - 1993 1996 - 2001 Didier Ratsiraka Madagascar Eleição p"&amp;"residencial malgaxa, 1992 - 93 Eleição presidencial malgaxa, 2001 1987 - 1993 Pierre Buyoya Burundi Burundian Election, 1993 Retorn to Power em 1996 1981 - 1993 André Kolingba Central Republic Central African Central Eleição Geral Africana, 1993 1966 - 19"&amp;"94 Hastings Banda Malawi Malawian Geral Election, 1994 1991 - 1994 Leonid Kravchuk Ucrânia Ucrânia Eleição presidencial ucraniana, 1994 1990 - 1995 Lech Wałęsa Polônia Eleição Presidencial, 1995 também Lost 2000. 1991 - 1996 Eleição presidencial beninesa "&amp;"de Nicéphore Soglo Benin, 1996 também perdeu em 2001 1993 - 1996 Albert Zafy Madagascar Eleição presidencial malgaxia, 1996, 2001 1990 - 1997 PunsalmaagiinniGur Moldovan Eleição Presidencial, 1996 1990 - 1997 - PunsalmagiinniGiinbirb Moldovan Eleição Pres"&amp;"idencial, 1997 1999 - 2000 Robert Guéï Costa do Marfim da Costa Costa Costeira Ivoriana Eleição Presidencial, 2000 1989 - 1996 Ion Iliescu Romênia Eleição Geral Romênica, 1996 Retornou ao cargo após 2000 eleições. 1981 - 2000 ABDOU DIOUF ELEÇÃO PRESIDENTA"&amp;"L SENEGALESA SENEGALEGAL, 2000 1996 - 2001 PETAR STOYANOV BULGARIA BULGERIA Presideial Election, 2001 1998 - 2003 Valdas Adamkus Lituânia Lituânia Eleição Presidencial, 2002 - 2003 Returned to Office em 2004. 2000 - 2004 Hipólito Mejía Eleição presidencia"&amp;"l da República Dominicana da República Dominicana, 2004 2001 - 2004 MEGAWATI SUKARNOPUTRI Indonésia Eleição presidencial indonésia, 2004 também perdeu a eleição de 2009. 1999 - 2004 Rudolf Schuster Eslováquia Eleição Presidencial Eslovaca, 2004 2001 - 200"&amp;"6 Eleição presidencial da Estônia Estonia, 2006, 2005 - 2009 Nambyn Enkhbayar Mongolia Mongolian Presidencial Election Election, 2009 2000 - 2011 2011 2011 2011 - 2010 Dahir Riyale Kahin Somalilândia Somalilândia Eleição presidencial, 2010 2004 - 2010 Vik"&amp;"tor Yushchenko Ucrânia Eleição Presidencial Ucraniana, 2010 2007 - 2011 Valdis Zatlers Latvia General Election Election, 2011 2008 - 2011 - 2011 - 2011 - 2012 Nicolas Sarkozy France Eleição presidencial francesa, 2012 também foi executada em 2017, mas per"&amp;"deu a primária dos republicanos. 2000 - 2012 Abdoulaye Wade Senegal Senegalês Eleição Presidencial, 2012 2004 - 2012 Boris Tadić Eleição Presidencial Sérvia Sérvia, 2012 2007 - 2012 Danilo Türk Slovenia Slovenian Election, 2012 2012 - 2014 Joyce Banda Ban"&amp;"da. - 2015 IVO Josipović Croácia Eleição Presidencial Croata, 2014 - 15 2010 - 2015 Goodluck Jonathan Nigéria Eleição presidencial nigeriana, 2015 2015 - 2015 Bronisław Komorowski Polônia Eleição Presidente, 2015 - 1994, 2017, Yahya Jammeh The Giant Giann"&amp;"ial 2012 - 2017 JOHN MAHAMA GANA GANAIANA ELEÇÃO GERAL, 2016 2011 - 2016 Manuel Pinto da Costa São Tomé e Príncipe São Toméan Eleição Presidencial, 2016 2011 - 2016 Yevgeny Shevchuk Transnistria Eleição Presidencial Transnistria Eleição presidencial somal"&amp;"i, 2017 2012 - 2017 Leonid Tibilov South Ossétia Eleição presidencial do osso sul, 2017")</f>
        <v>   Termo no Presidente do Escritório País Lost Eleição Notas 1797 - 1801 John Adams Eleição Presidencial dos Estados Unidos dos Estados Unidos, 1800 1825 - 1829 John Quincy Adams Eleição presidencial dos Estados Unidos dos Estados Unidos, 1888 - 1885 - 1889 GROVER CLEVEND CLEVELL 1889 - 1893 Benjamin Harrison Eleição presidencial dos Estados Unidos dos Estados Unidos, 1892 1909 - 1913 William Taft Eleição Presidencial dos Estados Unidos dos Estados Unidos, 1912 1929 - 1933 Herbert Hoover Os Estados Unidos Eleitoram os Estados Unidos Finnug. , 1937 1948 - 1955 Luigi Einaudi Itália Eleição presidencial italiana, 1955 1955 - 1962 Giovanni Gronchi Itália Eleição presidencial italiana, 1962 1960 - 1967 Aden Abdullah Osman Daar Somalia Somali Eleção Presidente, 1967 1967 - 1964 - 1971 Giuseppe , 1971 1974 - 1977 Gerald Ford Eleição Presidencial dos Estados Unidos dos Estados Unidos, 1976 1976 - 1980 Jimmy Carter Eleição presidencial dos Estados Unidos, 1980 1985 - 1990 Daniel Ortega Nicarágua Nicarágua Eleição Geral, 1990 1974 - 1981 Valéry Giscard d'Estaing França Eleição Presidencial Francesa, 1981 1972 - 1991 Mathieu Kérékou Benin Beninês Eleição Presidencial, 1991 1964 - 1991 Kenneth Kaunda Zâmbia Eleição Geral Zâmbia, 1991 1989 - 1993 George H.W. Bush Estados Unidos Eleição Presidencial dos Estados Unidos, 1992 1989 - 1992 VÁCLAV HAVEL Tchecoslováquia eleição presidencial da Tchecoslováquia, 1992 Mais tarde eleito presidente da República Tcheca. 1975 - 1993 1996 - 2001 Didier Ratsiraka Madagascar Eleição presidencial malgaxa, 1992 - 93 Eleição presidencial malgaxa, 2001 1987 - 1993 Pierre Buyoya Burundi Burundian Election, 1993 Retorn to Power em 1996 1981 - 1993 André Kolingba Central Republic Central African Central Eleição Geral Africana, 1993 1966 - 1994 Hastings Banda Malawi Malawian Geral Election, 1994 1991 - 1994 Leonid Kravchuk Ucrânia Ucrânia Eleição presidencial ucraniana, 1994 1990 - 1995 Lech Wałęsa Polônia Eleição Presidencial, 1995 também Lost 2000. 1991 - 1996 Eleição presidencial beninesa de Nicéphore Soglo Benin, 1996 também perdeu em 2001 1993 - 1996 Albert Zafy Madagascar Eleição presidencial malgaxia, 1996, 2001 1990 - 1997 PunsalmaagiinniGur Moldovan Eleição Presidencial, 1996 1990 - 1997 - PunsalmagiinniGiinbirb Moldovan Eleição Presidencial, 1997 1999 - 2000 Robert Guéï Costa do Marfim da Costa Costa Costeira Ivoriana Eleição Presidencial, 2000 1989 - 1996 Ion Iliescu Romênia Eleição Geral Romênica, 1996 Retornou ao cargo após 2000 eleições. 1981 - 2000 ABDOU DIOUF ELEÇÃO PRESIDENTAL SENEGALESA SENEGALEGAL, 2000 1996 - 2001 PETAR STOYANOV BULGARIA BULGERIA Presideial Election, 2001 1998 - 2003 Valdas Adamkus Lituânia Lituânia Eleição Presidencial, 2002 - 2003 Returned to Office em 2004. 2000 - 2004 Hipólito Mejía Eleição presidencial da República Dominicana da República Dominicana, 2004 2001 - 2004 MEGAWATI SUKARNOPUTRI Indonésia Eleição presidencial indonésia, 2004 também perdeu a eleição de 2009. 1999 - 2004 Rudolf Schuster Eslováquia Eleição Presidencial Eslovaca, 2004 2001 - 2006 Eleição presidencial da Estônia Estonia, 2006, 2005 - 2009 Nambyn Enkhbayar Mongolia Mongolian Presidencial Election Election, 2009 2000 - 2011 2011 2011 2011 - 2010 Dahir Riyale Kahin Somalilândia Somalilândia Eleição presidencial, 2010 2004 - 2010 Viktor Yushchenko Ucrânia Eleição Presidencial Ucraniana, 2010 2007 - 2011 Valdis Zatlers Latvia General Election Election, 2011 2008 - 2011 - 2011 - 2011 - 2012 Nicolas Sarkozy France Eleição presidencial francesa, 2012 também foi executada em 2017, mas perdeu a primária dos republicanos. 2000 - 2012 Abdoulaye Wade Senegal Senegalês Eleição Presidencial, 2012 2004 - 2012 Boris Tadić Eleição Presidencial Sérvia Sérvia, 2012 2007 - 2012 Danilo Türk Slovenia Slovenian Election, 2012 2012 - 2014 Joyce Banda Banda. - 2015 IVO Josipović Croácia Eleição Presidencial Croata, 2014 - 15 2010 - 2015 Goodluck Jonathan Nigéria Eleição presidencial nigeriana, 2015 2015 - 2015 Bronisław Komorowski Polônia Eleição Presidente, 2015 - 1994, 2017, Yahya Jammeh The Giant Giannial 2012 - 2017 JOHN MAHAMA GANA GANAIANA ELEÇÃO GERAL, 2016 2011 - 2016 Manuel Pinto da Costa São Tomé e Príncipe São Toméan Eleição Presidencial, 2016 2011 - 2016 Yevgeny Shevchuk Transnistria Eleição Presidencial Transnistria Eleição presidencial somali, 2017 2012 - 2017 Leonid Tibilov South Ossétia Eleição presidencial do osso sul, 2017</v>
      </c>
      <c r="I162" s="3" t="str">
        <f>IFERROR(__xludf.DUMMYFUNCTION("GOOGLETRANSLATE(E162)"),"1992")</f>
        <v>1992</v>
      </c>
    </row>
    <row r="163" ht="15.75" customHeight="1">
      <c r="A163" s="1">
        <v>161.0</v>
      </c>
      <c r="B163" s="3" t="s">
        <v>602</v>
      </c>
      <c r="C163" s="3" t="s">
        <v>603</v>
      </c>
      <c r="D163" s="3" t="s">
        <v>604</v>
      </c>
      <c r="E163" s="3" t="s">
        <v>605</v>
      </c>
      <c r="F163" s="3" t="str">
        <f>IFERROR(__xludf.DUMMYFUNCTION("GOOGLETRANSLATE(B163)")," Baily Bridge")</f>
        <v> Baily Bridge</v>
      </c>
      <c r="G163" s="3" t="str">
        <f>IFERROR(__xludf.DUMMYFUNCTION("GOOGLETRANSLATE(C163)"),"Nomeie a ponte mais alta do mundo construída pelo exército indiano")</f>
        <v>Nomeie a ponte mais alta do mundo construída pelo exército indiano</v>
      </c>
      <c r="H163" s="3" t="str">
        <f>IFERROR(__xludf.DUMMYFUNCTION("GOOGLETRANSLATE(D163)")," A Baily Bridge é a ponte na maior elevação do mundo. Esta ponte está localizada nas montanhas do Himalaia entre o rio Dras e o rio Suru, no vale de Ladakh, no estado indiano de Jammu e Caxemira. Tem 30 metros (98 pés) de comprimento e tem uma altitude de"&amp;" 5.602 metros (18.379 pés) acima do nível médio do mar. É uma ponte Bailey construída em 1982 pelo exército indiano.")</f>
        <v> A Baily Bridge é a ponte na maior elevação do mundo. Esta ponte está localizada nas montanhas do Himalaia entre o rio Dras e o rio Suru, no vale de Ladakh, no estado indiano de Jammu e Caxemira. Tem 30 metros (98 pés) de comprimento e tem uma altitude de 5.602 metros (18.379 pés) acima do nível médio do mar. É uma ponte Bailey construída em 1982 pelo exército indiano.</v>
      </c>
      <c r="I163" s="3" t="str">
        <f>IFERROR(__xludf.DUMMYFUNCTION("GOOGLETRANSLATE(E163)"),"Baily Bridge")</f>
        <v>Baily Bridge</v>
      </c>
    </row>
    <row r="164" ht="15.75" customHeight="1">
      <c r="A164" s="1">
        <v>162.0</v>
      </c>
      <c r="B164" s="3" t="s">
        <v>606</v>
      </c>
      <c r="C164" s="3" t="s">
        <v>607</v>
      </c>
      <c r="D164" s="3" t="s">
        <v>608</v>
      </c>
      <c r="F164" s="3" t="str">
        <f>IFERROR(__xludf.DUMMYFUNCTION("GOOGLETRANSLATE(B164)")," Lista de jogos compatíveis com o Xbox One")</f>
        <v> Lista de jogos compatíveis com o Xbox One</v>
      </c>
      <c r="G164" s="3" t="str">
        <f>IFERROR(__xludf.DUMMYFUNCTION("GOOGLETRANSLATE(C164)"),"O disco Xbox 360 funcionará no Xbox One")</f>
        <v>O disco Xbox 360 funcionará no Xbox One</v>
      </c>
      <c r="H164" s="3" t="str">
        <f>IFERROR(__xludf.DUMMYFUNCTION("GOOGLETRANSLATE(D164)")," O console de jogos Xbox One recebeu atualizações da Microsoft desde o seu lançamento em 2013, que permite jogar jogos selecionados de seus dois consoles antecessores, Xbox e Xbox 360. Em 15 de junho de 2015, a compatibilidade com versões anteriores com o"&amp;"s jogos do Xbox 360 suportado tornou -se disponível para os usuários elegíveis do programa de visualização do Xbox com uma atualização beta para o software Xbox One System. A atualização do painel contendo compatibilidade com versões anteriores foi lançad"&amp;"a publicamente em 12 de novembro de 2015. Em 24 de outubro de 2017, outra atualização adicionou jogos da biblioteca Xbox original. A seguir, é apresentada uma lista de todos os jogos compatíveis com versões anteriores no Xbox One nessa funcionalidade.")</f>
        <v> O console de jogos Xbox One recebeu atualizações da Microsoft desde o seu lançamento em 2013, que permite jogar jogos selecionados de seus dois consoles antecessores, Xbox e Xbox 360. Em 15 de junho de 2015, a compatibilidade com versões anteriores com os jogos do Xbox 360 suportado tornou -se disponível para os usuários elegíveis do programa de visualização do Xbox com uma atualização beta para o software Xbox One System. A atualização do painel contendo compatibilidade com versões anteriores foi lançada publicamente em 12 de novembro de 2015. Em 24 de outubro de 2017, outra atualização adicionou jogos da biblioteca Xbox original. A seguir, é apresentada uma lista de todos os jogos compatíveis com versões anteriores no Xbox One nessa funcionalidade.</v>
      </c>
      <c r="I164" s="3" t="str">
        <f>IFERROR(__xludf.DUMMYFUNCTION("GOOGLETRANSLATE(E164)"),"#VALUE!")</f>
        <v>#VALUE!</v>
      </c>
    </row>
    <row r="165" ht="15.75" customHeight="1">
      <c r="A165" s="1">
        <v>163.0</v>
      </c>
      <c r="B165" s="3" t="s">
        <v>609</v>
      </c>
      <c r="C165" s="3" t="s">
        <v>610</v>
      </c>
      <c r="D165" s="3" t="s">
        <v>611</v>
      </c>
      <c r="E165" s="3" t="s">
        <v>612</v>
      </c>
      <c r="F165" s="3" t="str">
        <f>IFERROR(__xludf.DUMMYFUNCTION("GOOGLETRANSLATE(B165)")," Como pagar pela guerra: um plano radical para o chanceler do tesouro")</f>
        <v> Como pagar pela guerra: um plano radical para o chanceler do tesouro</v>
      </c>
      <c r="G165" s="3" t="str">
        <f>IFERROR(__xludf.DUMMYFUNCTION("GOOGLETRANSLATE(C165)"),"quem escreveu um artigo sobre finanças de guerra intitulado como pagar pela guerra")</f>
        <v>quem escreveu um artigo sobre finanças de guerra intitulado como pagar pela guerra</v>
      </c>
      <c r="H165" s="3" t="str">
        <f>IFERROR(__xludf.DUMMYFUNCTION("GOOGLETRANSLATE(D165)")," Como pagar pela guerra: um plano radical para o chanceler do tesouro é um livro de John Maynard Keynes, publicado em 1940 por Macmillan and Co., Ltd ... É uma aplicação de pensamento e princípios keynesianos a uma economia prática em prática problema e u"&amp;"m texto relativamente tardio. Keynes morreu em 1946.")</f>
        <v> Como pagar pela guerra: um plano radical para o chanceler do tesouro é um livro de John Maynard Keynes, publicado em 1940 por Macmillan and Co., Ltd ... É uma aplicação de pensamento e princípios keynesianos a uma economia prática em prática problema e um texto relativamente tardio. Keynes morreu em 1946.</v>
      </c>
      <c r="I165" s="3" t="str">
        <f>IFERROR(__xludf.DUMMYFUNCTION("GOOGLETRANSLATE(E165)"),"John Maynard Keynes")</f>
        <v>John Maynard Keynes</v>
      </c>
    </row>
    <row r="166" ht="15.75" customHeight="1">
      <c r="A166" s="1">
        <v>164.0</v>
      </c>
      <c r="B166" s="3" t="s">
        <v>613</v>
      </c>
      <c r="C166" s="3" t="s">
        <v>614</v>
      </c>
      <c r="D166" s="3" t="s">
        <v>615</v>
      </c>
      <c r="E166" s="3" t="s">
        <v>616</v>
      </c>
      <c r="F166" s="3" t="str">
        <f>IFERROR(__xludf.DUMMYFUNCTION("GOOGLETRANSLATE(B166)")," Quicken Loans Arena")</f>
        <v> Quicken Loans Arena</v>
      </c>
      <c r="G166" s="3" t="str">
        <f>IFERROR(__xludf.DUMMYFUNCTION("GOOGLETRANSLATE(C166)"),"Onde os Cavs tocavam antes da arena Gund")</f>
        <v>Onde os Cavs tocavam antes da arena Gund</v>
      </c>
      <c r="H166" s="3" t="str">
        <f>IFERROR(__xludf.DUMMYFUNCTION("GOOGLETRANSLATE(D166)")," A arena foi inaugurada em outubro de 1994 como parte do complexo de esportes e entretenimento Gateway com campo progressivo adjacente, que foi inaugurado em abril daquele ano. É nomeado para os empréstimos do Chender Ricken, cujo presidente e fundador é "&amp;"Dan Gilbert, o proprietário majoritário dos Cavaliers, Monstros e Gladiadores. Desde sua abertura até agosto de 2005, era conhecida como Gund Arena, nomeada para o ex -proprietário do Cavaliers, Gordon Gund, depois que ele pagou pelos direitos de nomencla"&amp;"tura. O Q substituiu o Coliseu de Richfield como a principal instalação de entretenimento da região e a casa dos Cavaliers e suplantou o Wolstein Center na Cleveland State University, que foi inaugurado em 1990, como o concerto principal e o local atlétic"&amp;"o no centro de Cleveland.")</f>
        <v> A arena foi inaugurada em outubro de 1994 como parte do complexo de esportes e entretenimento Gateway com campo progressivo adjacente, que foi inaugurado em abril daquele ano. É nomeado para os empréstimos do Chender Ricken, cujo presidente e fundador é Dan Gilbert, o proprietário majoritário dos Cavaliers, Monstros e Gladiadores. Desde sua abertura até agosto de 2005, era conhecida como Gund Arena, nomeada para o ex -proprietário do Cavaliers, Gordon Gund, depois que ele pagou pelos direitos de nomenclatura. O Q substituiu o Coliseu de Richfield como a principal instalação de entretenimento da região e a casa dos Cavaliers e suplantou o Wolstein Center na Cleveland State University, que foi inaugurado em 1990, como o concerto principal e o local atlético no centro de Cleveland.</v>
      </c>
      <c r="I166" s="3" t="str">
        <f>IFERROR(__xludf.DUMMYFUNCTION("GOOGLETRANSLATE(E166)"),"O Coliseu de Richfield")</f>
        <v>O Coliseu de Richfield</v>
      </c>
    </row>
    <row r="167" ht="15.75" customHeight="1">
      <c r="A167" s="1">
        <v>165.0</v>
      </c>
      <c r="B167" s="3" t="s">
        <v>617</v>
      </c>
      <c r="C167" s="3" t="s">
        <v>618</v>
      </c>
      <c r="D167" s="3" t="s">
        <v>619</v>
      </c>
      <c r="F167" s="3" t="str">
        <f>IFERROR(__xludf.DUMMYFUNCTION("GOOGLETRANSLATE(B167)")," Terceira Emenda à Constituição dos Estados Unidos")</f>
        <v> Terceira Emenda à Constituição dos Estados Unidos</v>
      </c>
      <c r="G167" s="3" t="str">
        <f>IFERROR(__xludf.DUMMYFUNCTION("GOOGLETRANSLATE(C167)"),"A Proibição da 3ª Emenda de Soldados Forçados")</f>
        <v>A Proibição da 3ª Emenda de Soldados Forçados</v>
      </c>
      <c r="H167" s="3" t="str">
        <f>IFERROR(__xludf.DUMMYFUNCTION("GOOGLETRANSLATE(D167)")," A Terceira Emenda (Emenda III) à Constituição dos Estados Unidos coloca restrições ao trimestre de soldados em casas particulares sem o consentimento do proprietário, proibindo a prática em tempo de paz. A emenda é uma resposta a atos de trimestre aprova"&amp;"dos pelo Parlamento Britânico durante o acúmulo da Guerra Revolucionária Americana, que havia permitido ao Exército Britânico apresentar soldados em residências particulares.")</f>
        <v> A Terceira Emenda (Emenda III) à Constituição dos Estados Unidos coloca restrições ao trimestre de soldados em casas particulares sem o consentimento do proprietário, proibindo a prática em tempo de paz. A emenda é uma resposta a atos de trimestre aprovados pelo Parlamento Britânico durante o acúmulo da Guerra Revolucionária Americana, que havia permitido ao Exército Britânico apresentar soldados em residências particulares.</v>
      </c>
      <c r="I167" s="3" t="str">
        <f>IFERROR(__xludf.DUMMYFUNCTION("GOOGLETRANSLATE(E167)"),"#VALUE!")</f>
        <v>#VALUE!</v>
      </c>
    </row>
    <row r="168" ht="15.75" customHeight="1">
      <c r="A168" s="1">
        <v>166.0</v>
      </c>
      <c r="B168" s="3" t="s">
        <v>620</v>
      </c>
      <c r="C168" s="3" t="s">
        <v>621</v>
      </c>
      <c r="D168" s="3" t="s">
        <v>622</v>
      </c>
      <c r="E168" s="3" t="s">
        <v>623</v>
      </c>
      <c r="F168" s="3" t="str">
        <f>IFERROR(__xludf.DUMMYFUNCTION("GOOGLETRANSLATE(B168)")," Corrida armamentista nuclear")</f>
        <v> Corrida armamentista nuclear</v>
      </c>
      <c r="G168" s="3" t="str">
        <f>IFERROR(__xludf.DUMMYFUNCTION("GOOGLETRANSLATE(C168)"),"que venceu a corrida armamentista na Guerra Fria")</f>
        <v>que venceu a corrida armamentista na Guerra Fria</v>
      </c>
      <c r="H168" s="3" t="str">
        <f>IFERROR(__xludf.DUMMYFUNCTION("GOOGLETRANSLATE(D168)")," Ao longo da década de 1970, a União Soviética e os Estados Unidos substituíram mísseis e ogivas antigos por novos, mais poderosos e eficazes. Isso continuou a piorar as relações soviéticas - dos EUA. Em 18 de junho de 1979, o tratado Salt II foi assinado"&amp;" em Viena. Este tratado limitou os arsenais nucleares de ambos os lados. No entanto, esse tratado, bem como a era do Détente, terminou com a invasão do Afeganistão pela União Soviética em janeiro de 1980. Os Estados Unidos mais uma vez aumentaram signific"&amp;"ativamente os gastos militares e nucleares, enquanto os soviéticos não conseguiram responder e continuaram a perseguir o Détente.")</f>
        <v> Ao longo da década de 1970, a União Soviética e os Estados Unidos substituíram mísseis e ogivas antigos por novos, mais poderosos e eficazes. Isso continuou a piorar as relações soviéticas - dos EUA. Em 18 de junho de 1979, o tratado Salt II foi assinado em Viena. Este tratado limitou os arsenais nucleares de ambos os lados. No entanto, esse tratado, bem como a era do Détente, terminou com a invasão do Afeganistão pela União Soviética em janeiro de 1980. Os Estados Unidos mais uma vez aumentaram significativamente os gastos militares e nucleares, enquanto os soviéticos não conseguiram responder e continuaram a perseguir o Détente.</v>
      </c>
      <c r="I168" s="3" t="str">
        <f>IFERROR(__xludf.DUMMYFUNCTION("GOOGLETRANSLATE(E168)"),"Os Estados Unidos")</f>
        <v>Os Estados Unidos</v>
      </c>
    </row>
    <row r="169" ht="15.75" customHeight="1">
      <c r="A169" s="1">
        <v>167.0</v>
      </c>
      <c r="B169" s="3" t="s">
        <v>624</v>
      </c>
      <c r="C169" s="3" t="s">
        <v>625</v>
      </c>
      <c r="D169" s="3" t="s">
        <v>626</v>
      </c>
      <c r="F169" s="3" t="str">
        <f>IFERROR(__xludf.DUMMYFUNCTION("GOOGLETRANSLATE(B169)")," Aroldis Chapman")</f>
        <v> Aroldis Chapman</v>
      </c>
      <c r="G169" s="3" t="str">
        <f>IFERROR(__xludf.DUMMYFUNCTION("GOOGLETRANSLATE(C169)"),"quem tem a bola rápida mais rápida na MLB")</f>
        <v>quem tem a bola rápida mais rápida na MLB</v>
      </c>
      <c r="H169" s="3" t="str">
        <f>IFERROR(__xludf.DUMMYFUNCTION("GOOGLETRANSLATE(D169)")," Em 11 de julho de 2014, Chapman quebrou o recorde, previamente detido por Bruce Sutter, pelas aparições mais consecutivas com um strikeout, tendo lançado pelo menos um batedor em 40 aparições consecutivas. A sequência de Chapman começou em 21 de agosto d"&amp;"e 2013 e durou 49 jogos consecutivos em duas temporadas, com o 49º e último jogo em 13 de agosto de 2014. Ele compartilha o recorde da velocidade de afinação mais rápida registrada na história da MLB, a 169,1 km / h a 105,1 milhas por hora, bem como o rec"&amp;"orde mundial do Guinness para o arremesso de beisebol mais rápido.")</f>
        <v> Em 11 de julho de 2014, Chapman quebrou o recorde, previamente detido por Bruce Sutter, pelas aparições mais consecutivas com um strikeout, tendo lançado pelo menos um batedor em 40 aparições consecutivas. A sequência de Chapman começou em 21 de agosto de 2013 e durou 49 jogos consecutivos em duas temporadas, com o 49º e último jogo em 13 de agosto de 2014. Ele compartilha o recorde da velocidade de afinação mais rápida registrada na história da MLB, a 169,1 km / h a 105,1 milhas por hora, bem como o recorde mundial do Guinness para o arremesso de beisebol mais rápido.</v>
      </c>
      <c r="I169" s="3" t="str">
        <f>IFERROR(__xludf.DUMMYFUNCTION("GOOGLETRANSLATE(E169)"),"#VALUE!")</f>
        <v>#VALUE!</v>
      </c>
    </row>
    <row r="170" ht="15.75" customHeight="1">
      <c r="A170" s="1">
        <v>168.0</v>
      </c>
      <c r="B170" s="3" t="s">
        <v>627</v>
      </c>
      <c r="C170" s="3" t="s">
        <v>628</v>
      </c>
      <c r="D170" s="3" t="s">
        <v>629</v>
      </c>
      <c r="F170" s="3" t="str">
        <f>IFERROR(__xludf.DUMMYFUNCTION("GOOGLETRANSLATE(B170)")," Cinco de maio")</f>
        <v> Cinco de maio</v>
      </c>
      <c r="G170" s="3" t="str">
        <f>IFERROR(__xludf.DUMMYFUNCTION("GOOGLETRANSLATE(C170)"),"Onde a celebração de Cinco de Mayo se originou")</f>
        <v>Onde a celebração de Cinco de Mayo se originou</v>
      </c>
      <c r="H170" s="3" t="str">
        <f>IFERROR(__xludf.DUMMYFUNCTION("GOOGLETRANSLATE(D170)")," Cinco de Mayo (pronunciado (ˈsiŋko ðe ˈmaʝo) na América Latina, espanhol para `` quinto de maio '') é uma celebração anual realizada em 5 de maio. Observa -se que a data comemora a improvável vitória do exército mexicano sobre o Império Francês na Batalh"&amp;"a de Puebla, em 5 de maio de 1862, sob a liderança do general Ignacio Zaragoza.")</f>
        <v> Cinco de Mayo (pronunciado (ˈsiŋko ðe ˈmaʝo) na América Latina, espanhol para `` quinto de maio '') é uma celebração anual realizada em 5 de maio. Observa -se que a data comemora a improvável vitória do exército mexicano sobre o Império Francês na Batalha de Puebla, em 5 de maio de 1862, sob a liderança do general Ignacio Zaragoza.</v>
      </c>
      <c r="I170" s="3" t="str">
        <f>IFERROR(__xludf.DUMMYFUNCTION("GOOGLETRANSLATE(E170)"),"#VALUE!")</f>
        <v>#VALUE!</v>
      </c>
    </row>
    <row r="171" ht="15.75" customHeight="1">
      <c r="A171" s="1">
        <v>169.0</v>
      </c>
      <c r="B171" s="3" t="s">
        <v>630</v>
      </c>
      <c r="C171" s="3" t="s">
        <v>631</v>
      </c>
      <c r="D171" s="3" t="s">
        <v>632</v>
      </c>
      <c r="F171" s="3" t="str">
        <f>IFERROR(__xludf.DUMMYFUNCTION("GOOGLETRANSLATE(B171)")," Vale de San Joaquin")</f>
        <v> Vale de San Joaquin</v>
      </c>
      <c r="G171" s="3" t="str">
        <f>IFERROR(__xludf.DUMMYFUNCTION("GOOGLETRANSLATE(C171)"),"Onde está o vale de San Joaquin localizado em um mapa")</f>
        <v>Onde está o vale de San Joaquin localizado em um mapa</v>
      </c>
      <c r="H171" s="3" t="str">
        <f>IFERROR(__xludf.DUMMYFUNCTION("GOOGLETRANSLATE(D171)")," O vale de San Joaquin ( / ˌsæn hw ː ˈkiːn / San Whah - Keen) é a área do vale central do Estado dos EUA da Califórnia, que fica ao sul do Sacramento - San Joaquin River Delta e é drenado pelo rio San Joaquin. Compreende sete condados do norte da Califórn"&amp;"ia - todos do condado de Kings; A maioria dos condados de Fresno, Merced, Stanislaus; Segmentos dos condados de Madera e Tulare - e a maioria do condado de Kern, no sul da Califórnia. Embora a maioria do vale seja rural, ele contém cidades como Fresno, Ba"&amp;"kersfield, Stockton, Modesto, Turlock, Porterville, Visalia, Merced e Hanford.")</f>
        <v> O vale de San Joaquin ( / ˌsæn hw ː ˈkiːn / San Whah - Keen) é a área do vale central do Estado dos EUA da Califórnia, que fica ao sul do Sacramento - San Joaquin River Delta e é drenado pelo rio San Joaquin. Compreende sete condados do norte da Califórnia - todos do condado de Kings; A maioria dos condados de Fresno, Merced, Stanislaus; Segmentos dos condados de Madera e Tulare - e a maioria do condado de Kern, no sul da Califórnia. Embora a maioria do vale seja rural, ele contém cidades como Fresno, Bakersfield, Stockton, Modesto, Turlock, Porterville, Visalia, Merced e Hanford.</v>
      </c>
      <c r="I171" s="3" t="str">
        <f>IFERROR(__xludf.DUMMYFUNCTION("GOOGLETRANSLATE(E171)"),"#VALUE!")</f>
        <v>#VALUE!</v>
      </c>
    </row>
    <row r="172" ht="15.75" customHeight="1">
      <c r="A172" s="1">
        <v>170.0</v>
      </c>
      <c r="B172" s="3" t="s">
        <v>633</v>
      </c>
      <c r="C172" s="3" t="s">
        <v>634</v>
      </c>
      <c r="D172" s="3" t="s">
        <v>635</v>
      </c>
      <c r="E172" s="3" t="s">
        <v>636</v>
      </c>
      <c r="F172" s="3" t="str">
        <f>IFERROR(__xludf.DUMMYFUNCTION("GOOGLETRANSLATE(B172)")," Autógrafo")</f>
        <v> Autógrafo</v>
      </c>
      <c r="G172" s="3" t="str">
        <f>IFERROR(__xludf.DUMMYFUNCTION("GOOGLETRANSLATE(C172)"),"Qual é o termo adequado usado para a assinatura dada por celebridades a seus fãs")</f>
        <v>Qual é o termo adequado usado para a assinatura dada por celebridades a seus fãs</v>
      </c>
      <c r="H172" s="3" t="str">
        <f>IFERROR(__xludf.DUMMYFUNCTION("GOOGLETRANSLATE(D172)")," O autógrafo também se refere à assinatura artística de uma pessoa famosa. Este termo é usado em particular para a prática de coletar autógrafos de celebridades. O hobby de coletar autógrafos é conhecido como filografia.")</f>
        <v> O autógrafo também se refere à assinatura artística de uma pessoa famosa. Este termo é usado em particular para a prática de coletar autógrafos de celebridades. O hobby de coletar autógrafos é conhecido como filografia.</v>
      </c>
      <c r="I172" s="3" t="str">
        <f>IFERROR(__xludf.DUMMYFUNCTION("GOOGLETRANSLATE(E172)"),"Autógrafo")</f>
        <v>Autógrafo</v>
      </c>
    </row>
    <row r="173" ht="15.75" customHeight="1">
      <c r="A173" s="1">
        <v>171.0</v>
      </c>
      <c r="B173" s="3" t="s">
        <v>637</v>
      </c>
      <c r="C173" s="3" t="s">
        <v>638</v>
      </c>
      <c r="D173" s="3" t="s">
        <v>639</v>
      </c>
      <c r="E173" s="3" t="s">
        <v>640</v>
      </c>
      <c r="F173" s="3" t="str">
        <f>IFERROR(__xludf.DUMMYFUNCTION("GOOGLETRANSLATE(B173)")," Willy Wonka e a fábrica de chocolate")</f>
        <v> Willy Wonka e a fábrica de chocolate</v>
      </c>
      <c r="G173" s="3" t="str">
        <f>IFERROR(__xludf.DUMMYFUNCTION("GOOGLETRANSLATE(C173)"),"quem é dono de Willy Wonka e a fábrica de chocolate")</f>
        <v>quem é dono de Willy Wonka e a fábrica de chocolate</v>
      </c>
      <c r="H173" s="3" t="str">
        <f>IFERROR(__xludf.DUMMYFUNCTION("GOOGLETRANSLATE(D173)")," O filme conta a história de Charlie Bucket (Peter Ostrum), enquanto ele recebe uma passagem de ouro e visita a fábrica de chocolate de Willy Wonka com outras quatro crianças de todo o mundo. As filmagens ocorreram em Munique em 1970, e o filme foi lançad"&amp;"o pela Paramount Pictures em 30 de junho de 1971. Com um orçamento de apenas US $ 3 milhões, o filme recebeu críticas geralmente positivas e ganhou US $ 4 milhões até o final de sua corrida original. A Paramount distribuiu o filme até 1977 e, a partir da "&amp;"década de 1980, a Warner Bros. assumiu o controle dos direitos para fins de entretenimento doméstico. O filme ganhou US $ 21 milhões durante seu relançamento pela Warner Bros. sob sua bandeira de entretenimento familiar em 1996. O filme tornou -se altamen"&amp;"te popular em parte através de repetidas exibições na televisão e vendas de entretenimento doméstico. Em 1972, o filme recebeu uma indicação ao Oscar de melhor trilha sonora original, e Wilder foi nomeado para um Globo de Ouro como Melhor Ator em um Music"&amp;"al ou Comédia, mas perdeu ambos para Fiddler no telhado. O filme também apresentou a música `` The Candy Man '', que se tornou um sucesso popular quando gravado por Sammy Davis Jr. Em 2014, o filme foi selecionado para preservação no Registro Nacional de "&amp;"Cinema dos Estados Unidos pela Biblioteca do Congresso como sendo `` cultural, historicamente ou esteticamente significativo ''.")</f>
        <v> O filme conta a história de Charlie Bucket (Peter Ostrum), enquanto ele recebe uma passagem de ouro e visita a fábrica de chocolate de Willy Wonka com outras quatro crianças de todo o mundo. As filmagens ocorreram em Munique em 1970, e o filme foi lançado pela Paramount Pictures em 30 de junho de 1971. Com um orçamento de apenas US $ 3 milhões, o filme recebeu críticas geralmente positivas e ganhou US $ 4 milhões até o final de sua corrida original. A Paramount distribuiu o filme até 1977 e, a partir da década de 1980, a Warner Bros. assumiu o controle dos direitos para fins de entretenimento doméstico. O filme ganhou US $ 21 milhões durante seu relançamento pela Warner Bros. sob sua bandeira de entretenimento familiar em 1996. O filme tornou -se altamente popular em parte através de repetidas exibições na televisão e vendas de entretenimento doméstico. Em 1972, o filme recebeu uma indicação ao Oscar de melhor trilha sonora original, e Wilder foi nomeado para um Globo de Ouro como Melhor Ator em um Musical ou Comédia, mas perdeu ambos para Fiddler no telhado. O filme também apresentou a música `` The Candy Man '', que se tornou um sucesso popular quando gravado por Sammy Davis Jr. Em 2014, o filme foi selecionado para preservação no Registro Nacional de Cinema dos Estados Unidos pela Biblioteca do Congresso como sendo `` cultural, historicamente ou esteticamente significativo ''.</v>
      </c>
      <c r="I173" s="3" t="str">
        <f>IFERROR(__xludf.DUMMYFUNCTION("GOOGLETRANSLATE(E173)"),"Warner Bros.")</f>
        <v>Warner Bros.</v>
      </c>
    </row>
    <row r="174" ht="15.75" customHeight="1">
      <c r="A174" s="1">
        <v>172.0</v>
      </c>
      <c r="B174" s="3" t="s">
        <v>641</v>
      </c>
      <c r="C174" s="3" t="s">
        <v>642</v>
      </c>
      <c r="D174" s="3" t="s">
        <v>643</v>
      </c>
      <c r="E174" s="3" t="s">
        <v>644</v>
      </c>
      <c r="F174" s="3" t="str">
        <f>IFERROR(__xludf.DUMMYFUNCTION("GOOGLETRANSLATE(B174)")," Sign of the Times (música de Harry Styles)")</f>
        <v> Sign of the Times (música de Harry Styles)</v>
      </c>
      <c r="G174" s="3" t="str">
        <f>IFERROR(__xludf.DUMMYFUNCTION("GOOGLETRANSLATE(C174)"),"quem dirigiu o signo do videoclipe do Times")</f>
        <v>quem dirigiu o signo do videoclipe do Times</v>
      </c>
      <c r="H174" s="3" t="str">
        <f>IFERROR(__xludf.DUMMYFUNCTION("GOOGLETRANSLATE(D174)")," Dirigido por Woodkid, o videoclipe da música foi lançado em 8 de maio. Possui estilos cantando em um prado e voando nos céus, andando na água. Um escritor do USA Today descreveu os Styles como `` fazendo uma audição para ser a Marvel Comics Next Super -h"&amp;"erói ou em um novo épico bíblico ''. Foi filmado na Ilha de Skye, na Escócia. O piloto de dublês do vídeo, Will Banks, afirmou que os estilos voaram mais de 1.550 pés de altura durante as filmagens. Os bancos também alegaram que nenhum efeito de tela verd"&amp;"e ou CGI foram empregados durante as filmagens. Um dublê duplo foi usado para algumas cenas.")</f>
        <v> Dirigido por Woodkid, o videoclipe da música foi lançado em 8 de maio. Possui estilos cantando em um prado e voando nos céus, andando na água. Um escritor do USA Today descreveu os Styles como `` fazendo uma audição para ser a Marvel Comics Next Super -herói ou em um novo épico bíblico ''. Foi filmado na Ilha de Skye, na Escócia. O piloto de dublês do vídeo, Will Banks, afirmou que os estilos voaram mais de 1.550 pés de altura durante as filmagens. Os bancos também alegaram que nenhum efeito de tela verde ou CGI foram empregados durante as filmagens. Um dublê duplo foi usado para algumas cenas.</v>
      </c>
      <c r="I174" s="3" t="str">
        <f>IFERROR(__xludf.DUMMYFUNCTION("GOOGLETRANSLATE(E174)"),"Woodkid")</f>
        <v>Woodkid</v>
      </c>
    </row>
    <row r="175" ht="15.75" customHeight="1">
      <c r="A175" s="1">
        <v>173.0</v>
      </c>
      <c r="B175" s="3" t="s">
        <v>645</v>
      </c>
      <c r="C175" s="3" t="s">
        <v>646</v>
      </c>
      <c r="D175" s="3" t="s">
        <v>647</v>
      </c>
      <c r="E175" s="3" t="s">
        <v>648</v>
      </c>
      <c r="F175" s="3" t="str">
        <f>IFERROR(__xludf.DUMMYFUNCTION("GOOGLETRANSLATE(B175)")," Era uma vez (temporada 7)")</f>
        <v> Era uma vez (temporada 7)</v>
      </c>
      <c r="G175" s="3" t="str">
        <f>IFERROR(__xludf.DUMMYFUNCTION("GOOGLETRANSLATE(C175)"),"que interpreta Cinderela em Once Upon a Time 2017")</f>
        <v>que interpreta Cinderela em Once Upon a Time 2017</v>
      </c>
      <c r="H175" s="3" t="str">
        <f>IFERROR(__xludf.DUMMYFUNCTION("GOOGLETRANSLATE(D175)")," Dania Ramirez como Cinderela / Jaconda")</f>
        <v> Dania Ramirez como Cinderela / Jaconda</v>
      </c>
      <c r="I175" s="3" t="str">
        <f>IFERROR(__xludf.DUMMYFUNCTION("GOOGLETRANSLATE(E175)"),"Pratos de Ramirez")</f>
        <v>Pratos de Ramirez</v>
      </c>
    </row>
    <row r="176" ht="15.75" customHeight="1">
      <c r="A176" s="1">
        <v>174.0</v>
      </c>
      <c r="B176" s="3" t="s">
        <v>649</v>
      </c>
      <c r="C176" s="3" t="s">
        <v>650</v>
      </c>
      <c r="D176" s="3" t="s">
        <v>651</v>
      </c>
      <c r="E176" s="3" t="s">
        <v>652</v>
      </c>
      <c r="F176" s="3" t="str">
        <f>IFERROR(__xludf.DUMMYFUNCTION("GOOGLETRANSLATE(B176)")," Kit Harington")</f>
        <v> Kit Harington</v>
      </c>
      <c r="G176" s="3" t="str">
        <f>IFERROR(__xludf.DUMMYFUNCTION("GOOGLETRANSLATE(C176)"),"Quem interpreta Jon Snow em Game of Thrones")</f>
        <v>Quem interpreta Jon Snow em Game of Thrones</v>
      </c>
      <c r="H176" s="3" t="str">
        <f>IFERROR(__xludf.DUMMYFUNCTION("GOOGLETRANSLATE(D176)")," Christopher Catesby `` kit '' Harington (nascido em 26 de dezembro de 1986) é um ator e produtor inglês. Nascido em Acton, na Grande Londres, Harington começou sua carreira no teatro. Seu primeiro papel foi na adaptação do cavalo de guerra do National Th"&amp;"eatre. Sua estréia no cinema foi em Silent Hill: Revelation (2012). Desde então, ele apareceu em vários longas -metragens, como The Historical Romance Film Pompeii (2014), The Computer - Animated Film How To Train Your Dragon 2 (2014) e The British Drama "&amp;"Film Testament of Youth (2014).")</f>
        <v> Christopher Catesby `` kit '' Harington (nascido em 26 de dezembro de 1986) é um ator e produtor inglês. Nascido em Acton, na Grande Londres, Harington começou sua carreira no teatro. Seu primeiro papel foi na adaptação do cavalo de guerra do National Theatre. Sua estréia no cinema foi em Silent Hill: Revelation (2012). Desde então, ele apareceu em vários longas -metragens, como The Historical Romance Film Pompeii (2014), The Computer - Animated Film How To Train Your Dragon 2 (2014) e The British Drama Film Testament of Youth (2014).</v>
      </c>
      <c r="I176" s="3" t="str">
        <f>IFERROR(__xludf.DUMMYFUNCTION("GOOGLETRANSLATE(E176)"),"Christopher Catesby `` kit '' Harington")</f>
        <v>Christopher Catesby `` kit '' Harington</v>
      </c>
    </row>
    <row r="177" ht="15.75" customHeight="1">
      <c r="A177" s="1">
        <v>175.0</v>
      </c>
      <c r="B177" s="3" t="s">
        <v>653</v>
      </c>
      <c r="C177" s="3" t="s">
        <v>654</v>
      </c>
      <c r="D177" s="3" t="s">
        <v>655</v>
      </c>
      <c r="E177" s="3" t="s">
        <v>656</v>
      </c>
      <c r="F177" s="3" t="str">
        <f>IFERROR(__xludf.DUMMYFUNCTION("GOOGLETRANSLATE(B177)")," Probabilidade")</f>
        <v> Probabilidade</v>
      </c>
      <c r="G177" s="3" t="str">
        <f>IFERROR(__xludf.DUMMYFUNCTION("GOOGLETRANSLATE(C177)"),"qual termo é definido como a chance de um determinado evento ocorrer")</f>
        <v>qual termo é definido como a chance de um determinado evento ocorrer</v>
      </c>
      <c r="H177" s="3" t="str">
        <f>IFERROR(__xludf.DUMMYFUNCTION("GOOGLETRANSLATE(D177)")," A probabilidade é a medida da probabilidade de ocorrer um evento. Veja Glossário de Probabilidade e Estatística. A probabilidade é quantificada como um número entre 0 e 1, onde, frouxamente, 0 indica impossibilidade e 1 indica certeza. Quanto maior a pro"&amp;"babilidade de um evento, maior a probabilidade de o evento ocorrer. Um exemplo simples é o lançamento de uma moeda justa (imparcial). Como a moeda é justa, os dois resultados (`` cabeças '' e `` caudas '') são igualmente prováveis; A probabilidade de `` c"&amp;"abeças '' é igual à probabilidade de `` caudas ''; E como nenhum outro resultado é possível, a probabilidade de `` cabeças '' ou `` caudas '' é de 1/2 (que também pode ser escrita como 0,5 ou 50 %).")</f>
        <v> A probabilidade é a medida da probabilidade de ocorrer um evento. Veja Glossário de Probabilidade e Estatística. A probabilidade é quantificada como um número entre 0 e 1, onde, frouxamente, 0 indica impossibilidade e 1 indica certeza. Quanto maior a probabilidade de um evento, maior a probabilidade de o evento ocorrer. Um exemplo simples é o lançamento de uma moeda justa (imparcial). Como a moeda é justa, os dois resultados (`` cabeças '' e `` caudas '') são igualmente prováveis; A probabilidade de `` cabeças '' é igual à probabilidade de `` caudas ''; E como nenhum outro resultado é possível, a probabilidade de `` cabeças '' ou `` caudas '' é de 1/2 (que também pode ser escrita como 0,5 ou 50 %).</v>
      </c>
      <c r="I177" s="3" t="str">
        <f>IFERROR(__xludf.DUMMYFUNCTION("GOOGLETRANSLATE(E177)"),"Probabilidade")</f>
        <v>Probabilidade</v>
      </c>
    </row>
    <row r="178" ht="15.75" customHeight="1">
      <c r="A178" s="1">
        <v>176.0</v>
      </c>
      <c r="B178" s="3" t="s">
        <v>657</v>
      </c>
      <c r="C178" s="3" t="s">
        <v>658</v>
      </c>
      <c r="D178" s="3" t="s">
        <v>659</v>
      </c>
      <c r="F178" s="3" t="str">
        <f>IFERROR(__xludf.DUMMYFUNCTION("GOOGLETRANSLATE(B178)")," Orgulho e preconceito (filme de 1940)")</f>
        <v> Orgulho e preconceito (filme de 1940)</v>
      </c>
      <c r="G178" s="3" t="str">
        <f>IFERROR(__xludf.DUMMYFUNCTION("GOOGLETRANSLATE(C178)"),"elenco da versão de 1940 de orgulho e preconceito")</f>
        <v>elenco da versão de 1940 de orgulho e preconceito</v>
      </c>
      <c r="H178" s="3" t="str">
        <f>IFERROR(__xludf.DUMMYFUNCTION("GOOGLETRANSLATE(D178)"),"  Gerer Garson Elizabeth Bennet Laurence Olivier como Fitzwilliam Darcy Mary Boland como a Sra. Bennet Edna May Oliver como Lady Catherine de Bourgh Maureen O'Sullivan como Jane Bennet Ann Rutherford como Lydia Bennet Keten Keten, como Caroline Bingley Ed"&amp;"mund Gwenn Gwenn Charlotte Lucas Collins Heather Angel como Kitty Bennet Marsha Hunt como Mary Bennet Melville Cooper como o Sr. Collins Edward Ashley Cooper como George Wickham Bruce Lester como Sr. Bingley E.E. Clive como Sir Willam Lucas Marjorie Wood "&amp;"como Lady Lucas Vernon como Captain Carter Carter")</f>
        <v>  Gerer Garson Elizabeth Bennet Laurence Olivier como Fitzwilliam Darcy Mary Boland como a Sra. Bennet Edna May Oliver como Lady Catherine de Bourgh Maureen O'Sullivan como Jane Bennet Ann Rutherford como Lydia Bennet Keten Keten, como Caroline Bingley Edmund Gwenn Gwenn Charlotte Lucas Collins Heather Angel como Kitty Bennet Marsha Hunt como Mary Bennet Melville Cooper como o Sr. Collins Edward Ashley Cooper como George Wickham Bruce Lester como Sr. Bingley E.E. Clive como Sir Willam Lucas Marjorie Wood como Lady Lucas Vernon como Captain Carter Carter</v>
      </c>
      <c r="I178" s="3" t="str">
        <f>IFERROR(__xludf.DUMMYFUNCTION("GOOGLETRANSLATE(E178)"),"#VALUE!")</f>
        <v>#VALUE!</v>
      </c>
    </row>
    <row r="179" ht="15.75" customHeight="1">
      <c r="A179" s="1">
        <v>177.0</v>
      </c>
      <c r="B179" s="3" t="s">
        <v>660</v>
      </c>
      <c r="C179" s="3" t="s">
        <v>661</v>
      </c>
      <c r="D179" s="3" t="s">
        <v>662</v>
      </c>
      <c r="E179" s="3" t="s">
        <v>663</v>
      </c>
      <c r="F179" s="3" t="str">
        <f>IFERROR(__xludf.DUMMYFUNCTION("GOOGLETRANSLATE(B179)")," 90210 (temporada 3)")</f>
        <v> 90210 (temporada 3)</v>
      </c>
      <c r="G179" s="3" t="str">
        <f>IFERROR(__xludf.DUMMYFUNCTION("GOOGLETRANSLATE(C179)"),"Quando eles descobrem sobre Emily 90210")</f>
        <v>Quando eles descobrem sobre Emily 90210</v>
      </c>
      <c r="H179" s="3" t="str">
        <f>IFERROR(__xludf.DUMMYFUNCTION("GOOGLETRANSLATE(D179)"),"   Não . No. no título geral do título de temporada, dirigido por escrito pelos espectadores originais da Data Aérea dos EUA (milhões) 47 `` Senior Year, Baby '' Stuart Gillard Jennie Snyder Urman 13 de setembro de 2010 (2010 - 09 - 13) 1.96 Beverly Hills"&amp;" é abalada por An AN Terremoto durante o primeiro dia do ano letivo. Naomi passou o verão isoladamente, lidando com as consequências de seu estupro pelo Sr. Cannon e mantendo -o em segredo. Annie e Dixon estão lidando com a ausência de seu pai, que saiu d"&amp;"a família, enquanto Debbie tenta manter a família unida sem Harry e um emprego. Enquanto isso, Teddy e Silver ficam mais felizes do que nunca até sofrer uma lesão na perna que pode acabar com sua carreira de tênis para sempre. Annie solicita um estágio em"&amp;" uma companhia de teatro local chamada The Abbott Playhouse. Navid recebe Adrianna de volta de sua turnê com Javier, mas a chegada deles traz uma morte inesperada. Ivy retorna da Austrália com ela uma velha amiga de infância, chamada Oscar, que deixa Dixo"&amp;"n desconfortável. Em outros lugares, Annie e Liam enfrentam seus sentimentos um pelo outro. 48 `` Age of Heritância '' Liz Friedlander Padma L. Atluri 20 de setembro de 2010 (2010 - 09 - 20) 1,83 Depois de completar dezoito anos, Naomi descobre que agora "&amp;"pode acessar o dinheiro em seu grande fundo fiduciário, então ela decide jogar ela mesma uma grande festa de aniversário no Beach Club, onde contrata a banda do Honey Brothers para se apresentar. Enquanto isso, Dixon, Navid e Teddy decidem levar Oscar par"&amp;"a uma noite na cidade, mas a festa deles termina quando Ivy encontra uma foto do Facebook de um Dixon bêbado fazendo um corpo tiro de uma garota. Annie tem uma conexão instantânea com Charlie, um cara que ela conhece em uma cafeteria. Jen é forçada a ir p"&amp;"ara a cama até que ela entregue o bebê e não tenha escolha a não ser permitir que Ryan entre em sua vida. Em outros lugares, Adrianna usa o livro de músicas de Javier para voltar a favor da gravadora. Adrian Grenier, do Entourage, se apresenta com sua ban"&amp;"da na festa de aniversário de Naomi. 49 `` 2021 Vision '' Millicent Shelton Tod Himmel 27 de setembro de 2010 (2010 - 09 - 27) 1,96 Naomi tem flashbacks constantes em seu estupro e começa a tomar pílulas para dormir para dormir a noite toda. Cannon convid"&amp;"a Silver para seu apartamento para assistir seu novo documentário e desliza algo em sua bebida. Enquanto isso, Teddy acorda de uma noite bebendo e percebe que ele se conectou com alguém, mas não se lembra de quem. Dixon descobre que Ivy é virgem. Em seu e"&amp;"mprego interno, Annie confronta seu chefe, Katherine, sobre seu comportamento desajeitado e fica chocado quando faz com que Annie seja uma oferta, pode não ser capaz de recusar. Adrianna canta outra música roubada do livro de canções de Javier em seu serv"&amp;"iço memorial, mas ela logo se arrepende quando um vídeo do número de música dela se torna viral. 50 `` The Bachelors '' David Warren David S. Rosenthal 4 de outubro de 2010 (2010 - 10 - 04) 1,79 Silver Plans Um evento de caridade de câncer - conscientizaç"&amp;"ão para homenagear sua falecida mãe e atrair os meninos para aparecer em um leilão de bacharel. Ian, um estudante de teatro em West Bev, é trazido para ajudar a coreografar um número de dança para o leilão, mas tudo chega a uma posição - ainda quando Tedd"&amp;"y direciona algumas palavras negativas para ele. Os dois mais tarde entram em uma briga. Enquanto isso, Annie e Adrianna descobrem a verdade sobre Naomi e o Sr. Cannon de Silver. Em outros lugares, Annie descobre os problemas de dinheiro de Debbie desde q"&amp;"ue Harry saiu dela e decide aceitar a oferta de Katherine. Uma conexão surpreendente entre Charlie e Liam é revelada. O tio de Javier, Victor, começa a chantagear Adrianna com exposição, forçando -a a trabalhar para ele. Além disso, Ivy e Dixon decidem pa"&amp;"ssar a noite juntos, mas Dixon bate no freio quando sua ex -namorada, Sasha, volta com algumas notícias da vida. 51 5 `` Pegue -me se você Cannon '' Jim Conway Terrence Coli 11 de outubro de 2010 (2010 - 10 - 11) 1,81 Silver, Naomi e Adrianna criam um pla"&amp;"no para seduzir o Sr. Cannon para provar que ele estuprou Naomi, mas eles subestimam sua capacidade de controlar a situação. Teddy e Ian são forçados a fazer trabalho manual como punição por lutar. Dixon teme por sua vida e afasta Ivy, levando -a direto a"&amp;"os braços de Oscar (assim como ele planejou o tempo todo). Enquanto isso, Jen procura um novo assistente e Debbie solicita o trabalho. Debbie também descobre o acordo entre Annie e Katherine e proíbe Annie de cumpri -lo. 52 6 `` Quanto é aquele Liam na ja"&amp;"nela '' Stuart Gillard David S. Rosenthal e Jennie Snyder Urman 25 de outubro de 2010 (2010 - 10 - 25) 2.03 Quando Jen e Ryan descobrem o estupro de Naomi, Jen decide Tomar o assunto com suas próprias mãos, enquanto o trabalho de Ryan pode estar em risco "&amp;"quando ele incentiva Naomi a se apresentar com ele como testemunha, apesar de seu próprio segredo que acidentalmente destruir o sinal da escola será revelado. O gerente de Adrianna, Victor, continua a chantageá -la e vai ainda mais longe quando ele a ince"&amp;"ntiva a ficar de topless em uma foto. Annie descobre um lado mais sombrio de Charlie quando ela se esgueirar para observar uma leitura encenada de sua peça. Liam pousa uma modelagem de emprego na janela de uma loja de roupas e recebe uma oportunidade de e"&amp;"mprego de um cliente misterioso, chamado Laura, que ele não se recusou. Dixon pede desculpas a Ivy sem saber que ela decidiu perder a virgindade para outra pessoa. Além disso, Oscar confronta Ivy e Laurel sobre seu passado chocante. 53 7 `` Vejo Londres, "&amp;"vejo a França ... '' Krishna Rao Scott Weinger 1 de novembro de 2010 (2010 - 11 - 01) 2.00 Ryan ajuda Naomi a apresentar queixa contra o Sr. Cannon e, como resultado, tanto o Sr. Cannon e Ryan são suspensos de seus empregos. Oscar tem uma corrida - com o "&amp;"Sr. Cannon e, involuntariamente, ajuda Naomi com o caso dela quando ele se destaca nela como sua próxima conquista. Navid descobre que seu pai está empregando uma menina menor de idade em seu negócio de pornografia. Enquanto isso, Ivy diz a Dixon o que ac"&amp;"onteceu entre ela e Oscar, que ele previsivelmente não leva bem. Teddy luta com rumores e insinuações sobre sua suspeita de impotência. Liam continua seu trabalho de transportar bolsas para Laura, até descobrir que ela é uma traficante de drogas que admin"&amp;"istra um negócio na casa de sua mãe. Em outros lugares, Navid e Silver participam do jantar do Achievement Awards, enquanto Annie, Teddy, Liam, Dixon, Ivy e Ian participam de uma cerimônia de realização de Under - Achievement, chamada `` The Underies '', "&amp;"no Beach Club. 54 8 `` Mãe Dearest '' Oz Scott Paul Sciarrotta 8 de novembro de 2010 (2010 - 11 - 08) 1.89 Annie e Dixon Drive até Pomona para visitar o pai, mas inesperadamente encontrar uma jovem à sua porta, fazendo -os sair sem ver Harry . Mais tarde,"&amp;" Debbie diz a Annie e Dixon que ela sabe tudo sobre a mulher mais jovem que vive com Harry, que é sua nova esposa. A família Wilson decide seguir em frente, removendo todos os traços da existência de Harry da casa e de suas vidas e, a partir de então, ao "&amp;"vivo como se Harry nunca existisse. Depois de uma série de contratempos com seu bebê, Jen deixa Jacques com Ryan e sai da cidade. Ivy e Naomi se juntam às forças para humilhar e derrubar Oscar. Enquanto isso, Navid pede a Silver para ajudar a provar que s"&amp;"eu pai está mentindo para ele empregar meninas menores de idade em seu estúdio, pedindo a Silver para se disfarçar. Além disso, Victor exige que Adrianna participe de um evento de tapete vermelho com Joe Jonas, em vez de Navid. 55 9 `` eles 'tocando sua m"&amp;"úsica' 'Rob Hardy Jennie Snyder Urman e Jenna Lamia 15 de novembro de 2010 (2010 - 11 - 15) 1,76 Teddy decide visitar um bar gay em West Hollywood, mas é forçado a se voltar para Ian por ajuda quando ele esquece sua carteira. Enquanto isso, Annie está pro"&amp;"nta para levar seu relacionamento com Charlie para o próximo nível, mas fica mortificado quando seus amigos da faculdade vislumbram ela em lingerie. Enquanto isso, Ryan se vira para Debbie para conselhos dos pais, e os dois acabam se enganchando. Navid li"&amp;"da com as consequências da escola e em casa depois de entregar seu pai às autoridades. Além disso, Adrianna continua alheio à situação de Navid devido à sua nova fama. 56 10 `` Best Lei 'D Planos' 'David Warren David S. Rosenthal e Deborah Schoeneman 29 d"&amp;"e novembro de 2010 (2010 - 11 - 29) 2.01 Naomi volta ao mundo do namoro e tenta impressionar um dos amigos do surfista de Ivy , Zach, fingindo saber como navegar. Ainda chateada com a mãe por causa da situação do Oscar, Ivy decide construir um relacioname"&amp;"nto com seu pai afastado. Sem saber que ela tem sentimentos por Ryan, Annie e Dixon assinam Debbie para um serviço de namoro on -line. Enquanto estava na praia Luau, Teddy fica com ciúmes quando vê Ian com outro cara e permite que seus sentimentos control"&amp;"em suas ações. Enquanto isso, o relacionamento de Adrianna e Navid fica tenso, levando -o aos braços de prata. Em outros lugares, Liam aprende mais sobre Laura e seu ex-namorado, a quem ele tenta deixar com ciúmes a seu favor. 57 11 `` Holiday Madness '' "&amp;"Dennis Smith Rebecca Sinclair 6 de dezembro de 2010 (2010 - 12 - 06) 2.18 Adrianna aluga uma nova casa nova e joga uma festa de Natal para comemorar seu novo contrato. Depois de ter o suficiente de sua atitude egoísta, Victor decide revelar o segredo de A"&amp;"drianna na Internet. Annie passa a noite com Liam quando ele volta do hospital, e os dois reacendendo seu romance. As intenções inesperadas do pai de Ivy a levaram a se reconciliar com a mãe. Depois de decidir manter o relacionamento em segredo, Ian e Ted"&amp;"dy Kiss não sabem que Dixon os viu. Enquanto isso, Navid e Silver confessam seus verdadeiros sentimentos um pelo outro ... e compartilham um beijo. Em outros lugares, Naomi continua a rejeitar os avanços de Oscar, que tenta convidá -la para uma data para "&amp;"a festa de Natal. Naomi freqüenta solo e depois volta para casa, sem saber que o Sr. Cannon a está aguardando. 58 12 `` Liars '' Stuart Gillard Tod Himmel 24 de janeiro de 2011 (2011 - 01 - 24) 1,69 Naomi é levado refém em seu apartamento por um - Control"&amp;" Sr. Cannon, que também atrai prata para a situação. Enquanto isso, a prima de Annie e Dixon, Emily, de Kansas, chega à cidade para uma visita prolongada, mas Emily imediatamente se levanta aos nervos de Annie. Dixon confronta Teddy sobre seu beijo com Ia"&amp;"n e promete manter seu segredo. Ivy sofre um acidente quase fatal durante a prática de surf que a faz questionar sua capacidade de competir na competição de surf. O mundo de Adrianna continua desmoronando quando ela aparece em um talk show para contar a s"&amp;"ua história, e ela é surpresa por um convidado surpresa quando Victor parece dar `` seu '' lado da história. Dada a situação desastrosa de Adrianna, Navid e Silver continuam a manter o gancho - em segredo. 59 13 `` está ficando quente aqui '' Liz Friedlan"&amp;"der David S. Rosenthal 31 de janeiro de 2011 (2011 - 01 - 31) 1,67 Naomi, Adrianna, Silver e Annie decidem ter um fim de semana para meninas e ir a um Retiro de ioga em Ojai. Annie tenta ser uma boa prima e convida Emily para o fim de semana, mas a confro"&amp;"nta sobre ser uma desaceleração na viagem. Emily começa a mostrar suas verdadeiras cores desonestas quando ela propositalmente deixa de acordar Annie para uma sessão de Sweat Lodge e aproveita a oportunidade para manipular e virar o resto das meninas cont"&amp;"ra Annie. Naomi, que originalmente pensou que o retiro era bobo, de repente decide prolongar sua estadia como uma maneira de se recuperar de seu encontro com o Sr. Cannon. A prata corre para Navid no retiro, e os dois têm um encontro secreto. Adrianna ret"&amp;"orna do retiro e chama um jornal de tablóide para vender uma história exclusiva. De volta a Beverly Hills, Debbie planeja um jantar romântico em sua casa para Ryan, mas eles são interrompidos por Dixon, forçando Ryan a encontrar rapidamente um lugar para "&amp;"se esconder. Em outros lugares, Charlie finalmente percebe que Annie tem sentimentos por Liam e sai para estudar no exterior na França. 60 14 `` Tudo sobre um garoto '' Harry Sinclair Paul Sciarrotta 7 de fevereiro de 2011 (2011 - 02 - 07) 1,75 Navid term"&amp;"ina com Adrianna depois de aprender como ela usou o bebê que desistiu da adoção para vender uma história a um tabloid Revista de notícias. Adrianna então se inclina em prata para obter apoio e faz uma descoberta chocante. Enquanto isso, Annie tem a oportu"&amp;"nidade de fazer um teste para uma peça, mas Emily a sabota, deixando -a escapar sobre o romance de Debbie com Ryan. Teddy está sendo chantageado e fica surpreso ao descobrir quem está por trás disso. No incentivo de Ian, Teddy decide ir a seus amigos. Nao"&amp;"mi retorna de seu retiro espiritual e decide fazer uma festa para Guru Sona, mas percebe que ela pode não ser a pessoa que ela pensa que é. Além disso, Ivy tem reservas sobre voltar à água após seu acidente. 61 15 `` vingança com o nerd '' Millicent Shelt"&amp;"on Terrence Coli 14 de fevereiro de 2011 (2011 - 02 - 14) 1,37 Dixon e Navid convencem um produtor musical a gravar um videoclipe para Nelly no Shirazi Studios para manter o estúdio em luta nos negócios . As suspeitas de Adrianna sobre Navid terem traído "&amp;"nela são confirmadas, e ela informa Silver sobre sua trama por vingança. Enquanto isso, Emily tenta distrair Annie em um esforço para seduzir Liam. Teddy se volta para Silver para apoio depois de sair e seu rompimento com Ian. Em outros lugares, os produt"&amp;"ores de realidade seguem Adrianna e seus amigos tentando atirar em um piloto, e Naomi fica surpresa com sua reação a um parceiro de laboratório nerd, Max, que a ajuda com Guru Sona. 62 16 `` É hora '' 'Krishna Rao Padma Alturi 21 de fevereiro de 2011 (201"&amp;"1 - 02 - 21) 1.52 A astúcia e manipulativa Emily continua causando caos na vida de Annie, mexendo com Liam, seus amigos e e amigos e Maliciosamente recebe Annie demitida de seu estágio no Abbott Playhouse e chega até o ponto de provocar Annie a atacá -la "&amp;"fisicamente a suspender -a da escola. Annie finalmente percebe que ninguém vai acreditar nela sobre não - então - inocente e não - a verdadeira natureza de Good Emily e começa a trabalhar em um plano para derrotar Emily em seu próprio jogo. Enquanto isso,"&amp;" Silver convence Navid a assinar o lançamento do reality show de TV de Adrianna para ajudar a distraí -la de seu relacionamento secreto. Naomi mantém seus sentimentos por Max para si mesma. Ivy conhece um cara novo, chamado Raj, e eles iniciam uma amizade"&amp;" com o uso da maconha medicinal. Em outros lugares, Dixon, Navid e Liam levam Teddy na cidade para mostrar que eles estão tentando aceitá -lo depois de sair. Depois de assistir imagens de sua festa de Natal, Adrianna faz uma realização impressionante. 63 "&amp;"17 `` Blue Naomi '' Elizabeth Allen David S. Rosenthal 28 de fevereiro de 2011 (2011 - 02 - 28) 1,45 Naomi tenta impressionar Max ao se vestir em uma fantasia de avatar, mas não recebe a resposta que ela estava buscando. Dixon e Navid formalizam sua parce"&amp;"ria, e um encontro casual com Snoop Dogg pode significar boas notícias para eles e o Shirazi Studios 2.0. Os modos vingativos de Adrianna se aprofundam depois de descobrir a verdade sobre o romance de Navid e Silver, e ela promete voltar a ambos. Enquanto"&amp;" isso, Annie e Liam secretamente trabalham juntos para expor Emily à pessoa cínica que ela realmente é para todos. Como resultado, Emily decide deixar a cidade, mas não conta a Debbie da razão pela qual ela está saindo. Em outros lugares, Raj confia em Iv"&amp;"y sobre seu passado, revelando um segredo chocante. 64. de controle para todos. Naomi traz Max ao ardil que pretende pedir a ele para mais aulas com os trabalhos escolares. Annie e Liam passam um tempo de qualidade juntos para apreciar o cenário até que u"&amp;"m acidente confina Annie ao quarto de hotel. Teddy encontra Tripp, seu ex -colega de quarto de internato e Crush. Ivy usa o tempo para impedir que Raj depois de pensar que ele pode morrer em breve e confia em Dixon sobre seus problemas recentes. Enquanto "&amp;"isso, a brecha entre prata e Adrianna chega a uma cabeça chocante. 65 19 `` Nerdy Little Secrets '' Harry Sinclair David Rosenberg 25 de abril de 2011 (2011 - 04 - 25) 1,74 Naomi fica cansado e mais inseguro de esconder seu relacionamento com Max e, com m"&amp;"edo de que ele esteja traindo -o, a um evento de decatlo acadêmico para confrontá -lo, mas logo lamenta o que acontece. Navid fica preocupado quando a prata começa a se comportar de forma irregular depois que Adrianna passa secretamente os medicamentos bi"&amp;"polares de Silver. Enquanto isso, Annie forma um vínculo com Marla Templeton, uma atriz veterana para a qual ela é contratada para trabalhar. Em outros lugares, Raj ajuda Ivy a superar seu medo de entrar na água novamente. 66 20 `` Mulheres à beira '' Stu"&amp;"art Gillard Scott Weinger e Jenna Lamia 2 de maio de 2011 (2011 - 05 - 02) 1,47 Depois de receber algumas notícias angustiantes, a prata tem um colapso emocional, fazendo com que Navid e Dixon encenem uma intervenção. Enquanto isso, Annie convence Marla a"&amp;" participar de uma estréia de relançar um filme de Hollywood de um de seus filmes antigos depois que Marla confide em Annie sobre seus sérios problemas de saúde. Quando Teddy descobre que Marco está mentindo para ele, ele começa a questionar se Marco o es"&amp;"tá traindo, mas descobre que Marco está realmente escondendo outra coisa. Naomi descobre que Max foi aceito para uma faculdade em um estado diferente, enquanto Ryan tem um visitante inesperado quando Jen Clark retorna. 67 21 `` o baile antes da tempestade"&amp;" '' Mike Listo David Rosenthal &amp; Terrence Coli 9 de maio de 2011 (2011 - 05 - 09) 1,43, assim como todos estão se preparando para o próximo baile sênior, Annie e Dixon recebem algumas notícias devastadoras sobre o seu Futuros quando lhe são informados por"&amp;" Debbie que ela não pode se dar ao luxo de enviá -los para universidades privadas. Enquanto isso, Ivy descobre que a saúde de Raj piorou. Em outros lugares, Adrianna aproveita a oportunidade para tentar reacender seu relacionamento com Navid, enquanto Sil"&amp;"ver é hospitalizada em uma ala psicológica após sua recaída com seu transtorno bipolar. Silver começa a descobrir que Adrianna pode ter roubado sua medicação, mas tem dificuldade em convencer Navid. Além disso, o relacionamento de Naomi e Max é testado ao"&amp;" limite quando ela descobre que ele traiu um papel para ela. Em outros lugares, Jen tenta ganhar Ryan de volta, querendo que ele se mudasse para Paris com ela. 68 22 `` Para o futuro! '' Rebecca Sinclair Rebecca Sinclair e Paul Sciarotta 16 de maio de 201"&amp;"1 (2011 - 05 - 16) 1.64 À medida que a graduação se aproxima, Naomi toma uma decisão que pode impedi -la de se formar com sua aula quando toma toda a culpa por trapacear em seu mandato Para salvar Max de ter problemas com ela. Enquanto isso, Liam diz a An"&amp;"nie que ele não quer ir para a faculdade com ela, e Adrianna é excluída do grupo quando acidentalmente descobre seu esquema para se vingar de Silver. No dia seguinte, um casamento improvisado acontece quando Raj e Ivy se casam em uma cerimônia tradicional"&amp;" indiana. Entre o grupo, apenas a mãe de Ivy, Laurel, desaprova a escolha repentina de Ivy para se casar, pois ela está ciente da saúde falhada de Raj. Além disso, Debbie, sentindo que não há mais nada na Califórnia para ela, decide seguir em frente com s"&amp;"ua vida se mudando para Paris com Ryan. No final, Naomi visita Max em sua casa, onde ela diz que está grávida.")</f>
        <v>   Não . No. no título geral do título de temporada, dirigido por escrito pelos espectadores originais da Data Aérea dos EUA (milhões) 47 `` Senior Year, Baby '' Stuart Gillard Jennie Snyder Urman 13 de setembro de 2010 (2010 - 09 - 13) 1.96 Beverly Hills é abalada por An AN Terremoto durante o primeiro dia do ano letivo. Naomi passou o verão isoladamente, lidando com as consequências de seu estupro pelo Sr. Cannon e mantendo -o em segredo. Annie e Dixon estão lidando com a ausência de seu pai, que saiu da família, enquanto Debbie tenta manter a família unida sem Harry e um emprego. Enquanto isso, Teddy e Silver ficam mais felizes do que nunca até sofrer uma lesão na perna que pode acabar com sua carreira de tênis para sempre. Annie solicita um estágio em uma companhia de teatro local chamada The Abbott Playhouse. Navid recebe Adrianna de volta de sua turnê com Javier, mas a chegada deles traz uma morte inesperada. Ivy retorna da Austrália com ela uma velha amiga de infância, chamada Oscar, que deixa Dixon desconfortável. Em outros lugares, Annie e Liam enfrentam seus sentimentos um pelo outro. 48 `` Age of Heritância '' Liz Friedlander Padma L. Atluri 20 de setembro de 2010 (2010 - 09 - 20) 1,83 Depois de completar dezoito anos, Naomi descobre que agora pode acessar o dinheiro em seu grande fundo fiduciário, então ela decide jogar ela mesma uma grande festa de aniversário no Beach Club, onde contrata a banda do Honey Brothers para se apresentar. Enquanto isso, Dixon, Navid e Teddy decidem levar Oscar para uma noite na cidade, mas a festa deles termina quando Ivy encontra uma foto do Facebook de um Dixon bêbado fazendo um corpo tiro de uma garota. Annie tem uma conexão instantânea com Charlie, um cara que ela conhece em uma cafeteria. Jen é forçada a ir para a cama até que ela entregue o bebê e não tenha escolha a não ser permitir que Ryan entre em sua vida. Em outros lugares, Adrianna usa o livro de músicas de Javier para voltar a favor da gravadora. Adrian Grenier, do Entourage, se apresenta com sua banda na festa de aniversário de Naomi. 49 `` 2021 Vision '' Millicent Shelton Tod Himmel 27 de setembro de 2010 (2010 - 09 - 27) 1,96 Naomi tem flashbacks constantes em seu estupro e começa a tomar pílulas para dormir para dormir a noite toda. Cannon convida Silver para seu apartamento para assistir seu novo documentário e desliza algo em sua bebida. Enquanto isso, Teddy acorda de uma noite bebendo e percebe que ele se conectou com alguém, mas não se lembra de quem. Dixon descobre que Ivy é virgem. Em seu emprego interno, Annie confronta seu chefe, Katherine, sobre seu comportamento desajeitado e fica chocado quando faz com que Annie seja uma oferta, pode não ser capaz de recusar. Adrianna canta outra música roubada do livro de canções de Javier em seu serviço memorial, mas ela logo se arrepende quando um vídeo do número de música dela se torna viral. 50 `` The Bachelors '' David Warren David S. Rosenthal 4 de outubro de 2010 (2010 - 10 - 04) 1,79 Silver Plans Um evento de caridade de câncer - conscientização para homenagear sua falecida mãe e atrair os meninos para aparecer em um leilão de bacharel. Ian, um estudante de teatro em West Bev, é trazido para ajudar a coreografar um número de dança para o leilão, mas tudo chega a uma posição - ainda quando Teddy direciona algumas palavras negativas para ele. Os dois mais tarde entram em uma briga. Enquanto isso, Annie e Adrianna descobrem a verdade sobre Naomi e o Sr. Cannon de Silver. Em outros lugares, Annie descobre os problemas de dinheiro de Debbie desde que Harry saiu dela e decide aceitar a oferta de Katherine. Uma conexão surpreendente entre Charlie e Liam é revelada. O tio de Javier, Victor, começa a chantagear Adrianna com exposição, forçando -a a trabalhar para ele. Além disso, Ivy e Dixon decidem passar a noite juntos, mas Dixon bate no freio quando sua ex -namorada, Sasha, volta com algumas notícias da vida. 51 5 `` Pegue -me se você Cannon '' Jim Conway Terrence Coli 11 de outubro de 2010 (2010 - 10 - 11) 1,81 Silver, Naomi e Adrianna criam um plano para seduzir o Sr. Cannon para provar que ele estuprou Naomi, mas eles subestimam sua capacidade de controlar a situação. Teddy e Ian são forçados a fazer trabalho manual como punição por lutar. Dixon teme por sua vida e afasta Ivy, levando -a direto aos braços de Oscar (assim como ele planejou o tempo todo). Enquanto isso, Jen procura um novo assistente e Debbie solicita o trabalho. Debbie também descobre o acordo entre Annie e Katherine e proíbe Annie de cumpri -lo. 52 6 `` Quanto é aquele Liam na janela '' Stuart Gillard David S. Rosenthal e Jennie Snyder Urman 25 de outubro de 2010 (2010 - 10 - 25) 2.03 Quando Jen e Ryan descobrem o estupro de Naomi, Jen decide Tomar o assunto com suas próprias mãos, enquanto o trabalho de Ryan pode estar em risco quando ele incentiva Naomi a se apresentar com ele como testemunha, apesar de seu próprio segredo que acidentalmente destruir o sinal da escola será revelado. O gerente de Adrianna, Victor, continua a chantageá -la e vai ainda mais longe quando ele a incentiva a ficar de topless em uma foto. Annie descobre um lado mais sombrio de Charlie quando ela se esgueirar para observar uma leitura encenada de sua peça. Liam pousa uma modelagem de emprego na janela de uma loja de roupas e recebe uma oportunidade de emprego de um cliente misterioso, chamado Laura, que ele não se recusou. Dixon pede desculpas a Ivy sem saber que ela decidiu perder a virgindade para outra pessoa. Além disso, Oscar confronta Ivy e Laurel sobre seu passado chocante. 53 7 `` Vejo Londres, vejo a França ... '' Krishna Rao Scott Weinger 1 de novembro de 2010 (2010 - 11 - 01) 2.00 Ryan ajuda Naomi a apresentar queixa contra o Sr. Cannon e, como resultado, tanto o Sr. Cannon e Ryan são suspensos de seus empregos. Oscar tem uma corrida - com o Sr. Cannon e, involuntariamente, ajuda Naomi com o caso dela quando ele se destaca nela como sua próxima conquista. Navid descobre que seu pai está empregando uma menina menor de idade em seu negócio de pornografia. Enquanto isso, Ivy diz a Dixon o que aconteceu entre ela e Oscar, que ele previsivelmente não leva bem. Teddy luta com rumores e insinuações sobre sua suspeita de impotência. Liam continua seu trabalho de transportar bolsas para Laura, até descobrir que ela é uma traficante de drogas que administra um negócio na casa de sua mãe. Em outros lugares, Navid e Silver participam do jantar do Achievement Awards, enquanto Annie, Teddy, Liam, Dixon, Ivy e Ian participam de uma cerimônia de realização de Under - Achievement, chamada `` The Underies '', no Beach Club. 54 8 `` Mãe Dearest '' Oz Scott Paul Sciarrotta 8 de novembro de 2010 (2010 - 11 - 08) 1.89 Annie e Dixon Drive até Pomona para visitar o pai, mas inesperadamente encontrar uma jovem à sua porta, fazendo -os sair sem ver Harry . Mais tarde, Debbie diz a Annie e Dixon que ela sabe tudo sobre a mulher mais jovem que vive com Harry, que é sua nova esposa. A família Wilson decide seguir em frente, removendo todos os traços da existência de Harry da casa e de suas vidas e, a partir de então, ao vivo como se Harry nunca existisse. Depois de uma série de contratempos com seu bebê, Jen deixa Jacques com Ryan e sai da cidade. Ivy e Naomi se juntam às forças para humilhar e derrubar Oscar. Enquanto isso, Navid pede a Silver para ajudar a provar que seu pai está mentindo para ele empregar meninas menores de idade em seu estúdio, pedindo a Silver para se disfarçar. Além disso, Victor exige que Adrianna participe de um evento de tapete vermelho com Joe Jonas, em vez de Navid. 55 9 `` eles 'tocando sua música' 'Rob Hardy Jennie Snyder Urman e Jenna Lamia 15 de novembro de 2010 (2010 - 11 - 15) 1,76 Teddy decide visitar um bar gay em West Hollywood, mas é forçado a se voltar para Ian por ajuda quando ele esquece sua carteira. Enquanto isso, Annie está pronta para levar seu relacionamento com Charlie para o próximo nível, mas fica mortificado quando seus amigos da faculdade vislumbram ela em lingerie. Enquanto isso, Ryan se vira para Debbie para conselhos dos pais, e os dois acabam se enganchando. Navid lida com as consequências da escola e em casa depois de entregar seu pai às autoridades. Além disso, Adrianna continua alheio à situação de Navid devido à sua nova fama. 56 10 `` Best Lei 'D Planos' 'David Warren David S. Rosenthal e Deborah Schoeneman 29 de novembro de 2010 (2010 - 11 - 29) 2.01 Naomi volta ao mundo do namoro e tenta impressionar um dos amigos do surfista de Ivy , Zach, fingindo saber como navegar. Ainda chateada com a mãe por causa da situação do Oscar, Ivy decide construir um relacionamento com seu pai afastado. Sem saber que ela tem sentimentos por Ryan, Annie e Dixon assinam Debbie para um serviço de namoro on -line. Enquanto estava na praia Luau, Teddy fica com ciúmes quando vê Ian com outro cara e permite que seus sentimentos controlem suas ações. Enquanto isso, o relacionamento de Adrianna e Navid fica tenso, levando -o aos braços de prata. Em outros lugares, Liam aprende mais sobre Laura e seu ex-namorado, a quem ele tenta deixar com ciúmes a seu favor. 57 11 `` Holiday Madness '' Dennis Smith Rebecca Sinclair 6 de dezembro de 2010 (2010 - 12 - 06) 2.18 Adrianna aluga uma nova casa nova e joga uma festa de Natal para comemorar seu novo contrato. Depois de ter o suficiente de sua atitude egoísta, Victor decide revelar o segredo de Adrianna na Internet. Annie passa a noite com Liam quando ele volta do hospital, e os dois reacendendo seu romance. As intenções inesperadas do pai de Ivy a levaram a se reconciliar com a mãe. Depois de decidir manter o relacionamento em segredo, Ian e Teddy Kiss não sabem que Dixon os viu. Enquanto isso, Navid e Silver confessam seus verdadeiros sentimentos um pelo outro ... e compartilham um beijo. Em outros lugares, Naomi continua a rejeitar os avanços de Oscar, que tenta convidá -la para uma data para a festa de Natal. Naomi freqüenta solo e depois volta para casa, sem saber que o Sr. Cannon a está aguardando. 58 12 `` Liars '' Stuart Gillard Tod Himmel 24 de janeiro de 2011 (2011 - 01 - 24) 1,69 Naomi é levado refém em seu apartamento por um - Control Sr. Cannon, que também atrai prata para a situação. Enquanto isso, a prima de Annie e Dixon, Emily, de Kansas, chega à cidade para uma visita prolongada, mas Emily imediatamente se levanta aos nervos de Annie. Dixon confronta Teddy sobre seu beijo com Ian e promete manter seu segredo. Ivy sofre um acidente quase fatal durante a prática de surf que a faz questionar sua capacidade de competir na competição de surf. O mundo de Adrianna continua desmoronando quando ela aparece em um talk show para contar a sua história, e ela é surpresa por um convidado surpresa quando Victor parece dar `` seu '' lado da história. Dada a situação desastrosa de Adrianna, Navid e Silver continuam a manter o gancho - em segredo. 59 13 `` está ficando quente aqui '' Liz Friedlander David S. Rosenthal 31 de janeiro de 2011 (2011 - 01 - 31) 1,67 Naomi, Adrianna, Silver e Annie decidem ter um fim de semana para meninas e ir a um Retiro de ioga em Ojai. Annie tenta ser uma boa prima e convida Emily para o fim de semana, mas a confronta sobre ser uma desaceleração na viagem. Emily começa a mostrar suas verdadeiras cores desonestas quando ela propositalmente deixa de acordar Annie para uma sessão de Sweat Lodge e aproveita a oportunidade para manipular e virar o resto das meninas contra Annie. Naomi, que originalmente pensou que o retiro era bobo, de repente decide prolongar sua estadia como uma maneira de se recuperar de seu encontro com o Sr. Cannon. A prata corre para Navid no retiro, e os dois têm um encontro secreto. Adrianna retorna do retiro e chama um jornal de tablóide para vender uma história exclusiva. De volta a Beverly Hills, Debbie planeja um jantar romântico em sua casa para Ryan, mas eles são interrompidos por Dixon, forçando Ryan a encontrar rapidamente um lugar para se esconder. Em outros lugares, Charlie finalmente percebe que Annie tem sentimentos por Liam e sai para estudar no exterior na França. 60 14 `` Tudo sobre um garoto '' Harry Sinclair Paul Sciarrotta 7 de fevereiro de 2011 (2011 - 02 - 07) 1,75 Navid termina com Adrianna depois de aprender como ela usou o bebê que desistiu da adoção para vender uma história a um tabloid Revista de notícias. Adrianna então se inclina em prata para obter apoio e faz uma descoberta chocante. Enquanto isso, Annie tem a oportunidade de fazer um teste para uma peça, mas Emily a sabota, deixando -a escapar sobre o romance de Debbie com Ryan. Teddy está sendo chantageado e fica surpreso ao descobrir quem está por trás disso. No incentivo de Ian, Teddy decide ir a seus amigos. Naomi retorna de seu retiro espiritual e decide fazer uma festa para Guru Sona, mas percebe que ela pode não ser a pessoa que ela pensa que é. Além disso, Ivy tem reservas sobre voltar à água após seu acidente. 61 15 `` vingança com o nerd '' Millicent Shelton Terrence Coli 14 de fevereiro de 2011 (2011 - 02 - 14) 1,37 Dixon e Navid convencem um produtor musical a gravar um videoclipe para Nelly no Shirazi Studios para manter o estúdio em luta nos negócios . As suspeitas de Adrianna sobre Navid terem traído nela são confirmadas, e ela informa Silver sobre sua trama por vingança. Enquanto isso, Emily tenta distrair Annie em um esforço para seduzir Liam. Teddy se volta para Silver para apoio depois de sair e seu rompimento com Ian. Em outros lugares, os produtores de realidade seguem Adrianna e seus amigos tentando atirar em um piloto, e Naomi fica surpresa com sua reação a um parceiro de laboratório nerd, Max, que a ajuda com Guru Sona. 62 16 `` É hora '' 'Krishna Rao Padma Alturi 21 de fevereiro de 2011 (2011 - 02 - 21) 1.52 A astúcia e manipulativa Emily continua causando caos na vida de Annie, mexendo com Liam, seus amigos e e amigos e Maliciosamente recebe Annie demitida de seu estágio no Abbott Playhouse e chega até o ponto de provocar Annie a atacá -la fisicamente a suspender -a da escola. Annie finalmente percebe que ninguém vai acreditar nela sobre não - então - inocente e não - a verdadeira natureza de Good Emily e começa a trabalhar em um plano para derrotar Emily em seu próprio jogo. Enquanto isso, Silver convence Navid a assinar o lançamento do reality show de TV de Adrianna para ajudar a distraí -la de seu relacionamento secreto. Naomi mantém seus sentimentos por Max para si mesma. Ivy conhece um cara novo, chamado Raj, e eles iniciam uma amizade com o uso da maconha medicinal. Em outros lugares, Dixon, Navid e Liam levam Teddy na cidade para mostrar que eles estão tentando aceitá -lo depois de sair. Depois de assistir imagens de sua festa de Natal, Adrianna faz uma realização impressionante. 63 17 `` Blue Naomi '' Elizabeth Allen David S. Rosenthal 28 de fevereiro de 2011 (2011 - 02 - 28) 1,45 Naomi tenta impressionar Max ao se vestir em uma fantasia de avatar, mas não recebe a resposta que ela estava buscando. Dixon e Navid formalizam sua parceria, e um encontro casual com Snoop Dogg pode significar boas notícias para eles e o Shirazi Studios 2.0. Os modos vingativos de Adrianna se aprofundam depois de descobrir a verdade sobre o romance de Navid e Silver, e ela promete voltar a ambos. Enquanto isso, Annie e Liam secretamente trabalham juntos para expor Emily à pessoa cínica que ela realmente é para todos. Como resultado, Emily decide deixar a cidade, mas não conta a Debbie da razão pela qual ela está saindo. Em outros lugares, Raj confia em Ivy sobre seu passado, revelando um segredo chocante. 64. de controle para todos. Naomi traz Max ao ardil que pretende pedir a ele para mais aulas com os trabalhos escolares. Annie e Liam passam um tempo de qualidade juntos para apreciar o cenário até que um acidente confina Annie ao quarto de hotel. Teddy encontra Tripp, seu ex -colega de quarto de internato e Crush. Ivy usa o tempo para impedir que Raj depois de pensar que ele pode morrer em breve e confia em Dixon sobre seus problemas recentes. Enquanto isso, a brecha entre prata e Adrianna chega a uma cabeça chocante. 65 19 `` Nerdy Little Secrets '' Harry Sinclair David Rosenberg 25 de abril de 2011 (2011 - 04 - 25) 1,74 Naomi fica cansado e mais inseguro de esconder seu relacionamento com Max e, com medo de que ele esteja traindo -o, a um evento de decatlo acadêmico para confrontá -lo, mas logo lamenta o que acontece. Navid fica preocupado quando a prata começa a se comportar de forma irregular depois que Adrianna passa secretamente os medicamentos bipolares de Silver. Enquanto isso, Annie forma um vínculo com Marla Templeton, uma atriz veterana para a qual ela é contratada para trabalhar. Em outros lugares, Raj ajuda Ivy a superar seu medo de entrar na água novamente. 66 20 `` Mulheres à beira '' Stuart Gillard Scott Weinger e Jenna Lamia 2 de maio de 2011 (2011 - 05 - 02) 1,47 Depois de receber algumas notícias angustiantes, a prata tem um colapso emocional, fazendo com que Navid e Dixon encenem uma intervenção. Enquanto isso, Annie convence Marla a participar de uma estréia de relançar um filme de Hollywood de um de seus filmes antigos depois que Marla confide em Annie sobre seus sérios problemas de saúde. Quando Teddy descobre que Marco está mentindo para ele, ele começa a questionar se Marco o está traindo, mas descobre que Marco está realmente escondendo outra coisa. Naomi descobre que Max foi aceito para uma faculdade em um estado diferente, enquanto Ryan tem um visitante inesperado quando Jen Clark retorna. 67 21 `` o baile antes da tempestade '' Mike Listo David Rosenthal &amp; Terrence Coli 9 de maio de 2011 (2011 - 05 - 09) 1,43, assim como todos estão se preparando para o próximo baile sênior, Annie e Dixon recebem algumas notícias devastadoras sobre o seu Futuros quando lhe são informados por Debbie que ela não pode se dar ao luxo de enviá -los para universidades privadas. Enquanto isso, Ivy descobre que a saúde de Raj piorou. Em outros lugares, Adrianna aproveita a oportunidade para tentar reacender seu relacionamento com Navid, enquanto Silver é hospitalizada em uma ala psicológica após sua recaída com seu transtorno bipolar. Silver começa a descobrir que Adrianna pode ter roubado sua medicação, mas tem dificuldade em convencer Navid. Além disso, o relacionamento de Naomi e Max é testado ao limite quando ela descobre que ele traiu um papel para ela. Em outros lugares, Jen tenta ganhar Ryan de volta, querendo que ele se mudasse para Paris com ela. 68 22 `` Para o futuro! '' Rebecca Sinclair Rebecca Sinclair e Paul Sciarotta 16 de maio de 2011 (2011 - 05 - 16) 1.64 À medida que a graduação se aproxima, Naomi toma uma decisão que pode impedi -la de se formar com sua aula quando toma toda a culpa por trapacear em seu mandato Para salvar Max de ter problemas com ela. Enquanto isso, Liam diz a Annie que ele não quer ir para a faculdade com ela, e Adrianna é excluída do grupo quando acidentalmente descobre seu esquema para se vingar de Silver. No dia seguinte, um casamento improvisado acontece quando Raj e Ivy se casam em uma cerimônia tradicional indiana. Entre o grupo, apenas a mãe de Ivy, Laurel, desaprova a escolha repentina de Ivy para se casar, pois ela está ciente da saúde falhada de Raj. Além disso, Debbie, sentindo que não há mais nada na Califórnia para ela, decide seguir em frente com sua vida se mudando para Paris com Ryan. No final, Naomi visita Max em sua casa, onde ela diz que está grávida.</v>
      </c>
      <c r="I179" s="3" t="str">
        <f>IFERROR(__xludf.DUMMYFUNCTION("GOOGLETRANSLATE(E179)"),"Naomi azul")</f>
        <v>Naomi azul</v>
      </c>
    </row>
    <row r="180" ht="15.75" customHeight="1">
      <c r="A180" s="1">
        <v>178.0</v>
      </c>
      <c r="B180" s="3" t="s">
        <v>664</v>
      </c>
      <c r="C180" s="3" t="s">
        <v>665</v>
      </c>
      <c r="D180" s="3" t="s">
        <v>666</v>
      </c>
      <c r="E180" s="3" t="s">
        <v>667</v>
      </c>
      <c r="F180" s="3" t="str">
        <f>IFERROR(__xludf.DUMMYFUNCTION("GOOGLETRANSLATE(B180)")," Copa de ouro da CONCACAF")</f>
        <v> Copa de ouro da CONCACAF</v>
      </c>
      <c r="G180" s="3" t="str">
        <f>IFERROR(__xludf.DUMMYFUNCTION("GOOGLETRANSLATE(C180)"),"que ganhou mais Copas de Ouro da Concacaf")</f>
        <v>que ganhou mais Copas de Ouro da Concacaf</v>
      </c>
      <c r="H180" s="3" t="str">
        <f>IFERROR(__xludf.DUMMYFUNCTION("GOOGLETRANSLATE(D180)"),"   Vencedores da equipe Runners - UP Terceiro Lugar Quarto Lugar México 7 (1993, 1996, 1998, 2003, 2009, 2011, 2015) 1 (2007) 3 (1991, 2013, 2017) - Estados Unidos 6 (1991, 2002, 2005, 2007, 2013, 2017) 4 (1993, 1998, 2009, 2011) 2 (1996, 2003) 1 (2015) C"&amp;"anadá 1 (2000) - 2 (2002, 2007) - Panamá - 2 (2005, 2013) 2 (2011, 2015) - Jamaica - 2 (2015, 2017) 1 (1993) 1 (1998) Brasil - 2 (1996, 2003) 1 (1998) - Honduras - 1 (1991) 4 (2005 , 2009, 2011, 2013) - Costa Rica - 1 (2002) 3 (1993, 2009, 2017) 2 (1991, "&amp;"2003) Colômbia - 1 (2000) 1 (2005) - Peru - - 1 (2000) - Trinidad e Tobago - - 1 (2000) - Guadalupe - - 1 (2007) - Guatemala - - - - 1 (1996) Coréia do Sul - - - 1 ( 2002)")</f>
        <v>   Vencedores da equipe Runners - UP Terceiro Lugar Quarto Lugar México 7 (1993, 1996, 1998, 2003, 2009, 2011, 2015) 1 (2007) 3 (1991, 2013, 2017) - Estados Unidos 6 (1991, 2002, 2005, 2007, 2013, 2017) 4 (1993, 1998, 2009, 2011) 2 (1996, 2003) 1 (2015) Canadá 1 (2000) - 2 (2002, 2007) - Panamá - 2 (2005, 2013) 2 (2011, 2015) - Jamaica - 2 (2015, 2017) 1 (1993) 1 (1998) Brasil - 2 (1996, 2003) 1 (1998) - Honduras - 1 (1991) 4 (2005 , 2009, 2011, 2013) - Costa Rica - 1 (2002) 3 (1993, 2009, 2017) 2 (1991, 2003) Colômbia - 1 (2000) 1 (2005) - Peru - - 1 (2000) - Trinidad e Tobago - - 1 (2000) - Guadalupe - - 1 (2007) - Guatemala - - - - 1 (1996) Coréia do Sul - - - 1 ( 2002)</v>
      </c>
      <c r="I180" s="3" t="str">
        <f>IFERROR(__xludf.DUMMYFUNCTION("GOOGLETRANSLATE(E180)"),"México")</f>
        <v>México</v>
      </c>
    </row>
    <row r="181" ht="15.75" customHeight="1">
      <c r="A181" s="1">
        <v>179.0</v>
      </c>
      <c r="B181" s="3" t="s">
        <v>668</v>
      </c>
      <c r="C181" s="3" t="s">
        <v>669</v>
      </c>
      <c r="D181" s="3" t="s">
        <v>670</v>
      </c>
      <c r="F181" s="3" t="str">
        <f>IFERROR(__xludf.DUMMYFUNCTION("GOOGLETRANSLATE(B181)")," Colonização espanhola das Américas")</f>
        <v> Colonização espanhola das Américas</v>
      </c>
      <c r="G181" s="3" t="str">
        <f>IFERROR(__xludf.DUMMYFUNCTION("GOOGLETRANSLATE(C181)"),"Quando os espanhóis vieram para a América do Sul")</f>
        <v>Quando os espanhóis vieram para a América do Sul</v>
      </c>
      <c r="H181" s="3" t="str">
        <f>IFERROR(__xludf.DUMMYFUNCTION("GOOGLETRANSLATE(D181)")," Começando com a chegada de 1492 de Christopher Columbus no Caribe e o controle contínuo de um vasto território por mais de três séculos, o Império Espanhol se expandiria nas ilhas do Caribe, metade da América do Sul, a maior parte da América Central e gr"&amp;"ande parte da América do Norte (incluindo o atual dia México, Flórida e as regiões costeiras do sudoeste e do Pacífico dos Estados Unidos). Estima-se que durante o período colonial (1492-1832), um total de 1,86 milhão de espanhóis estabelecidos nas Améric"&amp;"as e outros 3,5 milhões imigraram durante a era pós-colonial (1850-1950); A estimativa é de 250.000 no século XVI, e a maioria durante o século XVIII, pois a imigração foi incentivada pela nova dinastia Bourbon.")</f>
        <v> Começando com a chegada de 1492 de Christopher Columbus no Caribe e o controle contínuo de um vasto território por mais de três séculos, o Império Espanhol se expandiria nas ilhas do Caribe, metade da América do Sul, a maior parte da América Central e grande parte da América do Norte (incluindo o atual dia México, Flórida e as regiões costeiras do sudoeste e do Pacífico dos Estados Unidos). Estima-se que durante o período colonial (1492-1832), um total de 1,86 milhão de espanhóis estabelecidos nas Américas e outros 3,5 milhões imigraram durante a era pós-colonial (1850-1950); A estimativa é de 250.000 no século XVI, e a maioria durante o século XVIII, pois a imigração foi incentivada pela nova dinastia Bourbon.</v>
      </c>
      <c r="I181" s="3" t="str">
        <f>IFERROR(__xludf.DUMMYFUNCTION("GOOGLETRANSLATE(E181)"),"#VALUE!")</f>
        <v>#VALUE!</v>
      </c>
    </row>
    <row r="182" ht="15.75" customHeight="1">
      <c r="A182" s="1">
        <v>180.0</v>
      </c>
      <c r="B182" s="3" t="s">
        <v>671</v>
      </c>
      <c r="C182" s="3" t="s">
        <v>672</v>
      </c>
      <c r="D182" s="3" t="s">
        <v>673</v>
      </c>
      <c r="F182" s="3" t="str">
        <f>IFERROR(__xludf.DUMMYFUNCTION("GOOGLETRANSLATE(B182)")," História dos Eagles da Filadélfia")</f>
        <v> História dos Eagles da Filadélfia</v>
      </c>
      <c r="G182" s="3" t="str">
        <f>IFERROR(__xludf.DUMMYFUNCTION("GOOGLETRANSLATE(C182)"),"Ok, o Google tem os Eagles já ganhou um Superbowl")</f>
        <v>Ok, o Google tem os Eagles já ganhou um Superbowl</v>
      </c>
      <c r="H182" s="3" t="str">
        <f>IFERROR(__xludf.DUMMYFUNCTION("GOOGLETRANSLATE(D182)")," A história das águias da Filadélfia começa em 1933. Em sua história, os Eagles apareceram no Super Bowl três vezes, perdendo nas duas primeiras aparições, mas vencendo o terceiro, em 2018. Eles venceram três campeonatos da NFL, o precursor do Super Bowl,"&amp;" em quatro aparições.")</f>
        <v> A história das águias da Filadélfia começa em 1933. Em sua história, os Eagles apareceram no Super Bowl três vezes, perdendo nas duas primeiras aparições, mas vencendo o terceiro, em 2018. Eles venceram três campeonatos da NFL, o precursor do Super Bowl, em quatro aparições.</v>
      </c>
      <c r="I182" s="3" t="str">
        <f>IFERROR(__xludf.DUMMYFUNCTION("GOOGLETRANSLATE(E182)"),"#VALUE!")</f>
        <v>#VALUE!</v>
      </c>
    </row>
    <row r="183" ht="15.75" customHeight="1">
      <c r="A183" s="1">
        <v>181.0</v>
      </c>
      <c r="B183" s="3" t="s">
        <v>674</v>
      </c>
      <c r="C183" s="3" t="s">
        <v>675</v>
      </c>
      <c r="D183" s="3" t="s">
        <v>676</v>
      </c>
      <c r="F183" s="3" t="str">
        <f>IFERROR(__xludf.DUMMYFUNCTION("GOOGLETRANSLATE(B183)")," Nancy Travis")</f>
        <v> Nancy Travis</v>
      </c>
      <c r="G183" s="3" t="str">
        <f>IFERROR(__xludf.DUMMYFUNCTION("GOOGLETRANSLATE(C183)"),"que interpreta Vanessa Baxter em Last Man Standing")</f>
        <v>que interpreta Vanessa Baxter em Last Man Standing</v>
      </c>
      <c r="H183" s="3" t="str">
        <f>IFERROR(__xludf.DUMMYFUNCTION("GOOGLETRANSLATE(D183)")," De 2011 a 2017, Travis estrelou como Vanessa Baxter no seriado da ABC Last Man Standing. Em 2018, ela começou a estrelar ao lado de Michael Douglas na série de comédia da Netflix The Kominsky Method.")</f>
        <v> De 2011 a 2017, Travis estrelou como Vanessa Baxter no seriado da ABC Last Man Standing. Em 2018, ela começou a estrelar ao lado de Michael Douglas na série de comédia da Netflix The Kominsky Method.</v>
      </c>
      <c r="I183" s="3" t="str">
        <f>IFERROR(__xludf.DUMMYFUNCTION("GOOGLETRANSLATE(E183)"),"#VALUE!")</f>
        <v>#VALUE!</v>
      </c>
    </row>
    <row r="184" ht="15.75" customHeight="1">
      <c r="A184" s="1">
        <v>182.0</v>
      </c>
      <c r="B184" s="3" t="s">
        <v>677</v>
      </c>
      <c r="C184" s="3" t="s">
        <v>678</v>
      </c>
      <c r="D184" s="3" t="s">
        <v>679</v>
      </c>
      <c r="E184" s="3" t="s">
        <v>680</v>
      </c>
      <c r="F184" s="3" t="str">
        <f>IFERROR(__xludf.DUMMYFUNCTION("GOOGLETRANSLATE(B184)")," Guardiões da Galáxia (equipe de 1969)")</f>
        <v> Guardiões da Galáxia (equipe de 1969)</v>
      </c>
      <c r="G184" s="3" t="str">
        <f>IFERROR(__xludf.DUMMYFUNCTION("GOOGLETRANSLATE(C184)"),"Quando os guardiões da história em quadrinhos do Galaxy foram lançados")</f>
        <v>Quando os guardiões da história em quadrinhos do Galaxy foram lançados</v>
      </c>
      <c r="H184" s="3" t="str">
        <f>IFERROR(__xludf.DUMMYFUNCTION("GOOGLETRANSLATE(D184)")," Os Guardiões da Galáxia originais são uma equipe de super -heróis que aparece em quadrinhos americanos publicados pela Marvel Comics. Os Guardiões aparecem pela primeira vez no Marvel Super-Heroes # 18 (janeiro de 1969).")</f>
        <v> Os Guardiões da Galáxia originais são uma equipe de super -heróis que aparece em quadrinhos americanos publicados pela Marvel Comics. Os Guardiões aparecem pela primeira vez no Marvel Super-Heroes # 18 (janeiro de 1969).</v>
      </c>
      <c r="I184" s="3" t="str">
        <f>IFERROR(__xludf.DUMMYFUNCTION("GOOGLETRANSLATE(E184)"),"Jan. 1969")</f>
        <v>Jan. 1969</v>
      </c>
    </row>
    <row r="185" ht="15.75" customHeight="1">
      <c r="A185" s="1">
        <v>183.0</v>
      </c>
      <c r="B185" s="3" t="s">
        <v>681</v>
      </c>
      <c r="C185" s="3" t="s">
        <v>682</v>
      </c>
      <c r="D185" s="3" t="s">
        <v>683</v>
      </c>
      <c r="E185" s="3" t="s">
        <v>684</v>
      </c>
      <c r="F185" s="3" t="str">
        <f>IFERROR(__xludf.DUMMYFUNCTION("GOOGLETRANSLATE(B185)")," Nível do mar")</f>
        <v> Nível do mar</v>
      </c>
      <c r="G185" s="3" t="str">
        <f>IFERROR(__xludf.DUMMYFUNCTION("GOOGLETRANSLATE(C185)"),"onde é o nível do mar medido no Reino Unido")</f>
        <v>onde é o nível do mar medido no Reino Unido</v>
      </c>
      <c r="H185" s="3" t="str">
        <f>IFERROR(__xludf.DUMMYFUNCTION("GOOGLETRANSLATE(D185)")," No Reino Unido, o Datum de Ordnance (a altura de 0 metros nos mapas do Reino Unido) é o nível médio do mar medido em Newlyn, na Cornualha, entre 1915 e 1921. Antes de 1921, o dado era MSL no Victoria Dock, Liverpool.")</f>
        <v> No Reino Unido, o Datum de Ordnance (a altura de 0 metros nos mapas do Reino Unido) é o nível médio do mar medido em Newlyn, na Cornualha, entre 1915 e 1921. Antes de 1921, o dado era MSL no Victoria Dock, Liverpool.</v>
      </c>
      <c r="I185" s="3" t="str">
        <f>IFERROR(__xludf.DUMMYFUNCTION("GOOGLETRANSLATE(E185)"),"RECENCIAL NA MORNWALL ENTRE 1915 e 1921")</f>
        <v>RECENCIAL NA MORNWALL ENTRE 1915 e 1921</v>
      </c>
    </row>
    <row r="186" ht="15.75" customHeight="1">
      <c r="A186" s="1">
        <v>184.0</v>
      </c>
      <c r="B186" s="3" t="s">
        <v>685</v>
      </c>
      <c r="C186" s="3" t="s">
        <v>686</v>
      </c>
      <c r="D186" s="3" t="s">
        <v>687</v>
      </c>
      <c r="E186" s="3" t="s">
        <v>688</v>
      </c>
      <c r="F186" s="3" t="str">
        <f>IFERROR(__xludf.DUMMYFUNCTION("GOOGLETRANSLATE(B186)")," Vôo do navegador")</f>
        <v> Vôo do navegador</v>
      </c>
      <c r="G186" s="3" t="str">
        <f>IFERROR(__xludf.DUMMYFUNCTION("GOOGLETRANSLATE(C186)"),"Filme dos anos 80 sobre uma criança em uma nave espacial")</f>
        <v>Filme dos anos 80 sobre uma criança em uma nave espacial</v>
      </c>
      <c r="H186" s="3" t="str">
        <f>IFERROR(__xludf.DUMMYFUNCTION("GOOGLETRANSLATE(D186)")," O Flight of the Navigator é um filme de aventura de ficção científica de 1986, dirigido por Randal Kleiser e escrito por Mark H. Baker, Michael Burton e Matt MacManus. É estrelado por Joey Cramer como David Freeman, um garoto de 12 anos - que é seqüestra"&amp;"do por uma nave espacial alienígena e se vê pega em um mundo que mudou ao seu redor.")</f>
        <v> O Flight of the Navigator é um filme de aventura de ficção científica de 1986, dirigido por Randal Kleiser e escrito por Mark H. Baker, Michael Burton e Matt MacManus. É estrelado por Joey Cramer como David Freeman, um garoto de 12 anos - que é seqüestrado por uma nave espacial alienígena e se vê pega em um mundo que mudou ao seu redor.</v>
      </c>
      <c r="I186" s="3" t="str">
        <f>IFERROR(__xludf.DUMMYFUNCTION("GOOGLETRANSLATE(E186)"),"Vôo do navegador")</f>
        <v>Vôo do navegador</v>
      </c>
    </row>
    <row r="187" ht="15.75" customHeight="1">
      <c r="A187" s="1">
        <v>185.0</v>
      </c>
      <c r="B187" s="3" t="s">
        <v>689</v>
      </c>
      <c r="C187" s="3" t="s">
        <v>690</v>
      </c>
      <c r="D187" s="3" t="s">
        <v>691</v>
      </c>
      <c r="E187" s="3" t="s">
        <v>692</v>
      </c>
      <c r="F187" s="3" t="str">
        <f>IFERROR(__xludf.DUMMYFUNCTION("GOOGLETRANSLATE(B187)")," Lista de batalhas da Revolução do Texas")</f>
        <v> Lista de batalhas da Revolução do Texas</v>
      </c>
      <c r="G187" s="3" t="str">
        <f>IFERROR(__xludf.DUMMYFUNCTION("GOOGLETRANSLATE(C187)"),"onde ocorreu a primeira revolução da batalha do Texas")</f>
        <v>onde ocorreu a primeira revolução da batalha do Texas</v>
      </c>
      <c r="H187" s="3" t="str">
        <f>IFERROR(__xludf.DUMMYFUNCTION("GOOGLETRANSLATE(D187)"),"   Data (s) de noivado (s) de localização da batalha Victor Battle of Gonzales Gonzales em 2 de outubro de 1835 Esta batalha resultou nas primeiras vítimas da Revolução do Texas. Um soldado mexicano matou a batalha de Goliad Goliad em 10 de outubro de 183"&amp;"5, os texanos capturaram o Presidio La Bahia, bloqueando o exército mexicano no Texas de acessar o porto principal do Texas de Copano. Um texano foi ferido e as estimativas de baixas mexicanas variam de um a três soldados mortos e de três a sete feridos. "&amp;"Batalha de Lipantitlán San Patricio, 4 de novembro - 5 de 1835, os texanos capturaram e destruíram Fort Lipantitlán. A maioria dos soldados mexicanos se retirou para Matamoros. Um texano foi ferido e 3 - 5 soldados mexicanos foram mortos, com mais 14 - 17"&amp;" soldados mexicanos feridos. Batalha de Concepción San Antonio de Bexar 28 de outubro de 1835 Na última ofensiva ordenada pelo general Martin Perfecto de Cos durante a Revolução do Texas, os soldados mexicanos surpreenderam uma força texana acampada perto"&amp;" da concepção da missão. Os texanos repeliram vários ataques com o que o historiador Alwyn Barr descreveu como `` liderança capaz, uma posição forte e maior poder de fogo ''. Um texano ficou ferido e Richard Andrews se tornou o primeiro soldado texano a m"&amp;"orrer em batalha. Entre 14 e 76 soldados mexicanos foram mortos. O historiador Stephen Hardin acredita que `` a relativa facilidade da vitória em Concepción instilou nos texanos uma dependência de seus longos rifles e um desprezo por seus inimigos '', o q"&amp;"ue pode ter levado à derrota texana posterior em Coleto. Fight Grass San Antonio de Bexar 26 de novembro de 1835 Os texanos atacam um grande trem mexicano do exército. 4 texanos feridos e 17 baixas mexicanas. Resultou na captura de cavalos e feno (grama)."&amp;" Cerco de Bexar San Antonio de Bexar 12 de outubro - 11 de dezembro de 1835 Em um cerco de seis semanas, os texanos atacaram Bexar e lutaram de casa em casa por cinco dias. Depois que Cos se rendeu, todas as tropas mexicanas do Texas foram forçadas a se r"&amp;"etirar além do Rio Grande, deixando os texanos no controle militar. 150 mexicanos mortos ou feridos e 35 texanos mortos ou feridos. Battle of San Patricio San Patricio 27 de fevereiro de 1836 Esta foi a primeira campanha de batalha da Goliad. The Johnson "&amp;"- Grant Venture, a primeira revolução da Batalha da Texas, na qual o exército mexicano foi o vencedor. Das forças Johnson, 20 texanos mortos, 32 capturados e 1 perda mexicana, 4 feridos. Johnson e outros 4 escaparam após a captura e seguiram para Goliad. "&amp;"Johnson sobreviveria à Revolução do Texas. Batalha de Agua Dulce Agua Dulce 2 de março de 1836 Segunda Batalha da Campanha Goliad. De 27 homens das forças do Grant e Morris do Johnson - Grant Venture - 12/15 mortas; 6 capturados e presos em Matamoros; Sei"&amp;"s escaparam, dos quais cinco foram mortos na Batalha de Massacre de Goliad do Alamo San Antonio de Bexar, 23 de fevereiro - 6 de março de 1836, o presidente mexicano Antonio Lopez de Santa Anna, pessoalmente superou o cerco do Alamo e da batalha subsequen"&amp;"te, onde quase todos os 189 - 250 defensores texanos foram mortos. 600 mexicanos mortos ou feridos. A raiva pela falta de misericórdia de Santa Anna levou muitos colonos texanos a se juntarem ao exército texano. (Esta batalha é considerada uma das batalha"&amp;"s mais famosas da história americana e é a inspiração para dezenas de filmes e livros) Battle of Refugio Refugio 14 de março de 1836 Terceira Batalha da Campanha Goliad. Os texanos infligiram vítimas pesadas, mas dividiram suas forças e recuaram, terminan"&amp;"do em captura. Cerca de 50 texanos mortos e 98 capturados com algumas execuções posteriores, 29 poupadas como trabalhadores, sobreviventes enviados a Goliad e possivelmente 80 - 100 baixas mexicanas com 50 feridos. Batalha de Coleto nos arredores de Golia"&amp;"d, de 19 a 20 de março de 1836, a campanha final da Batalha da Goliad. Na tentativa de se encontrar com outras forças texanas, a ala mais ao sul do exército texano sai descaradamente sua localização fortemente fortificada no meio das forças de oposição. U"&amp;"ma batalha ocorre com 10 texanos mortos, 60 feridos e 200 mexicanos mortos ou feridos. Após o segundo dia de luta, é acordada uma rendição texana. Aproximadamente 342 dos texanos capturados não foram perdoados, mas foram executados em 27 de março no massa"&amp;"cre de Goliad com 20 poupados e 28 escaparam. A raiva pela falta de misericórdia de Santa Anna levou muitos futuros colonos texanos a se juntarem ao exército texano. Battle of San Jacinto, perto do moderno La Porte, Texas, 21 de abril de 1836, após uma ba"&amp;"talha de 18 minutos, os texanos derrotaram as forças de Santa Anna, eventualmente levando o prisioneiro de Santa Anna. Esta foi a última batalha da Revolução do Texas. 630 mexicanos mortos, 208 feridos, 730 capturados e 9 texanos mortos, 30 feridos.")</f>
        <v>   Data (s) de noivado (s) de localização da batalha Victor Battle of Gonzales Gonzales em 2 de outubro de 1835 Esta batalha resultou nas primeiras vítimas da Revolução do Texas. Um soldado mexicano matou a batalha de Goliad Goliad em 10 de outubro de 1835, os texanos capturaram o Presidio La Bahia, bloqueando o exército mexicano no Texas de acessar o porto principal do Texas de Copano. Um texano foi ferido e as estimativas de baixas mexicanas variam de um a três soldados mortos e de três a sete feridos. Batalha de Lipantitlán San Patricio, 4 de novembro - 5 de 1835, os texanos capturaram e destruíram Fort Lipantitlán. A maioria dos soldados mexicanos se retirou para Matamoros. Um texano foi ferido e 3 - 5 soldados mexicanos foram mortos, com mais 14 - 17 soldados mexicanos feridos. Batalha de Concepción San Antonio de Bexar 28 de outubro de 1835 Na última ofensiva ordenada pelo general Martin Perfecto de Cos durante a Revolução do Texas, os soldados mexicanos surpreenderam uma força texana acampada perto da concepção da missão. Os texanos repeliram vários ataques com o que o historiador Alwyn Barr descreveu como `` liderança capaz, uma posição forte e maior poder de fogo ''. Um texano ficou ferido e Richard Andrews se tornou o primeiro soldado texano a morrer em batalha. Entre 14 e 76 soldados mexicanos foram mortos. O historiador Stephen Hardin acredita que `` a relativa facilidade da vitória em Concepción instilou nos texanos uma dependência de seus longos rifles e um desprezo por seus inimigos '', o que pode ter levado à derrota texana posterior em Coleto. Fight Grass San Antonio de Bexar 26 de novembro de 1835 Os texanos atacam um grande trem mexicano do exército. 4 texanos feridos e 17 baixas mexicanas. Resultou na captura de cavalos e feno (grama). Cerco de Bexar San Antonio de Bexar 12 de outubro - 11 de dezembro de 1835 Em um cerco de seis semanas, os texanos atacaram Bexar e lutaram de casa em casa por cinco dias. Depois que Cos se rendeu, todas as tropas mexicanas do Texas foram forçadas a se retirar além do Rio Grande, deixando os texanos no controle militar. 150 mexicanos mortos ou feridos e 35 texanos mortos ou feridos. Battle of San Patricio San Patricio 27 de fevereiro de 1836 Esta foi a primeira campanha de batalha da Goliad. The Johnson - Grant Venture, a primeira revolução da Batalha da Texas, na qual o exército mexicano foi o vencedor. Das forças Johnson, 20 texanos mortos, 32 capturados e 1 perda mexicana, 4 feridos. Johnson e outros 4 escaparam após a captura e seguiram para Goliad. Johnson sobreviveria à Revolução do Texas. Batalha de Agua Dulce Agua Dulce 2 de março de 1836 Segunda Batalha da Campanha Goliad. De 27 homens das forças do Grant e Morris do Johnson - Grant Venture - 12/15 mortas; 6 capturados e presos em Matamoros; Seis escaparam, dos quais cinco foram mortos na Batalha de Massacre de Goliad do Alamo San Antonio de Bexar, 23 de fevereiro - 6 de março de 1836, o presidente mexicano Antonio Lopez de Santa Anna, pessoalmente superou o cerco do Alamo e da batalha subsequente, onde quase todos os 189 - 250 defensores texanos foram mortos. 600 mexicanos mortos ou feridos. A raiva pela falta de misericórdia de Santa Anna levou muitos colonos texanos a se juntarem ao exército texano. (Esta batalha é considerada uma das batalhas mais famosas da história americana e é a inspiração para dezenas de filmes e livros) Battle of Refugio Refugio 14 de março de 1836 Terceira Batalha da Campanha Goliad. Os texanos infligiram vítimas pesadas, mas dividiram suas forças e recuaram, terminando em captura. Cerca de 50 texanos mortos e 98 capturados com algumas execuções posteriores, 29 poupadas como trabalhadores, sobreviventes enviados a Goliad e possivelmente 80 - 100 baixas mexicanas com 50 feridos. Batalha de Coleto nos arredores de Goliad, de 19 a 20 de março de 1836, a campanha final da Batalha da Goliad. Na tentativa de se encontrar com outras forças texanas, a ala mais ao sul do exército texano sai descaradamente sua localização fortemente fortificada no meio das forças de oposição. Uma batalha ocorre com 10 texanos mortos, 60 feridos e 200 mexicanos mortos ou feridos. Após o segundo dia de luta, é acordada uma rendição texana. Aproximadamente 342 dos texanos capturados não foram perdoados, mas foram executados em 27 de março no massacre de Goliad com 20 poupados e 28 escaparam. A raiva pela falta de misericórdia de Santa Anna levou muitos futuros colonos texanos a se juntarem ao exército texano. Battle of San Jacinto, perto do moderno La Porte, Texas, 21 de abril de 1836, após uma batalha de 18 minutos, os texanos derrotaram as forças de Santa Anna, eventualmente levando o prisioneiro de Santa Anna. Esta foi a última batalha da Revolução do Texas. 630 mexicanos mortos, 208 feridos, 730 capturados e 9 texanos mortos, 30 feridos.</v>
      </c>
      <c r="I187" s="3" t="str">
        <f>IFERROR(__xludf.DUMMYFUNCTION("GOOGLETRANSLATE(E187)"),"Gonzales")</f>
        <v>Gonzales</v>
      </c>
    </row>
    <row r="188" ht="15.75" customHeight="1">
      <c r="A188" s="1">
        <v>186.0</v>
      </c>
      <c r="B188" s="3" t="s">
        <v>693</v>
      </c>
      <c r="C188" s="3" t="s">
        <v>694</v>
      </c>
      <c r="D188" s="3" t="s">
        <v>695</v>
      </c>
      <c r="E188" s="3" t="s">
        <v>696</v>
      </c>
      <c r="F188" s="3" t="str">
        <f>IFERROR(__xludf.DUMMYFUNCTION("GOOGLETRANSLATE(B188)")," Nucleotídeo")</f>
        <v> Nucleotídeo</v>
      </c>
      <c r="G188" s="3" t="str">
        <f>IFERROR(__xludf.DUMMYFUNCTION("GOOGLETRANSLATE(C188)"),"Quais são os componentes básicos de um nucleotídeo")</f>
        <v>Quais são os componentes básicos de um nucleotídeo</v>
      </c>
      <c r="H188" s="3" t="str">
        <f>IFERROR(__xludf.DUMMYFUNCTION("GOOGLETRANSLATE(D188)")," Os nucleotídeos são moléculas orgânicas que servem como unidades de monômero para formar os polímeros de ácido nucleico desoxirribonucleico (DNA) e ácido ribonucleico (RNA), ambos biomoléculas essenciais em todas as formas da vida na Terra. Os nucleotíde"&amp;"os são os blocos de construção de ácidos nucleicos; Eles são compostos de três moléculas de subunidade: uma base nitrogenada, um açúcar de carbono de cinco (ribose ou desoxirribose) e pelo menos um grupo fosfato. Eles também são conhecidos como nucleotíde"&amp;"os de fosfato.")</f>
        <v> Os nucleotídeos são moléculas orgânicas que servem como unidades de monômero para formar os polímeros de ácido nucleico desoxirribonucleico (DNA) e ácido ribonucleico (RNA), ambos biomoléculas essenciais em todas as formas da vida na Terra. Os nucleotídeos são os blocos de construção de ácidos nucleicos; Eles são compostos de três moléculas de subunidade: uma base nitrogenada, um açúcar de carbono de cinco (ribose ou desoxirribose) e pelo menos um grupo fosfato. Eles também são conhecidos como nucleotídeos de fosfato.</v>
      </c>
      <c r="I188" s="3" t="str">
        <f>IFERROR(__xludf.DUMMYFUNCTION("GOOGLETRANSLATE(E188)"),"uma base nitrogenada, um açúcar de carbono (ribose ou desoxirribose) e pelo menos um grupo de fosfato")</f>
        <v>uma base nitrogenada, um açúcar de carbono (ribose ou desoxirribose) e pelo menos um grupo de fosfato</v>
      </c>
    </row>
    <row r="189" ht="15.75" customHeight="1">
      <c r="A189" s="1">
        <v>187.0</v>
      </c>
      <c r="B189" s="3" t="s">
        <v>697</v>
      </c>
      <c r="C189" s="3" t="s">
        <v>698</v>
      </c>
      <c r="D189" s="3" t="s">
        <v>699</v>
      </c>
      <c r="E189" s="3" t="s">
        <v>700</v>
      </c>
      <c r="F189" s="3" t="str">
        <f>IFERROR(__xludf.DUMMYFUNCTION("GOOGLETRANSLATE(B189)")," Cláusula de devido processo")</f>
        <v> Cláusula de devido processo</v>
      </c>
      <c r="G189" s="3" t="str">
        <f>IFERROR(__xludf.DUMMYFUNCTION("GOOGLETRANSLATE(C189)"),"onde está a cláusula de devido processo encontrada na Constituição")</f>
        <v>onde está a cláusula de devido processo encontrada na Constituição</v>
      </c>
      <c r="H189" s="3" t="str">
        <f>IFERROR(__xludf.DUMMYFUNCTION("GOOGLETRANSLATE(D189)")," A quinta e a décima quarta alteração à Constituição dos Estados Unidos contêm uma cláusula de devido processo. O devido processo lida com a administração da justiça e, portanto, a cláusula do devido processo atua como uma salvaguarda da negação arbitrári"&amp;"a de vida, liberdade ou propriedade pelo governo fora da sanção da lei. A Suprema Corte dos Estados Unidos interpreta os cláusulas de maneira mais ampla, concluindo que essas cláusulas fornecem quatro proteções: devido processo processual (em procedimento"&amp;"s civis e criminais), devido processo substantivo, uma proibição contra leis vagas e como veículo para a incorporação do o projeto de lei de direitos .")</f>
        <v> A quinta e a décima quarta alteração à Constituição dos Estados Unidos contêm uma cláusula de devido processo. O devido processo lida com a administração da justiça e, portanto, a cláusula do devido processo atua como uma salvaguarda da negação arbitrária de vida, liberdade ou propriedade pelo governo fora da sanção da lei. A Suprema Corte dos Estados Unidos interpreta os cláusulas de maneira mais ampla, concluindo que essas cláusulas fornecem quatro proteções: devido processo processual (em procedimentos civis e criminais), devido processo substantivo, uma proibição contra leis vagas e como veículo para a incorporação do o projeto de lei de direitos .</v>
      </c>
      <c r="I189" s="3" t="str">
        <f>IFERROR(__xludf.DUMMYFUNCTION("GOOGLETRANSLATE(E189)"),"A quinta e a décima quarta alteração")</f>
        <v>A quinta e a décima quarta alteração</v>
      </c>
    </row>
    <row r="190" ht="15.75" customHeight="1">
      <c r="A190" s="1">
        <v>188.0</v>
      </c>
      <c r="B190" s="3" t="s">
        <v>701</v>
      </c>
      <c r="C190" s="3" t="s">
        <v>702</v>
      </c>
      <c r="D190" s="3" t="s">
        <v>703</v>
      </c>
      <c r="F190" s="3" t="str">
        <f>IFERROR(__xludf.DUMMYFUNCTION("GOOGLETRANSLATE(B190)")," As grandes coisas da Austrália")</f>
        <v> As grandes coisas da Austrália</v>
      </c>
      <c r="G190" s="3" t="str">
        <f>IFERROR(__xludf.DUMMYFUNCTION("GOOGLETRANSLATE(C190)"),"onde está o grande camarão localizado na Austrália")</f>
        <v>onde está o grande camarão localizado na Austrália</v>
      </c>
      <c r="H190" s="3" t="str">
        <f>IFERROR(__xludf.DUMMYFUNCTION("GOOGLETRANSLATE(D190)"),"   Nome Localização Tamanho construído Notas Imagem Big Ant Broken Hill 1980 Uma escultura de formiga de touro projetada pelo artista Pro Hart, que foi erguida em 1980 e originalmente estava no hotel Stephens Creek. Foi transferido para sua localização at"&amp;"ual, ao lado do Centro de Informações Turísticas em Broken Hill, depois de ser doado à cidade em 1990. Big Apple Batlow localizado no meio de um pomar a cerca de 3 km ao norte de Batlow, sem acesso público. Somente sua parte superior é visível da Batlow -"&amp;" Tumut Road, pois é amplamente bloqueada por macieiras. Big Apple Yerrinbool visível da Hume Highway - 34.348504, 150.554299 Big Duranbah de abacate localizado no mundo das frutas tropicais. O Big Axe Kew 1979 8 m (26 pés) localizado ao lado do Centro de "&amp;"Informações para Visitantes da KEW. A escultura original foi substituída em 2002 como resultado de danos induzidos por ANT. Big Ayers Rock North Arm Cove 1990 Este modelo de 1/40 de escala de Uluru era anteriormente uma atração no Leyland Brothers World e"&amp;" agora forma o telhado do restaurante de rock. Tecnicamente, não é uma `` grande coisa '' (como é substancialmente menor que o item em que é modelado), o restaurante de rock é vagamente agrupado com as grandes coisas como um objeto de arte na estrada. Big"&amp;" Banana Coffs Harbor 1964 13 m × 5 m (43 pés × 16 pés) às vezes afirmava ser a primeira grande novidade na Austrália. O grande complexo turístico de banana inclui uma loja de lembrança temática de banana, passeios pela plantação circundante e uma encosta "&amp;"de esqui interno. A grande lata de cerveja Cobar 1990 5 m × 2,5 m (16,4 ft × 8,2 pés) A grande lata de cerveja tem um novo design Tooheys e está localizado acima da entrada do Grand Hotel. Big Bench Broken Hill, Nova Gales do Sul de setembro de 2002 Como "&amp;"parte da exposição de paisagens e origens, um banco de 2,5 vezes em escala foi construído no topo da linha de lodo, que é uma colina alta de depósitos no centro da cidade de Broken Hill. O Big Blue Heeler Muswellbrook 2001 2 m (6,6 pés) de alta localizaçã"&amp;"o, localizado ao lado do Centro de Informações da Cidade. O Big Bogan Nyngan 2015 3,6 m (12 pés) de altura O Big Bogan é a ideia do reverendo Graham McLeod, da Igreja Anglicana de São Marcos de Nyngan. Localizado na rua Pangee, ao lado das linhas ferroviá"&amp;"rias. Big Bottles Mangrove Mountain e Hanwood Big Bowl Lake Cathie, Nova Gales do Sul uma réplica de 10 pés de altura de uma tigela de gramado, consistindo de um - e - uma meia toneladas de aço e concreto. BIG BULL WAUCHOPE 14 m × 21 m (46 pés × 69 pés) O"&amp;" Big Bull foi puxado em outubro de 2007. Grande bando de Bananas Coffs Harbor, anteriormente localizado em Sawtell, o grande monte de bananas foi realocado quando a estrada do Pacífico ignorou a cidade e agora fica ao sul do porto de Coffs. A Big Bicycle "&amp;"Chullora 9 m × 6 m (30 pés × 20 pés) A bicicleta construída por Jonh Ridley, Andy Lugiz e Phillip Becker adornam a entrada da estação de transferência de resíduos de Chullora, Chullora. Big Cheese Bodalla O Big Cheese está localizado na antiga fábrica de "&amp;"queijo Bodalla, nos príncipes Hwy, Bodalla. É a partir de 2013 fechado. Big Cherries Young originalmente localizou a Short Street, mas mudou -se com o Centro de Informações Turistas para Lovell Street para a antiga estação ferroviária. Big Chook Moonbi 19"&amp;"70s 2 m × 4 m (6,6 ft × 13,1 ft) Big Chook Mount Vernon 4 m × 4 m (13 pés × 13 pés) Big Fish Manilla O peixe grande está localizado na Big Fish Roadhouse em 79 Arthur Street Manilla . Big Flower Ourimbah Big Funil Spider Jamberoo, Nova Gales do Sul 2015 1"&amp;"9,7 m × 22,2 m (65 pés × 73 pés) A Big Funnel Spider foi construída no Jambeoo Action Park, localizado a 20 minutos ao sul de Wollongong e é um aço, fibra de fibra e concreto Estrutura 420 vezes maior que uma fêmea de Sydney - Spider. Foi concedido um rec"&amp;"orde mundial do Guinness como a maior escultura de aranha em agosto de 2015. O Big Gold Panner Bathurst 1979 5 m × 3 m (16,4 pés × 9,8 pés) localizado em frente ao Gold Panner Motor Inn. A Big Gold Pick e Pan Grenfell 2005 Pick 4 M, Pan 3 M (Diam) localiz"&amp;"ados entre o galpão de mercadorias e o edifício histórico da estação na antiga Delegacia da Estação Ferroviária, perto do extremo norte da West Street. A grande guitarra dourada Tamworth 1988 12 m × 4 m (39 pés × 13 pés) modelada nos troféus de guitarra d"&amp;"e ouro dada aos vencedores no Country Music Awards of Australia Cerimony Night durante o Tamworth Country Music Festival. O Big Knight Knockrow na entrada do Castelo da Macadâmia, um parque e uma loja temática de nozes. O Big Hammer Mudgee, localizado no "&amp;"Fairview Artspace, em Mudgee, é o trabalho de arte de um Tig Crawley `` Water Hammer ''. Esta instalação está localizada no jardim da frente e tem uma bela vista de Mudgee e o campo dos grandes fones de ouvido Newcastle 2015 3 m (9,8 pés) localizados em D"&amp;"arby St, este par de fones de ouvido totalmente operacional foi projetado por Mark Tisdell e construído em colaboração com Tom Irlanda (Fabration and Design Detalhando), Sean Bell (gráficos), Adrian Garner (Engenharia Elétrica), Brad Phillips e Rhian Leek"&amp;" (Architectural Design), com o apoio do Darby Street Traders Group. A Big Kookaburra Kurri Kurri 2009 4,5 m (15 pés) Escultura de Chris Fussell. Está localizado no Rotary Park. O Big Lamb Guyra 1988 erguido pela cidade e distrito para promover as indústri"&amp;"as de cordeiro e batata na Nova Inglaterra. O cordeiro fica sobre uma planta de batata. The Big Merino Goulburn 1985 15 m × 18 m (49 pés × 59 pés) Uma escultura de um Merino Ram, construído em 1985. Goulburn e o Big Merino foram ignorados pela Hume Highwa"&amp;"y em 1992, levando a uma redução no número de visitantes. Em 26 de maio de 2007, Rambo (como o Merino é conhecido localmente) foi realocado por Lower - carregador para uma nova casa à vista da rodovia. A lâmpada do Big Miner Lithgow Big Mosquito Hexham 19"&amp;"93 `` Ossie The Mossie '' no Hexham Bowls Club é modelada nas espécies locais de mosquitos de Ochlerotatus Alternans, conhecidos como `` cinza hexham ''. Inclui olhos iluminados que ligam à noite. Big Murray Cod Tocumwal 1967 2 m × 7 m (6,6 ft × 23,0 pés)"&amp;" localizado perto da esquina da Deniliquin Rd e Murray St, perto do rio Murray. Big Orange Tenterfield The Big Oyster Taree 12 m × 4 m (39 pés × 13 pés) A grande guitarra tocável Narrandera 1991 6 m × 2 m (19,7 ft × 6,6 pés) A maior guitarra tocável do mu"&amp;"ndo. Ploddy the Dinosaur Somersby 1963 situado no parque de répteis australiano e encomendado pelo fundador do parque, Eric Worrell. A estrutura de concreto, com base na forma de um diplodoco, tem 30 metros de comprimento e pesa quase 100 toneladas. O Big"&amp;" Potato Robertson 1977 10 m × 4 m (33 pés × 13 pés) Uma batata gigante construída pelo fazendeiro Jim Mauger em 1977. O Big Poo Kiama 2002 1 m × 5 m (3,3 pés × 16,4 pés) O grande cocô foi construído por moradores locais como um protesto contra a decisão d"&amp;"e Sydney Water de não reutilizar as águas residuais na área. Construído a partir de espuma, foi revelado por Ian Cohen em 29 de abril de 2002. O Big Prawn Ballina 1989 6 m × 9 m (20 pés × 30 pés) Em 24 de setembro de 2009, o Conselho de Ballina Shire voto"&amp;"u para permitir a demolição do grande camarão, mas essa permissão nunca foi acionada. O Bunnings Warehouse comprou o site em 2011 e reformou o camarão como parte da reconstrução. O camarão agora fica em um estande ao lado da entrada do estacionamento do a"&amp;"rmazém de Bunnings. Big Rabbit Trap Albert 2013 Uma grande armadilha de coelho, localizada no telhado do Rabbit Trap Hotel. O Big Rocket Moree 2009 14 m (46 pés) High The Big Rocket, lançado durante o Ano Internacional de Astronomia e o 40º aniversário do"&amp;" primeiro pouso da lua tripulada, contém dois slides e um playground com tema de centro de comando com tema. O cubo de Big Rubik, Maroubra 2008, um cubo de cimento pintado de acordo com o cubo de Rubik no topo de um dreno de águas pluviais na praia de Mar"&amp;"oubra. O Big Slurpee Coffs Harbor 2009 15,24 m (50 pés) desmantelado em 2009. O grande soldado Uralla em frente ao Museu Militar de Hassett. O grande Spider Urana 2009 The Big Spider (chamado `` Not So Itsy '' do artista) foi criado por Andrew Whitehead, "&amp;"um morador próximo da cidade. A aranha comemora o clube de futebol local, que foi, por muitos anos, conhecido como aranhas, e é construído a partir de uma variedade de materiais - incluindo uma banheira de lavagem e um silenciador de cachorro -quente. O m"&amp;"aior singleton de sol do mundo, um relógio de sol de 25 pés de altura, apresentado como um presente da mina de Lemington, para homenagear a ocasião do bicentenário australiano. Na época de sua criação, foi reconhecido pelo Guinness Book of World Records c"&amp;"omo o maior relógio de sol do mundo, e ainda afirma ser o maior de peça de sol no Hemisfério Sul. O Big Swan Dunedoo em frente ao Motel dos Cisnes. Big Tennis Racquet Barellan 3 de outubro de 2009 13,8 m (45 pés) Construído em homenagem a Evonne Goolagong"&amp;", que cresceu em Barellan. A grande truta Adaminaby 1973 10 m × 3 m (32,8 pés × 9,8 pés) projetada por Andy Lomnici, a grande truta está localizada na cidade de Adaminaby, perto do lago Eucumbene, nas montanhas nevadas. Inaugurado em 1973, a truta é const"&amp;"ruída a partir de fibra de vidro sobre uma estrutura de aço. A grande truta Oberon, a grande tartaruga Forster, esculpida em madeira, a grande tartaruga está localizada atrás da rua principal de Forster, em um calçadão à beira do rio. The Big Ugg Boots Th"&amp;"ornton, 20 de abril de 2015, a Mortels Sheepskin Factory abriga as grandes botas Ugg. Essas grandes botas UGG são 13 vezes o tamanho da bota Ugg de tamanho 8 de uma mulher. As grandes botas UGG estão localizadas na região de Hunter, em NSW. O Big Windmill"&amp;" Coffs Harbor 1972, embora o trabalho tenha começado no grande moinho de vento em 1972, a morte de Franz de Kever em 1974 atrasou a conclusão até 1982, como foi até que o local foi comprado por Hans Eecen que o trabalho foi capaz de retomar. Desde então, "&amp;"o grande moinho de vento mudou de mãos e agora é operado por Mark e Jodi Taylor. O site inclui um motel de 41 - quarto e um restaurante. The Big Wine Barrel Hanwood, Griffith 1973, localizado na vinícola McWilliam. A porta da adega com exibições histórica"&amp;"s e um mural de vidro gigante estão localizados dentro. A grande garrafa de vinho Pokolbin 1998 7 m × 1,5 m (23,0 pés × 4,9 pés) localizada no Hunter Valley Gardens. O pescoço forma uma chaminé para um fogo aberto contido no interior. O grande barril de v"&amp;"inho Mourquong 8 m × 6 m (26 pés × 20 pés) localizado na Constellation Stanley Winery * Edit - a partir de dezembro de 2013 não está mais lá. Construção é, mas foi pintado e não é acessível *")</f>
        <v>   Nome Localização Tamanho construído Notas Imagem Big Ant Broken Hill 1980 Uma escultura de formiga de touro projetada pelo artista Pro Hart, que foi erguida em 1980 e originalmente estava no hotel Stephens Creek. Foi transferido para sua localização atual, ao lado do Centro de Informações Turísticas em Broken Hill, depois de ser doado à cidade em 1990. Big Apple Batlow localizado no meio de um pomar a cerca de 3 km ao norte de Batlow, sem acesso público. Somente sua parte superior é visível da Batlow - Tumut Road, pois é amplamente bloqueada por macieiras. Big Apple Yerrinbool visível da Hume Highway - 34.348504, 150.554299 Big Duranbah de abacate localizado no mundo das frutas tropicais. O Big Axe Kew 1979 8 m (26 pés) localizado ao lado do Centro de Informações para Visitantes da KEW. A escultura original foi substituída em 2002 como resultado de danos induzidos por ANT. Big Ayers Rock North Arm Cove 1990 Este modelo de 1/40 de escala de Uluru era anteriormente uma atração no Leyland Brothers World e agora forma o telhado do restaurante de rock. Tecnicamente, não é uma `` grande coisa '' (como é substancialmente menor que o item em que é modelado), o restaurante de rock é vagamente agrupado com as grandes coisas como um objeto de arte na estrada. Big Banana Coffs Harbor 1964 13 m × 5 m (43 pés × 16 pés) às vezes afirmava ser a primeira grande novidade na Austrália. O grande complexo turístico de banana inclui uma loja de lembrança temática de banana, passeios pela plantação circundante e uma encosta de esqui interno. A grande lata de cerveja Cobar 1990 5 m × 2,5 m (16,4 ft × 8,2 pés) A grande lata de cerveja tem um novo design Tooheys e está localizado acima da entrada do Grand Hotel. Big Bench Broken Hill, Nova Gales do Sul de setembro de 2002 Como parte da exposição de paisagens e origens, um banco de 2,5 vezes em escala foi construído no topo da linha de lodo, que é uma colina alta de depósitos no centro da cidade de Broken Hill. O Big Blue Heeler Muswellbrook 2001 2 m (6,6 pés) de alta localização, localizado ao lado do Centro de Informações da Cidade. O Big Bogan Nyngan 2015 3,6 m (12 pés) de altura O Big Bogan é a ideia do reverendo Graham McLeod, da Igreja Anglicana de São Marcos de Nyngan. Localizado na rua Pangee, ao lado das linhas ferroviárias. Big Bottles Mangrove Mountain e Hanwood Big Bowl Lake Cathie, Nova Gales do Sul uma réplica de 10 pés de altura de uma tigela de gramado, consistindo de um - e - uma meia toneladas de aço e concreto. BIG BULL WAUCHOPE 14 m × 21 m (46 pés × 69 pés) O Big Bull foi puxado em outubro de 2007. Grande bando de Bananas Coffs Harbor, anteriormente localizado em Sawtell, o grande monte de bananas foi realocado quando a estrada do Pacífico ignorou a cidade e agora fica ao sul do porto de Coffs. A Big Bicycle Chullora 9 m × 6 m (30 pés × 20 pés) A bicicleta construída por Jonh Ridley, Andy Lugiz e Phillip Becker adornam a entrada da estação de transferência de resíduos de Chullora, Chullora. Big Cheese Bodalla O Big Cheese está localizado na antiga fábrica de queijo Bodalla, nos príncipes Hwy, Bodalla. É a partir de 2013 fechado. Big Cherries Young originalmente localizou a Short Street, mas mudou -se com o Centro de Informações Turistas para Lovell Street para a antiga estação ferroviária. Big Chook Moonbi 1970s 2 m × 4 m (6,6 ft × 13,1 ft) Big Chook Mount Vernon 4 m × 4 m (13 pés × 13 pés) Big Fish Manilla O peixe grande está localizado na Big Fish Roadhouse em 79 Arthur Street Manilla . Big Flower Ourimbah Big Funil Spider Jamberoo, Nova Gales do Sul 2015 19,7 m × 22,2 m (65 pés × 73 pés) A Big Funnel Spider foi construída no Jambeoo Action Park, localizado a 20 minutos ao sul de Wollongong e é um aço, fibra de fibra e concreto Estrutura 420 vezes maior que uma fêmea de Sydney - Spider. Foi concedido um recorde mundial do Guinness como a maior escultura de aranha em agosto de 2015. O Big Gold Panner Bathurst 1979 5 m × 3 m (16,4 pés × 9,8 pés) localizado em frente ao Gold Panner Motor Inn. A Big Gold Pick e Pan Grenfell 2005 Pick 4 M, Pan 3 M (Diam) localizados entre o galpão de mercadorias e o edifício histórico da estação na antiga Delegacia da Estação Ferroviária, perto do extremo norte da West Street. A grande guitarra dourada Tamworth 1988 12 m × 4 m (39 pés × 13 pés) modelada nos troféus de guitarra de ouro dada aos vencedores no Country Music Awards of Australia Cerimony Night durante o Tamworth Country Music Festival. O Big Knight Knockrow na entrada do Castelo da Macadâmia, um parque e uma loja temática de nozes. O Big Hammer Mudgee, localizado no Fairview Artspace, em Mudgee, é o trabalho de arte de um Tig Crawley `` Water Hammer ''. Esta instalação está localizada no jardim da frente e tem uma bela vista de Mudgee e o campo dos grandes fones de ouvido Newcastle 2015 3 m (9,8 pés) localizados em Darby St, este par de fones de ouvido totalmente operacional foi projetado por Mark Tisdell e construído em colaboração com Tom Irlanda (Fabration and Design Detalhando), Sean Bell (gráficos), Adrian Garner (Engenharia Elétrica), Brad Phillips e Rhian Leek (Architectural Design), com o apoio do Darby Street Traders Group. A Big Kookaburra Kurri Kurri 2009 4,5 m (15 pés) Escultura de Chris Fussell. Está localizado no Rotary Park. O Big Lamb Guyra 1988 erguido pela cidade e distrito para promover as indústrias de cordeiro e batata na Nova Inglaterra. O cordeiro fica sobre uma planta de batata. The Big Merino Goulburn 1985 15 m × 18 m (49 pés × 59 pés) Uma escultura de um Merino Ram, construído em 1985. Goulburn e o Big Merino foram ignorados pela Hume Highway em 1992, levando a uma redução no número de visitantes. Em 26 de maio de 2007, Rambo (como o Merino é conhecido localmente) foi realocado por Lower - carregador para uma nova casa à vista da rodovia. A lâmpada do Big Miner Lithgow Big Mosquito Hexham 1993 `` Ossie The Mossie '' no Hexham Bowls Club é modelada nas espécies locais de mosquitos de Ochlerotatus Alternans, conhecidos como `` cinza hexham ''. Inclui olhos iluminados que ligam à noite. Big Murray Cod Tocumwal 1967 2 m × 7 m (6,6 ft × 23,0 pés) localizado perto da esquina da Deniliquin Rd e Murray St, perto do rio Murray. Big Orange Tenterfield The Big Oyster Taree 12 m × 4 m (39 pés × 13 pés) A grande guitarra tocável Narrandera 1991 6 m × 2 m (19,7 ft × 6,6 pés) A maior guitarra tocável do mundo. Ploddy the Dinosaur Somersby 1963 situado no parque de répteis australiano e encomendado pelo fundador do parque, Eric Worrell. A estrutura de concreto, com base na forma de um diplodoco, tem 30 metros de comprimento e pesa quase 100 toneladas. O Big Potato Robertson 1977 10 m × 4 m (33 pés × 13 pés) Uma batata gigante construída pelo fazendeiro Jim Mauger em 1977. O Big Poo Kiama 2002 1 m × 5 m (3,3 pés × 16,4 pés) O grande cocô foi construído por moradores locais como um protesto contra a decisão de Sydney Water de não reutilizar as águas residuais na área. Construído a partir de espuma, foi revelado por Ian Cohen em 29 de abril de 2002. O Big Prawn Ballina 1989 6 m × 9 m (20 pés × 30 pés) Em 24 de setembro de 2009, o Conselho de Ballina Shire votou para permitir a demolição do grande camarão, mas essa permissão nunca foi acionada. O Bunnings Warehouse comprou o site em 2011 e reformou o camarão como parte da reconstrução. O camarão agora fica em um estande ao lado da entrada do estacionamento do armazém de Bunnings. Big Rabbit Trap Albert 2013 Uma grande armadilha de coelho, localizada no telhado do Rabbit Trap Hotel. O Big Rocket Moree 2009 14 m (46 pés) High The Big Rocket, lançado durante o Ano Internacional de Astronomia e o 40º aniversário do primeiro pouso da lua tripulada, contém dois slides e um playground com tema de centro de comando com tema. O cubo de Big Rubik, Maroubra 2008, um cubo de cimento pintado de acordo com o cubo de Rubik no topo de um dreno de águas pluviais na praia de Maroubra. O Big Slurpee Coffs Harbor 2009 15,24 m (50 pés) desmantelado em 2009. O grande soldado Uralla em frente ao Museu Militar de Hassett. O grande Spider Urana 2009 The Big Spider (chamado `` Not So Itsy '' do artista) foi criado por Andrew Whitehead, um morador próximo da cidade. A aranha comemora o clube de futebol local, que foi, por muitos anos, conhecido como aranhas, e é construído a partir de uma variedade de materiais - incluindo uma banheira de lavagem e um silenciador de cachorro -quente. O maior singleton de sol do mundo, um relógio de sol de 25 pés de altura, apresentado como um presente da mina de Lemington, para homenagear a ocasião do bicentenário australiano. Na época de sua criação, foi reconhecido pelo Guinness Book of World Records como o maior relógio de sol do mundo, e ainda afirma ser o maior de peça de sol no Hemisfério Sul. O Big Swan Dunedoo em frente ao Motel dos Cisnes. Big Tennis Racquet Barellan 3 de outubro de 2009 13,8 m (45 pés) Construído em homenagem a Evonne Goolagong, que cresceu em Barellan. A grande truta Adaminaby 1973 10 m × 3 m (32,8 pés × 9,8 pés) projetada por Andy Lomnici, a grande truta está localizada na cidade de Adaminaby, perto do lago Eucumbene, nas montanhas nevadas. Inaugurado em 1973, a truta é construída a partir de fibra de vidro sobre uma estrutura de aço. A grande truta Oberon, a grande tartaruga Forster, esculpida em madeira, a grande tartaruga está localizada atrás da rua principal de Forster, em um calçadão à beira do rio. The Big Ugg Boots Thornton, 20 de abril de 2015, a Mortels Sheepskin Factory abriga as grandes botas Ugg. Essas grandes botas UGG são 13 vezes o tamanho da bota Ugg de tamanho 8 de uma mulher. As grandes botas UGG estão localizadas na região de Hunter, em NSW. O Big Windmill Coffs Harbor 1972, embora o trabalho tenha começado no grande moinho de vento em 1972, a morte de Franz de Kever em 1974 atrasou a conclusão até 1982, como foi até que o local foi comprado por Hans Eecen que o trabalho foi capaz de retomar. Desde então, o grande moinho de vento mudou de mãos e agora é operado por Mark e Jodi Taylor. O site inclui um motel de 41 - quarto e um restaurante. The Big Wine Barrel Hanwood, Griffith 1973, localizado na vinícola McWilliam. A porta da adega com exibições históricas e um mural de vidro gigante estão localizados dentro. A grande garrafa de vinho Pokolbin 1998 7 m × 1,5 m (23,0 pés × 4,9 pés) localizada no Hunter Valley Gardens. O pescoço forma uma chaminé para um fogo aberto contido no interior. O grande barril de vinho Mourquong 8 m × 6 m (26 pés × 20 pés) localizado na Constellation Stanley Winery * Edit - a partir de dezembro de 2013 não está mais lá. Construção é, mas foi pintado e não é acessível *</v>
      </c>
      <c r="I190" s="3" t="str">
        <f>IFERROR(__xludf.DUMMYFUNCTION("GOOGLETRANSLATE(E190)"),"#VALUE!")</f>
        <v>#VALUE!</v>
      </c>
    </row>
    <row r="191" ht="15.75" customHeight="1">
      <c r="A191" s="1">
        <v>189.0</v>
      </c>
      <c r="B191" s="3" t="s">
        <v>704</v>
      </c>
      <c r="C191" s="3" t="s">
        <v>705</v>
      </c>
      <c r="D191" s="3" t="s">
        <v>706</v>
      </c>
      <c r="E191" s="3" t="s">
        <v>707</v>
      </c>
      <c r="F191" s="3" t="str">
        <f>IFERROR(__xludf.DUMMYFUNCTION("GOOGLETRANSLATE(B191)")," Blake Gibbons")</f>
        <v> Blake Gibbons</v>
      </c>
      <c r="G191" s="3" t="str">
        <f>IFERROR(__xludf.DUMMYFUNCTION("GOOGLETRANSLATE(C191)"),"que interpreta o dublê no comercial da GEICO")</f>
        <v>que interpreta o dublê no comercial da GEICO</v>
      </c>
      <c r="H191" s="3" t="str">
        <f>IFERROR(__xludf.DUMMYFUNCTION("GOOGLETRANSLATE(D191)")," Blake Gibbons (nascido em 21 de junho de 1961 em Kern County, Califórnia) é um ator americano com um papel recorrente como Coleman no Hospital Geral da Longa Durny the Television Long Daytime Television.")</f>
        <v> Blake Gibbons (nascido em 21 de junho de 1961 em Kern County, Califórnia) é um ator americano com um papel recorrente como Coleman no Hospital Geral da Longa Durny the Television Long Daytime Television.</v>
      </c>
      <c r="I191" s="3" t="str">
        <f>IFERROR(__xludf.DUMMYFUNCTION("GOOGLETRANSLATE(E191)"),"Blake Gibbons")</f>
        <v>Blake Gibbons</v>
      </c>
    </row>
    <row r="192" ht="15.75" customHeight="1">
      <c r="A192" s="1">
        <v>190.0</v>
      </c>
      <c r="B192" s="3" t="s">
        <v>708</v>
      </c>
      <c r="C192" s="3" t="s">
        <v>709</v>
      </c>
      <c r="D192" s="3" t="s">
        <v>710</v>
      </c>
      <c r="F192" s="3" t="str">
        <f>IFERROR(__xludf.DUMMYFUNCTION("GOOGLETRANSLATE(B192)")," Inglês Springer Spaniel")</f>
        <v> Inglês Springer Spaniel</v>
      </c>
      <c r="G192" s="3" t="str">
        <f>IFERROR(__xludf.DUMMYFUNCTION("GOOGLETRANSLATE(C192)"),"diferença entre um cocker spaniel e springer spaniel")</f>
        <v>diferença entre um cocker spaniel e springer spaniel</v>
      </c>
      <c r="H192" s="3" t="str">
        <f>IFERROR(__xludf.DUMMYFUNCTION("GOOGLETRANSLATE(D192)")," O inglês Springer Spaniel é semelhante ao cocker spaniel em inglês e, à primeira vista, a única grande diferença é o tamanho menor deste último. No entanto, os alfaios ingleses também tendem a ter ouvidos mais curtos e mais altos do que os cockers ingles"&amp;"es. Além disso, os trituradores também tendem a ter um focinho mais longo; Seus olhos não são tão proeminentes e o casaco é menos abundante. As principais diferenças entre o Springer galês e o springer inglês são que os galeses têm cores mais limitadas e "&amp;"tendem a ser um pouco menores.")</f>
        <v> O inglês Springer Spaniel é semelhante ao cocker spaniel em inglês e, à primeira vista, a única grande diferença é o tamanho menor deste último. No entanto, os alfaios ingleses também tendem a ter ouvidos mais curtos e mais altos do que os cockers ingleses. Além disso, os trituradores também tendem a ter um focinho mais longo; Seus olhos não são tão proeminentes e o casaco é menos abundante. As principais diferenças entre o Springer galês e o springer inglês são que os galeses têm cores mais limitadas e tendem a ser um pouco menores.</v>
      </c>
      <c r="I192" s="3" t="str">
        <f>IFERROR(__xludf.DUMMYFUNCTION("GOOGLETRANSLATE(E192)"),"#VALUE!")</f>
        <v>#VALUE!</v>
      </c>
    </row>
    <row r="193" ht="15.75" customHeight="1">
      <c r="A193" s="1">
        <v>191.0</v>
      </c>
      <c r="B193" s="3" t="s">
        <v>711</v>
      </c>
      <c r="C193" s="3" t="s">
        <v>712</v>
      </c>
      <c r="D193" s="3" t="s">
        <v>713</v>
      </c>
      <c r="E193" s="3" t="s">
        <v>714</v>
      </c>
      <c r="F193" s="3" t="str">
        <f>IFERROR(__xludf.DUMMYFUNCTION("GOOGLETRANSLATE(B193)")," A mãe dos parlamentos (expressão)")</f>
        <v> A mãe dos parlamentos (expressão)</v>
      </c>
      <c r="G193" s="3" t="str">
        <f>IFERROR(__xludf.DUMMYFUNCTION("GOOGLETRANSLATE(C193)"),"Por que o Parlamento Britânico é conhecido como Mãe dos Parlamentos")</f>
        <v>Por que o Parlamento Britânico é conhecido como Mãe dos Parlamentos</v>
      </c>
      <c r="H193" s="3" t="str">
        <f>IFERROR(__xludf.DUMMYFUNCTION("GOOGLETRANSLATE(D193)")," A expressão é frequentemente aplicada ao Parlamento do Reino Unido por causa da adoção do modelo de democracia parlamentar de Westminster por muitos países do ex -Império Britânico.")</f>
        <v> A expressão é frequentemente aplicada ao Parlamento do Reino Unido por causa da adoção do modelo de democracia parlamentar de Westminster por muitos países do ex -Império Britânico.</v>
      </c>
      <c r="I193" s="3" t="str">
        <f>IFERROR(__xludf.DUMMYFUNCTION("GOOGLETRANSLATE(E193)"),"Devido à adoção do modelo de democracia parlamentar de Westminster por muitos países do ex -Império Britânico")</f>
        <v>Devido à adoção do modelo de democracia parlamentar de Westminster por muitos países do ex -Império Britânico</v>
      </c>
    </row>
    <row r="194" ht="15.75" customHeight="1">
      <c r="A194" s="1">
        <v>192.0</v>
      </c>
      <c r="B194" s="3" t="s">
        <v>715</v>
      </c>
      <c r="C194" s="3" t="s">
        <v>716</v>
      </c>
      <c r="D194" s="3" t="s">
        <v>717</v>
      </c>
      <c r="E194" s="3" t="s">
        <v>718</v>
      </c>
      <c r="F194" s="3" t="str">
        <f>IFERROR(__xludf.DUMMYFUNCTION("GOOGLETRANSLATE(B194)")," Senhora Secretária (série de TV)")</f>
        <v> Senhora Secretária (série de TV)</v>
      </c>
      <c r="G194" s="3" t="str">
        <f>IFERROR(__xludf.DUMMYFUNCTION("GOOGLETRANSLATE(C194)"),"que interpreta o diretor da CIA na Madame Secretário")</f>
        <v>que interpreta o diretor da CIA na Madame Secretário</v>
      </c>
      <c r="H194" s="3" t="str">
        <f>IFERROR(__xludf.DUMMYFUNCTION("GOOGLETRANSLATE(D194)")," Patrick Breen como Andrew Munsey (1ª temporada), diretor da CIA e um protegido do presidente Dalton.")</f>
        <v> Patrick Breen como Andrew Munsey (1ª temporada), diretor da CIA e um protegido do presidente Dalton.</v>
      </c>
      <c r="I194" s="3" t="str">
        <f>IFERROR(__xludf.DUMMYFUNCTION("GOOGLETRANSLATE(E194)"),"Patrick Breen")</f>
        <v>Patrick Breen</v>
      </c>
    </row>
    <row r="195" ht="15.75" customHeight="1">
      <c r="A195" s="1">
        <v>193.0</v>
      </c>
      <c r="B195" s="3" t="s">
        <v>719</v>
      </c>
      <c r="C195" s="3" t="s">
        <v>720</v>
      </c>
      <c r="D195" s="3" t="s">
        <v>721</v>
      </c>
      <c r="F195" s="3" t="str">
        <f>IFERROR(__xludf.DUMMYFUNCTION("GOOGLETRANSLATE(B195)")," Maldição do Super Bowl")</f>
        <v> Maldição do Super Bowl</v>
      </c>
      <c r="G195" s="3" t="str">
        <f>IFERROR(__xludf.DUMMYFUNCTION("GOOGLETRANSLATE(C195)"),"Quando foi a última vez que um time de Superbowl jogou em casa")</f>
        <v>Quando foi a última vez que um time de Superbowl jogou em casa</v>
      </c>
      <c r="H195" s="3" t="str">
        <f>IFERROR(__xludf.DUMMYFUNCTION("GOOGLETRANSLATE(D195)")," Até agora, nenhum time ainda conseguiu chegar ao jogo do campeonato em seu estádio em casa, ou até chegou perto. Apenas duas equipes da NFL chegaram ao Super Bowl hospedado em seu mercado doméstico: o San Francisco 49ers, que jogou o Super Bowl XIX no es"&amp;"tádio Stanford, em vez de Candlestick Park, e o Los Angeles Rams, que jogou o Super Bowl XIV no Rose Bowl, em vez do Coliseu do Memorial de Los Angeles. Além dos dois, o único outro local do Super Bowl que não era o estádio de casa para uma equipe da NFL "&amp;"na época era o Rice Stadium em Houston: o Houston Oilers havia jogado lá anteriormente, mas se mudou para o Astrodome vários anos antes do Super Bowl VIII. O Miami Orange Bowl foi o único estádio da AFL a sediar um Super Bowl e o único estádio a sediar Su"&amp;"per Bowls consecutivos, hospedando o Super Bowl II e III. O MetLife Stadium, que recebeu o Super Bowl XLVIII, é o estádio de duas equipes da NFL: o New York Giants e o New York Jets.")</f>
        <v> Até agora, nenhum time ainda conseguiu chegar ao jogo do campeonato em seu estádio em casa, ou até chegou perto. Apenas duas equipes da NFL chegaram ao Super Bowl hospedado em seu mercado doméstico: o San Francisco 49ers, que jogou o Super Bowl XIX no estádio Stanford, em vez de Candlestick Park, e o Los Angeles Rams, que jogou o Super Bowl XIV no Rose Bowl, em vez do Coliseu do Memorial de Los Angeles. Além dos dois, o único outro local do Super Bowl que não era o estádio de casa para uma equipe da NFL na época era o Rice Stadium em Houston: o Houston Oilers havia jogado lá anteriormente, mas se mudou para o Astrodome vários anos antes do Super Bowl VIII. O Miami Orange Bowl foi o único estádio da AFL a sediar um Super Bowl e o único estádio a sediar Super Bowls consecutivos, hospedando o Super Bowl II e III. O MetLife Stadium, que recebeu o Super Bowl XLVIII, é o estádio de duas equipes da NFL: o New York Giants e o New York Jets.</v>
      </c>
      <c r="I195" s="3" t="str">
        <f>IFERROR(__xludf.DUMMYFUNCTION("GOOGLETRANSLATE(E195)"),"#VALUE!")</f>
        <v>#VALUE!</v>
      </c>
    </row>
    <row r="196" ht="15.75" customHeight="1">
      <c r="A196" s="1">
        <v>194.0</v>
      </c>
      <c r="B196" s="3" t="s">
        <v>722</v>
      </c>
      <c r="C196" s="3" t="s">
        <v>723</v>
      </c>
      <c r="D196" s="3" t="s">
        <v>724</v>
      </c>
      <c r="F196" s="3" t="str">
        <f>IFERROR(__xludf.DUMMYFUNCTION("GOOGLETRANSLATE(B196)")," Guerra Fria")</f>
        <v> Guerra Fria</v>
      </c>
      <c r="G196" s="3" t="str">
        <f>IFERROR(__xludf.DUMMYFUNCTION("GOOGLETRANSLATE(C196)"),"Quando começa a Guerra Fria e termina")</f>
        <v>Quando começa a Guerra Fria e termina</v>
      </c>
      <c r="H196" s="3" t="str">
        <f>IFERROR(__xludf.DUMMYFUNCTION("GOOGLETRANSLATE(D196)")," A Guerra Fria era um estado de tensão geopolítica após a Segunda Guerra Mundial entre os poderes no bloco oriental (a União Soviética e seus estados satélites) e poderes no bloco ocidental (Estados Unidos, seus aliados da OTAN e outros). Os historiadores"&amp;" não concordam completamente nas datas, mas um período comum é o período entre 1947, ano em que a Doutrina Truman, uma Política Externa dos EUA que se comprometeu às nações de ajuda ameaçada pelo expansionismo soviético, foi anunciado e, em 1989, quando o"&amp;" comunismo caiu no leste Europa, ou 1991, quando a União Soviética entrou em colapso. O termo `` frio '' é usado porque não havia uma escala grande - lutando diretamente entre os dois lados, mas cada um apoiou as principais guerras regionais conhecidas co"&amp;"mo guerras por procuração.")</f>
        <v> A Guerra Fria era um estado de tensão geopolítica após a Segunda Guerra Mundial entre os poderes no bloco oriental (a União Soviética e seus estados satélites) e poderes no bloco ocidental (Estados Unidos, seus aliados da OTAN e outros). Os historiadores não concordam completamente nas datas, mas um período comum é o período entre 1947, ano em que a Doutrina Truman, uma Política Externa dos EUA que se comprometeu às nações de ajuda ameaçada pelo expansionismo soviético, foi anunciado e, em 1989, quando o comunismo caiu no leste Europa, ou 1991, quando a União Soviética entrou em colapso. O termo `` frio '' é usado porque não havia uma escala grande - lutando diretamente entre os dois lados, mas cada um apoiou as principais guerras regionais conhecidas como guerras por procuração.</v>
      </c>
      <c r="I196" s="3" t="str">
        <f>IFERROR(__xludf.DUMMYFUNCTION("GOOGLETRANSLATE(E196)"),"#VALUE!")</f>
        <v>#VALUE!</v>
      </c>
    </row>
    <row r="197" ht="15.75" customHeight="1">
      <c r="A197" s="1">
        <v>195.0</v>
      </c>
      <c r="B197" s="3" t="s">
        <v>725</v>
      </c>
      <c r="C197" s="3" t="s">
        <v>726</v>
      </c>
      <c r="D197" s="3" t="s">
        <v>727</v>
      </c>
      <c r="E197" s="3" t="s">
        <v>728</v>
      </c>
      <c r="F197" s="3" t="str">
        <f>IFERROR(__xludf.DUMMYFUNCTION("GOOGLETRANSLATE(B197)")," Religião na União Soviética")</f>
        <v> Religião na União Soviética</v>
      </c>
      <c r="G197" s="3" t="str">
        <f>IFERROR(__xludf.DUMMYFUNCTION("GOOGLETRANSLATE(C197)"),"Qual era a religião oficial da União Soviética")</f>
        <v>Qual era a religião oficial da União Soviética</v>
      </c>
      <c r="H197" s="3" t="str">
        <f>IFERROR(__xludf.DUMMYFUNCTION("GOOGLETRANSLATE(D197)")," A União Soviética foi estabelecida pelos bolcheviques em 1922, no lugar do Império Russo. Na época da Revolução de 1917, a Igreja Ortodoxa Russa estava profundamente integrada ao estado autocrático, desfrutando do status oficial. Esse foi um fator signif"&amp;"icativo que contribuiu para a atitude bolchevique em relação à religião e aos passos que eles tomaram para controlá -lo. Assim, a URSS se tornou o primeiro estado a ter como objetivo de sua ideologia oficial a eliminação da religião existente e a prevençã"&amp;"o do implantamento futuro da crença religiosa, com o objetivo de estabelecer o ateísmo do estado (Gosateizm). Sob a doutrina do ateísmo do Estado na União Soviética, havia um `` Programa de conversão do governo - patrocinado pelo ateísmo '', conduzido pel"&amp;"os comunistas. O regime comunista direcionou as religiões com base nos interesses do Estado e, embora a maioria das religiões organizadas nunca tenha sido proibida, a propriedade religiosa foi confiscada, os crentes foram assediados e a religião foi ridic"&amp;"ularizada enquanto o ateísmo era propagado nas escolas. Em 1925, o governo fundou a Liga dos Ateus Militantes para intensificar a perseguição. Consequentemente, embora as expressões pessoais de fé religiosa não tenham sido explicitamente proibidas, um for"&amp;"te senso de estigma social foi imposto a eles pelas estruturas oficiais e pela mídia de massa e geralmente era considerado inaceitável para membros de certas profissões (professores, burocratas estaduais, soldados) para ser abertamente religioso.")</f>
        <v> A União Soviética foi estabelecida pelos bolcheviques em 1922, no lugar do Império Russo. Na época da Revolução de 1917, a Igreja Ortodoxa Russa estava profundamente integrada ao estado autocrático, desfrutando do status oficial. Esse foi um fator significativo que contribuiu para a atitude bolchevique em relação à religião e aos passos que eles tomaram para controlá -lo. Assim, a URSS se tornou o primeiro estado a ter como objetivo de sua ideologia oficial a eliminação da religião existente e a prevenção do implantamento futuro da crença religiosa, com o objetivo de estabelecer o ateísmo do estado (Gosateizm). Sob a doutrina do ateísmo do Estado na União Soviética, havia um `` Programa de conversão do governo - patrocinado pelo ateísmo '', conduzido pelos comunistas. O regime comunista direcionou as religiões com base nos interesses do Estado e, embora a maioria das religiões organizadas nunca tenha sido proibida, a propriedade religiosa foi confiscada, os crentes foram assediados e a religião foi ridicularizada enquanto o ateísmo era propagado nas escolas. Em 1925, o governo fundou a Liga dos Ateus Militantes para intensificar a perseguição. Consequentemente, embora as expressões pessoais de fé religiosa não tenham sido explicitamente proibidas, um forte senso de estigma social foi imposto a eles pelas estruturas oficiais e pela mídia de massa e geralmente era considerado inaceitável para membros de certas profissões (professores, burocratas estaduais, soldados) para ser abertamente religioso.</v>
      </c>
      <c r="I197" s="3" t="str">
        <f>IFERROR(__xludf.DUMMYFUNCTION("GOOGLETRANSLATE(E197)"),"ateísmo")</f>
        <v>ateísmo</v>
      </c>
    </row>
    <row r="198" ht="15.75" customHeight="1">
      <c r="A198" s="1">
        <v>196.0</v>
      </c>
      <c r="B198" s="3" t="s">
        <v>729</v>
      </c>
      <c r="C198" s="3" t="s">
        <v>730</v>
      </c>
      <c r="D198" s="3" t="s">
        <v>731</v>
      </c>
      <c r="F198" s="3" t="str">
        <f>IFERROR(__xludf.DUMMYFUNCTION("GOOGLETRANSLATE(B198)")," Variáveis ​​dependentes e independentes")</f>
        <v> Variáveis ​​dependentes e independentes</v>
      </c>
      <c r="G198" s="3" t="str">
        <f>IFERROR(__xludf.DUMMYFUNCTION("GOOGLETRANSLATE(C198)"),"uma variável que mede um resultado ou resultado de um estudo")</f>
        <v>uma variável que mede um resultado ou resultado de um estudo</v>
      </c>
      <c r="H198" s="3" t="str">
        <f>IFERROR(__xludf.DUMMYFUNCTION("GOOGLETRANSLATE(D198)")," Na modelagem matemática, modelagem estatística e ciências experimentais, os valores de variáveis ​​dependentes dependem dos valores de variáveis ​​independentes. As variáveis ​​dependentes representam a saída ou resultado cuja variação está sendo estudad"&amp;"a. As variáveis ​​independentes representam entradas ou causas, isto é, possíveis razões para variação ou, no cenário experimental, a variável controlada pelo pesquisador. Modelos e experimentos testam ou determinam os efeitos que as variáveis ​​independe"&amp;"ntes têm nas variáveis ​​dependentes. Às vezes, variáveis ​​independentes podem ser incluídas por outros motivos, como para seu potencial efeito de confusão, sem o desejo de testar seu efeito diretamente.")</f>
        <v> Na modelagem matemática, modelagem estatística e ciências experimentais, os valores de variáveis ​​dependentes dependem dos valores de variáveis ​​independentes. As variáveis ​​dependentes representam a saída ou resultado cuja variação está sendo estudada. As variáveis ​​independentes representam entradas ou causas, isto é, possíveis razões para variação ou, no cenário experimental, a variável controlada pelo pesquisador. Modelos e experimentos testam ou determinam os efeitos que as variáveis ​​independentes têm nas variáveis ​​dependentes. Às vezes, variáveis ​​independentes podem ser incluídas por outros motivos, como para seu potencial efeito de confusão, sem o desejo de testar seu efeito diretamente.</v>
      </c>
      <c r="I198" s="3" t="str">
        <f>IFERROR(__xludf.DUMMYFUNCTION("GOOGLETRANSLATE(E198)"),"#VALUE!")</f>
        <v>#VALUE!</v>
      </c>
    </row>
    <row r="199" ht="15.75" customHeight="1">
      <c r="A199" s="1">
        <v>197.0</v>
      </c>
      <c r="B199" s="3" t="s">
        <v>732</v>
      </c>
      <c r="C199" s="3" t="s">
        <v>733</v>
      </c>
      <c r="D199" s="3" t="s">
        <v>734</v>
      </c>
      <c r="E199" s="3" t="s">
        <v>735</v>
      </c>
      <c r="F199" s="3" t="str">
        <f>IFERROR(__xludf.DUMMYFUNCTION("GOOGLETRANSLATE(B199)")," Pequena coisa louca chamada amor")</f>
        <v> Pequena coisa louca chamada amor</v>
      </c>
      <c r="G199" s="3" t="str">
        <f>IFERROR(__xludf.DUMMYFUNCTION("GOOGLETRANSLATE(C199)"),"Quem escreveu Little Crazy Whit chamado Love Original Artist")</f>
        <v>Quem escreveu Little Crazy Whit chamado Love Original Artist</v>
      </c>
      <c r="H199" s="3" t="str">
        <f>IFERROR(__xludf.DUMMYFUNCTION("GOOGLETRANSLATE(D199)")," `` Crazy Little Thing chamado Love '' é uma música da banda de rock britânica Queen. Escrito por Freddie Mercury em 1979, a faixa está incluída em seu álbum de 1980, The Game, e também aparece no álbum de compilação da banda, Greatest Hits em 1981. A mús"&amp;"ica atingiu o número dois na parada de singles do Reino Unido em 1979 e se tornou o primeiro número do grupo - um single no Billboard Hot 100 nos EUA em 1980, permanecendo lá por quatro semanas consecutivas. Ele liderou as paradas da ARIA australiana por "&amp;"sete semanas.")</f>
        <v> `` Crazy Little Thing chamado Love '' é uma música da banda de rock britânica Queen. Escrito por Freddie Mercury em 1979, a faixa está incluída em seu álbum de 1980, The Game, e também aparece no álbum de compilação da banda, Greatest Hits em 1981. A música atingiu o número dois na parada de singles do Reino Unido em 1979 e se tornou o primeiro número do grupo - um single no Billboard Hot 100 nos EUA em 1980, permanecendo lá por quatro semanas consecutivas. Ele liderou as paradas da ARIA australiana por sete semanas.</v>
      </c>
      <c r="I199" s="3" t="str">
        <f>IFERROR(__xludf.DUMMYFUNCTION("GOOGLETRANSLATE(E199)"),"Freddie Mercury")</f>
        <v>Freddie Mercury</v>
      </c>
    </row>
    <row r="200" ht="15.75" customHeight="1">
      <c r="A200" s="1">
        <v>198.0</v>
      </c>
      <c r="B200" s="3" t="s">
        <v>736</v>
      </c>
      <c r="C200" s="3" t="s">
        <v>737</v>
      </c>
      <c r="D200" s="3" t="s">
        <v>738</v>
      </c>
      <c r="F200" s="3" t="str">
        <f>IFERROR(__xludf.DUMMYFUNCTION("GOOGLETRANSLATE(B200)")," The Chase (US Game Show)")</f>
        <v> The Chase (US Game Show)</v>
      </c>
      <c r="G200" s="3" t="str">
        <f>IFERROR(__xludf.DUMMYFUNCTION("GOOGLETRANSLATE(C200)"),"é o show de jogo The Chase ainda na TV")</f>
        <v>é o show de jogo The Chase ainda na TV</v>
      </c>
      <c r="H200" s="3" t="str">
        <f>IFERROR(__xludf.DUMMYFUNCTION("GOOGLETRANSLATE(D200)")," Depois que a Fox passou a oportunidade de adicionar a série à sua programação, a Game Show Network (GSN), em conjunto com a ITV Studios America, pegou a série com uma ordem de oito - episódios em 9 de abril de 2013 e anunciou Brooke Burns como o Mostrar "&amp;"anfitrião e Labbett como o caçador em 29 de maio. Dan Patrick havia sido originalmente considerado o anfitrião. A primeira temporada estreou em 6 de agosto de 2013. Embora o programa ainda não tivesse estreado na época, a rede encomendou uma segunda tempo"&amp;"rada de oito episódios em 1º de julho de 2013, que estreou em 5 de novembro. Citando o status da série como um fenômeno de `` classificações '', a GSN acabou anunciando planos de renová -lo para uma terceira temporada, que estreou no verão de 2014. Durant"&amp;"e a terceira temporada, a série também estreou sua primeira edição de celebridades com os concorrentes de celebridades jogando para caridade. A GSN passou a renovar a série para uma quarta temporada antes do final da terceira temporada; Esta nova temporad"&amp;"a começou a ser exibida em 27 de janeiro de 2015. Após o sétimo episódio da temporada, a série continuou em outro hiato; Novos episódios da quarta temporada foram exibidos em 16 de julho de 2015. Nenhum novo episódio foi ao ar desde o final da quarta temp"&amp;"orada, que foi ao ar em 11 de dezembro de 2015.")</f>
        <v> Depois que a Fox passou a oportunidade de adicionar a série à sua programação, a Game Show Network (GSN), em conjunto com a ITV Studios America, pegou a série com uma ordem de oito - episódios em 9 de abril de 2013 e anunciou Brooke Burns como o Mostrar anfitrião e Labbett como o caçador em 29 de maio. Dan Patrick havia sido originalmente considerado o anfitrião. A primeira temporada estreou em 6 de agosto de 2013. Embora o programa ainda não tivesse estreado na época, a rede encomendou uma segunda temporada de oito episódios em 1º de julho de 2013, que estreou em 5 de novembro. Citando o status da série como um fenômeno de `` classificações '', a GSN acabou anunciando planos de renová -lo para uma terceira temporada, que estreou no verão de 2014. Durante a terceira temporada, a série também estreou sua primeira edição de celebridades com os concorrentes de celebridades jogando para caridade. A GSN passou a renovar a série para uma quarta temporada antes do final da terceira temporada; Esta nova temporada começou a ser exibida em 27 de janeiro de 2015. Após o sétimo episódio da temporada, a série continuou em outro hiato; Novos episódios da quarta temporada foram exibidos em 16 de julho de 2015. Nenhum novo episódio foi ao ar desde o final da quarta temporada, que foi ao ar em 11 de dezembro de 2015.</v>
      </c>
      <c r="I200" s="3" t="str">
        <f>IFERROR(__xludf.DUMMYFUNCTION("GOOGLETRANSLATE(E200)"),"#VALUE!")</f>
        <v>#VALUE!</v>
      </c>
    </row>
    <row r="201" ht="15.75" customHeight="1">
      <c r="A201" s="1">
        <v>199.0</v>
      </c>
      <c r="B201" s="3" t="s">
        <v>739</v>
      </c>
      <c r="C201" s="3" t="s">
        <v>740</v>
      </c>
      <c r="D201" s="3" t="s">
        <v>741</v>
      </c>
      <c r="E201" s="3" t="s">
        <v>109</v>
      </c>
      <c r="F201" s="3" t="str">
        <f>IFERROR(__xludf.DUMMYFUNCTION("GOOGLETRANSLATE(B201)")," O Good Doctor (série de TV)")</f>
        <v> O Good Doctor (série de TV)</v>
      </c>
      <c r="G201" s="3" t="str">
        <f>IFERROR(__xludf.DUMMYFUNCTION("GOOGLETRANSLATE(C201)"),"Quem é o ator que interpreta o bom dr")</f>
        <v>Quem é o ator que interpreta o bom dr</v>
      </c>
      <c r="H201" s="3" t="str">
        <f>IFERROR(__xludf.DUMMYFUNCTION("GOOGLETRANSLATE(D201)")," A série é estrelada por Freddie Highmore como Shaun Murphy, um jovem residente cirúrgico com autismo e síndrome do Savant no Hospital San Jose St. Bonaventure. Antonia Thomas, Nicholas Gonzalez, Beau Garrett, Hill Harper, Richard Schiff e Tamlyn Tomita t"&amp;"ambém estrelam o show. A série recebeu um compromisso piloto na ABC depois que uma série anterior não avançou nos estúdios da CBS Television em 2015; O bom médico recebeu ordem de série em maio de 2017. Em 3 de outubro de 2017, a ABC pegou a série para um"&amp;"a temporada completa de 18 episódios. A série é filmada principalmente em Vancouver, Colúmbia Britânica.")</f>
        <v> A série é estrelada por Freddie Highmore como Shaun Murphy, um jovem residente cirúrgico com autismo e síndrome do Savant no Hospital San Jose St. Bonaventure. Antonia Thomas, Nicholas Gonzalez, Beau Garrett, Hill Harper, Richard Schiff e Tamlyn Tomita também estrelam o show. A série recebeu um compromisso piloto na ABC depois que uma série anterior não avançou nos estúdios da CBS Television em 2015; O bom médico recebeu ordem de série em maio de 2017. Em 3 de outubro de 2017, a ABC pegou a série para uma temporada completa de 18 episódios. A série é filmada principalmente em Vancouver, Colúmbia Britânica.</v>
      </c>
      <c r="I201" s="3" t="str">
        <f>IFERROR(__xludf.DUMMYFUNCTION("GOOGLETRANSLATE(E201)"),"Freddie Highmore")</f>
        <v>Freddie Highmore</v>
      </c>
    </row>
    <row r="202" ht="15.75" customHeight="1">
      <c r="A202" s="1">
        <v>200.0</v>
      </c>
      <c r="B202" s="3" t="s">
        <v>742</v>
      </c>
      <c r="C202" s="3" t="s">
        <v>743</v>
      </c>
      <c r="D202" s="3" t="s">
        <v>744</v>
      </c>
      <c r="E202" s="3" t="s">
        <v>745</v>
      </c>
      <c r="F202" s="3" t="str">
        <f>IFERROR(__xludf.DUMMYFUNCTION("GOOGLETRANSLATE(B202)")," Visão baseada em recursos")</f>
        <v> Visão baseada em recursos</v>
      </c>
      <c r="G202" s="3" t="str">
        <f>IFERROR(__xludf.DUMMYFUNCTION("GOOGLETRANSLATE(C202)"),"A visão baseada em recursos da empresa (RBV School) é")</f>
        <v>A visão baseada em recursos da empresa (RBV School) é</v>
      </c>
      <c r="H202" s="3" t="str">
        <f>IFERROR(__xludf.DUMMYFUNCTION("GOOGLETRANSLATE(D202)")," A visão baseada em recursos (RBV) é uma ferramenta econômica usada para determinar os recursos estratégicos disponíveis para uma empresa. Esses recursos podem ser explorados pela empresa para obter vantagem competitiva sustentável. Barney (1991) formaliz"&amp;"ou essa teoria, embora tenha sido Wernerfelt (1984) que introduziu a idéia de barreiras de posição de recursos sendo aproximadamente análoga às barreiras de entrada na escola de posicionamento (ver Porter, 1980). A RBV propôs que as empresas fossem hetero"&amp;"gêneas porque possuem recursos heterogênicos.")</f>
        <v> A visão baseada em recursos (RBV) é uma ferramenta econômica usada para determinar os recursos estratégicos disponíveis para uma empresa. Esses recursos podem ser explorados pela empresa para obter vantagem competitiva sustentável. Barney (1991) formalizou essa teoria, embora tenha sido Wernerfelt (1984) que introduziu a idéia de barreiras de posição de recursos sendo aproximadamente análoga às barreiras de entrada na escola de posicionamento (ver Porter, 1980). A RBV propôs que as empresas fossem heterogêneas porque possuem recursos heterogênicos.</v>
      </c>
      <c r="I202" s="3" t="str">
        <f>IFERROR(__xludf.DUMMYFUNCTION("GOOGLETRANSLATE(E202)"),"Uma ferramenta econômica usada para determinar os recursos estratégicos disponíveis para uma empresa")</f>
        <v>Uma ferramenta econômica usada para determinar os recursos estratégicos disponíveis para uma empresa</v>
      </c>
    </row>
    <row r="203" ht="15.75" customHeight="1">
      <c r="A203" s="1">
        <v>201.0</v>
      </c>
      <c r="B203" s="3" t="s">
        <v>746</v>
      </c>
      <c r="C203" s="3" t="s">
        <v>747</v>
      </c>
      <c r="D203" s="3" t="s">
        <v>748</v>
      </c>
      <c r="E203" s="3" t="s">
        <v>749</v>
      </c>
      <c r="F203" s="3" t="str">
        <f>IFERROR(__xludf.DUMMYFUNCTION("GOOGLETRANSLATE(B203)")," Mielina")</f>
        <v> Mielina</v>
      </c>
      <c r="G203" s="3" t="str">
        <f>IFERROR(__xludf.DUMMYFUNCTION("GOOGLETRANSLATE(C203)"),"A bainha de mielina que cobre muitos axônios do SNC é formada por")</f>
        <v>A bainha de mielina que cobre muitos axônios do SNC é formada por</v>
      </c>
      <c r="H203" s="3" t="str">
        <f>IFERROR(__xludf.DUMMYFUNCTION("GOOGLETRANSLATE(D203)")," A mielina é uma substância lipídica - rica (gordurosa) formada no sistema nervoso central (SNC) por células gliais chamadas oligodendrócitos e no sistema nervoso periférico (PNS) pelas células Schwann. A mielina isola os axônios das células nervosas para"&amp;" aumentar a velocidade na qual as informações (codificadas como um sinal elétrico) viajam de um corpo celular nervoso para outro (como no SNC) ou, por exemplo, de um corpo da célula nervosa para um músculo (como no PNS). O axônio mielinizado pode ser comp"&amp;"arado a um fio elétrico (o axônio) com material isolante (mielina) ao redor dele. No entanto, diferentemente da cobertura de plástico em um fio elétrico, a mielina não forma uma única bainha longa em todo o comprimento do axônio. Em vez disso, cada bainha"&amp;" de mielina isola o axônio sobre uma única seção e, em geral, cada axônio compreende várias seções mielinizadas longas, separadas uma da outra por lacunas curtas. Cada bainha de mielina é formada pela embalagem concêntrica de um processo de células oligod"&amp;"endrócitos ou Schwann ao redor do axônio.")</f>
        <v> A mielina é uma substância lipídica - rica (gordurosa) formada no sistema nervoso central (SNC) por células gliais chamadas oligodendrócitos e no sistema nervoso periférico (PNS) pelas células Schwann. A mielina isola os axônios das células nervosas para aumentar a velocidade na qual as informações (codificadas como um sinal elétrico) viajam de um corpo celular nervoso para outro (como no SNC) ou, por exemplo, de um corpo da célula nervosa para um músculo (como no PNS). O axônio mielinizado pode ser comparado a um fio elétrico (o axônio) com material isolante (mielina) ao redor dele. No entanto, diferentemente da cobertura de plástico em um fio elétrico, a mielina não forma uma única bainha longa em todo o comprimento do axônio. Em vez disso, cada bainha de mielina isola o axônio sobre uma única seção e, em geral, cada axônio compreende várias seções mielinizadas longas, separadas uma da outra por lacunas curtas. Cada bainha de mielina é formada pela embalagem concêntrica de um processo de células oligodendrócitos ou Schwann ao redor do axônio.</v>
      </c>
      <c r="I203" s="3" t="str">
        <f>IFERROR(__xludf.DUMMYFUNCTION("GOOGLETRANSLATE(E203)"),"A embalagem concêntrica de um processo de oligodendrócitos ou células de Schwann ao redor do axônio")</f>
        <v>A embalagem concêntrica de um processo de oligodendrócitos ou células de Schwann ao redor do axônio</v>
      </c>
    </row>
    <row r="204" ht="15.75" customHeight="1">
      <c r="A204" s="1">
        <v>202.0</v>
      </c>
      <c r="B204" s="3" t="s">
        <v>750</v>
      </c>
      <c r="C204" s="3" t="s">
        <v>751</v>
      </c>
      <c r="D204" s="3" t="s">
        <v>752</v>
      </c>
      <c r="F204" s="3" t="str">
        <f>IFERROR(__xludf.DUMMYFUNCTION("GOOGLETRANSLATE(B204)")," O sapo e o boi")</f>
        <v> O sapo e o boi</v>
      </c>
      <c r="G204" s="3" t="str">
        <f>IFERROR(__xludf.DUMMYFUNCTION("GOOGLETRANSLATE(C204)"),"a história do sapo e o boi")</f>
        <v>a história do sapo e o boi</v>
      </c>
      <c r="H204" s="3" t="str">
        <f>IFERROR(__xludf.DUMMYFUNCTION("GOOGLETRANSLATE(D204)")," O sapo e o boi aparecem entre as fábulas de Esopo e são numerados 376 no índice Perry. A história diz respeito a um sapo que tenta se inflar ao tamanho de um boi, mas explode na tentativa. Geralmente foi aplicado às relações econômicas.")</f>
        <v> O sapo e o boi aparecem entre as fábulas de Esopo e são numerados 376 no índice Perry. A história diz respeito a um sapo que tenta se inflar ao tamanho de um boi, mas explode na tentativa. Geralmente foi aplicado às relações econômicas.</v>
      </c>
      <c r="I204" s="3" t="str">
        <f>IFERROR(__xludf.DUMMYFUNCTION("GOOGLETRANSLATE(E204)"),"#VALUE!")</f>
        <v>#VALUE!</v>
      </c>
    </row>
    <row r="205" ht="15.75" customHeight="1">
      <c r="A205" s="1">
        <v>203.0</v>
      </c>
      <c r="B205" s="3" t="s">
        <v>753</v>
      </c>
      <c r="C205" s="3" t="s">
        <v>754</v>
      </c>
      <c r="D205" s="3" t="s">
        <v>755</v>
      </c>
      <c r="E205" s="3" t="s">
        <v>756</v>
      </c>
      <c r="F205" s="3" t="str">
        <f>IFERROR(__xludf.DUMMYFUNCTION("GOOGLETRANSLATE(B205)")," A fábrica de vespas")</f>
        <v> A fábrica de vespas</v>
      </c>
      <c r="G205" s="3" t="str">
        <f>IFERROR(__xludf.DUMMYFUNCTION("GOOGLETRANSLATE(C205)"),"quem faz Frank matam na fábrica de vespas")</f>
        <v>quem faz Frank matam na fábrica de vespas</v>
      </c>
      <c r="H205" s="3" t="str">
        <f>IFERROR(__xludf.DUMMYFUNCTION("GOOGLETRANSLATE(D205)")," É revelado que, quando Frank era muito mais jovem, ele matou três de seus parentes: dois primos e seu irmão mais novo. Ele também exumou o crânio do cachorro que o castrou, e ele o usa como parte de seus rituais.")</f>
        <v> É revelado que, quando Frank era muito mais jovem, ele matou três de seus parentes: dois primos e seu irmão mais novo. Ele também exumou o crânio do cachorro que o castrou, e ele o usa como parte de seus rituais.</v>
      </c>
      <c r="I205" s="3" t="str">
        <f>IFERROR(__xludf.DUMMYFUNCTION("GOOGLETRANSLATE(E205)"),"Três de seus parentes: dois primos e seu irmão mais novo")</f>
        <v>Três de seus parentes: dois primos e seu irmão mais novo</v>
      </c>
    </row>
    <row r="206" ht="15.75" customHeight="1">
      <c r="A206" s="1">
        <v>204.0</v>
      </c>
      <c r="B206" s="3" t="s">
        <v>757</v>
      </c>
      <c r="C206" s="3" t="s">
        <v>758</v>
      </c>
      <c r="D206" s="3" t="s">
        <v>759</v>
      </c>
      <c r="F206" s="3" t="str">
        <f>IFERROR(__xludf.DUMMYFUNCTION("GOOGLETRANSLATE(B206)")," Equipes do ano do ensino médio de natação")</f>
        <v> Equipes do ano do ensino médio de natação</v>
      </c>
      <c r="G206" s="3" t="str">
        <f>IFERROR(__xludf.DUMMYFUNCTION("GOOGLETRANSLATE(C206)"),"Equipes do ano do ensino médio de natação")</f>
        <v>Equipes do ano do ensino médio de natação</v>
      </c>
      <c r="H206" s="3" t="str">
        <f>IFERROR(__xludf.DUMMYFUNCTION("GOOGLETRANSLATE(D206)"),"   Year Boys HS HS Prep Girls HS Girls Prep 1971 Prep N / A N / A N / A 1972 St Hilary N / A N / A N / A 1973 Prep N / A N / A N / A Santa Clara N / A N / A N / A Santa Clara N / A N / A N / A 1976 Jacksonville Episcopal N / A Upper Dublin N / A 1977 Miss"&amp;"ion Viejo The Peddie School Mission Viejo N / A 1978 Mission Viejo Jesuíta Missão Viejo N / A 1979 Mission Viejo The Hill School Mission Viejo n / A 1980 Mission Viejo Loyola - Blakefield   Mission Viejo   N / A     1981   Mission Viejo   Mercersburg   Mi"&amp;"ssion Viejo   N / A     1982   Mission Viejo   Mercersburg   Mission Viejo   The Peddie School       Mission Viejo   Mercersburg   Mission Viejo   Mercersburg     1984   Campolindo   Mercersburg   Mission Viejo   The Bolles School     1985   Mission Viejo"&amp;"   Germantown Academy   Mission Viejo   The Bolles School 1986 Missão Viejo Missão da Academia da Academia Viejo Missão da Academia da Academia Viejo Mercersburgo Academia de Germantown Academia Hinsdale Mercersburgo Edina St. Andrews Churchill Bellarmine"&amp;" Prep Mission Viejo A Peddie School Churchill The Peddie School North Penn A Peddie School 1991 Marino Pedd The Peddie School Churchill The Peddie School North Mc. Escola Plano St. Xavier Americus Germantown Academia humilde jesuíta Kingwood Davis Pine Cr"&amp;"est Humble Kingwood St. Xavier Davis Germantown Academy 1995 humilde Kingwood A Peddie School Carmel The Bolles School School Cypress Creek School School Carmel The Bolles School Cypress Creek Brother Rice Rice Mountain The Bolles 1998 The Woodlands The B"&amp;"olles School Carmel The Bolles School 1999 The Woodlands The Bolles School St. Charles Trinity Prep 2000 Firestone The Bolles School St. Charles The Bolles School Evanston Township St. Xavier Irvine Ursuline Academy 2002 Firestone St. Xavier Irvine Ursuli"&amp;"ne Academy 2003 Lake 2003 Forest St. Xavier Ann Arbor Pioneer Ursuline Academy Carmel St. Xavier Floresta do lago The Bolles School 2005 Upper Arlington Brophy Prep Ann Arbor Pioneer Germantown Academy 2006 Humble Kingwood A Bolles School Westlake Germant"&amp;"Own academy 2007 Trier Bellarmine PrespiniPrinArtLake GermantOwn A Academia Baylor School Austin Westlake Academia Germantown 2009 Saratoga High The Baylor School Carmel The Baylor School Hershey High The Bolles School Carmel Carondelet 2011 Hershey High "&amp;"The Bolles School Carmel The Bolles School 2012 A Carm JSERRA CATÓLICO 2014 Chesterton The Bolles School Carmel Crean Lutheran 2015 Upper St. Clair The Bolles School Carmel Crean Lutheran 2016 Upper Dublin La Salle Carmel Sagred Heart 2017 Carmel Cincinna"&amp;"ti St. Xavier Carmel Santa Margarita Católica Católica")</f>
        <v>   Year Boys HS HS Prep Girls HS Girls Prep 1971 Prep N / A N / A N / A 1972 St Hilary N / A N / A N / A 1973 Prep N / A N / A N / A Santa Clara N / A N / A N / A Santa Clara N / A N / A N / A 1976 Jacksonville Episcopal N / A Upper Dublin N / A 1977 Mission Viejo The Peddie School Mission Viejo N / A 1978 Mission Viejo Jesuíta Missão Viejo N / A 1979 Mission Viejo The Hill School Mission Viejo n / A 1980 Mission Viejo Loyola - Blakefield   Mission Viejo   N / A     1981   Mission Viejo   Mercersburg   Mission Viejo   N / A     1982   Mission Viejo   Mercersburg   Mission Viejo   The Peddie School       Mission Viejo   Mercersburg   Mission Viejo   Mercersburg     1984   Campolindo   Mercersburg   Mission Viejo   The Bolles School     1985   Mission Viejo   Germantown Academy   Mission Viejo   The Bolles School 1986 Missão Viejo Missão da Academia da Academia Viejo Missão da Academia da Academia Viejo Mercersburgo Academia de Germantown Academia Hinsdale Mercersburgo Edina St. Andrews Churchill Bellarmine Prep Mission Viejo A Peddie School Churchill The Peddie School North Penn A Peddie School 1991 Marino Pedd The Peddie School Churchill The Peddie School North Mc. Escola Plano St. Xavier Americus Germantown Academia humilde jesuíta Kingwood Davis Pine Crest Humble Kingwood St. Xavier Davis Germantown Academy 1995 humilde Kingwood A Peddie School Carmel The Bolles School School Cypress Creek School School Carmel The Bolles School Cypress Creek Brother Rice Rice Mountain The Bolles 1998 The Woodlands The Bolles School Carmel The Bolles School 1999 The Woodlands The Bolles School St. Charles Trinity Prep 2000 Firestone The Bolles School St. Charles The Bolles School Evanston Township St. Xavier Irvine Ursuline Academy 2002 Firestone St. Xavier Irvine Ursuline Academy 2003 Lake 2003 Forest St. Xavier Ann Arbor Pioneer Ursuline Academy Carmel St. Xavier Floresta do lago The Bolles School 2005 Upper Arlington Brophy Prep Ann Arbor Pioneer Germantown Academy 2006 Humble Kingwood A Bolles School Westlake GermantOwn academy 2007 Trier Bellarmine PrespiniPrinArtLake GermantOwn A Academia Baylor School Austin Westlake Academia Germantown 2009 Saratoga High The Baylor School Carmel The Baylor School Hershey High The Bolles School Carmel Carondelet 2011 Hershey High The Bolles School Carmel The Bolles School 2012 A Carm JSERRA CATÓLICO 2014 Chesterton The Bolles School Carmel Crean Lutheran 2015 Upper St. Clair The Bolles School Carmel Crean Lutheran 2016 Upper Dublin La Salle Carmel Sagred Heart 2017 Carmel Cincinnati St. Xavier Carmel Santa Margarita Católica Católica</v>
      </c>
      <c r="I206" s="3" t="str">
        <f>IFERROR(__xludf.DUMMYFUNCTION("GOOGLETRANSLATE(E206)"),"#VALUE!")</f>
        <v>#VALUE!</v>
      </c>
    </row>
    <row r="207" ht="15.75" customHeight="1">
      <c r="A207" s="1">
        <v>205.0</v>
      </c>
      <c r="B207" s="3" t="s">
        <v>760</v>
      </c>
      <c r="C207" s="3" t="s">
        <v>761</v>
      </c>
      <c r="D207" s="3" t="s">
        <v>762</v>
      </c>
      <c r="F207" s="3" t="str">
        <f>IFERROR(__xludf.DUMMYFUNCTION("GOOGLETRANSLATE(B207)")," No ano de nosso Senhor")</f>
        <v> No ano de nosso Senhor</v>
      </c>
      <c r="G207" s="3" t="str">
        <f>IFERROR(__xludf.DUMMYFUNCTION("GOOGLETRANSLATE(C207)"),"Qual é o significado de AD e BC")</f>
        <v>Qual é o significado de AD e BC</v>
      </c>
      <c r="H207" s="3" t="str">
        <f>IFERROR(__xludf.DUMMYFUNCTION("GOOGLETRANSLATE(D207)")," Os termos Anno Domini (AD) e antes de Cristo (BC) são usados ​​para rotular ou número de anos nos calendários julianos e gregorianos. O termo Anno Domini é latim medieval e significa `` no ano do Senhor '', mas é frequentemente apresentado usando `` noss"&amp;"o Senhor '' em vez de `` o Senhor '', retirado da frase original `` Anno Domini Nostri Jesu Christi '', que se traduz em `` no ano de nosso Senhor Jesus Cristo ''.")</f>
        <v> Os termos Anno Domini (AD) e antes de Cristo (BC) são usados ​​para rotular ou número de anos nos calendários julianos e gregorianos. O termo Anno Domini é latim medieval e significa `` no ano do Senhor '', mas é frequentemente apresentado usando `` nosso Senhor '' em vez de `` o Senhor '', retirado da frase original `` Anno Domini Nostri Jesu Christi '', que se traduz em `` no ano de nosso Senhor Jesus Cristo ''.</v>
      </c>
      <c r="I207" s="3" t="str">
        <f>IFERROR(__xludf.DUMMYFUNCTION("GOOGLETRANSLATE(E207)"),"#VALUE!")</f>
        <v>#VALUE!</v>
      </c>
    </row>
    <row r="208" ht="15.75" customHeight="1">
      <c r="A208" s="1">
        <v>206.0</v>
      </c>
      <c r="B208" s="3" t="s">
        <v>67</v>
      </c>
      <c r="C208" s="3" t="s">
        <v>763</v>
      </c>
      <c r="D208" s="3" t="s">
        <v>764</v>
      </c>
      <c r="E208" s="3" t="s">
        <v>70</v>
      </c>
      <c r="F208" s="3" t="str">
        <f>IFERROR(__xludf.DUMMYFUNCTION("GOOGLETRANSLATE(B208)")," Lista de líderes de pontuação na carreira da National Basketball Association")</f>
        <v> Lista de líderes de pontuação na carreira da National Basketball Association</v>
      </c>
      <c r="G208" s="3" t="str">
        <f>IFERROR(__xludf.DUMMYFUNCTION("GOOGLETRANSLATE(C208)"),"quem é o maior goleador da NBA")</f>
        <v>quem é o maior goleador da NBA</v>
      </c>
      <c r="H208" s="3" t="str">
        <f>IFERROR(__xludf.DUMMYFUNCTION("GOOGLETRANSLATE(D208)"),"   A equipe (s) dos jogadores de classificação (s) jogou (s) jogadores (s) de jogos (s) de pontos (s) por pontos de campo, por gols médios, os gols de campo fizeram três - gols de campo fizeram os lances livres fizeram Kareem Abdul - Jabbar * Milwaukee Bu"&amp;"cks (1969 - 1975) Los Angeles Lakers (1975 - 1989) 38.387 1.560 24,6 15.837 6.712 Karl Malone * PF Utah Jazz (1985 - 2003) Los Angeles Lakers (2003 - 2004) 36.928 1,476 25,0 13,528 85 9.787) ) 33.643 1.346 25,0 11.719 1.827 8.378 Michael Jordan * SG Chica"&amp;"go Bulls (1984 - 1993, 1995 - 1998) Washington Wizards (2001 - 2003) 32.292 1.07 30.1 12,192 581 7,327 527 5. - 1965) Philadelphia 76ers (1965 - 1968) Los Angeles Lakers (1968 - 1973) 31.419 1.045 30,1 12.681 0 6.057 6 LeBron James ^ SF / PF Cleveland Cav"&amp;"aliers (2003 - 2014, 2014 - 2018) Miami Heat (2010 - 2014) Los Angeles Lakers (2018- presente) 31.231 1.150 27,2 11.350 1.626 6.905 7 Dirk Nowitzki ^ pf / c Dallas Mavericks (1999- presente) 31.187 1,471 21,2 11,0441.91.201.201818181818181. - 1996) Los An"&amp;"geles Lakers (1996- 2004) Miami Heat (2004- 2008) Phoenix Suns (2008- 2009) Cleveland Cavaliers (2009- 2010) Boston Celtics (2010- 2011) 28.596 1.207 23,7 11.330 5.935 9 Moses Malone * Buffalo Braves (1976) Houston Rockets (1976 - 1982) Philadelphia 76ers"&amp;" (1982 - 1986, 1993 - 1994) Washington Bullets (1986 - 1988) Atlanta Hawks (1988 - 1991) Milwaukee Bucks (1991) - 1993) San Antonio Spurs (1994- 1995) 27.409 1.329 20,6 9.435 8 ​​8.531 10 Elvin Hayes * PF / C San Diego / Houston Rockets (1968- 1972, 1981-"&amp;" 1984) Baltimore / Capital / Washington Bullets (1972) - 1981) 27.313 1.303 21,0 10.976 5 5.356 11 Hakeem Olajuwon * Houston Rockets (1984- 2001) Toronto Raptors (2001- 2002) 26.946 1,238 21,8 10,20 3.423 (OCCARSONCOUSTON * PGELTSONCATSONN * PGELATOMNN (2"&amp;"3010 19 1974, 26010 (2001- 2002) 26.946 1,238 21,8 10. 25. Bucks (1970 - 1974) 26.710 1.040 25,7 9.508 0 7.694 13 Dominique Wilkins * SF Atlanta Hawks (1982 - 1994) Los Angeles Clippers (1994) Boston Celtics (1994 - 1995) Sanonio Spurs (1996 - 1994) Magic"&amp;" (1999) 26.668 1.074 24,8 9.963 711 6.031 14 Tim Duncan PF / C San Antonio Spurs (1997 - 2016) 26.496 1.392 19.0 10.285 30 5.896 15 Paul Pierce SF / Sg Boston Celtics (1999 - 2013) - 2014) Washington Wizards (2014 - 2015) Los Angeles Clippers (2015 - 2017"&amp;") 26.397 1.343 19,7 8.668 2.143 6.918 16 John Havlicek * SF / SG Boston Celtics (1962 - 1978) 26,395 1,270 20. PF / C Minnesota Timberwolves (1995 - 2007, 2015 - 2016) Boston Celtics (2007 - 2013) Brooklyn Nets (2013 - 2015) 26.071 1.462 17,8 10.505 174 4"&amp;".887 18 Alex inglesa * SF Milwaukee Bucks (1976 - 1978 ) Indiana Pacers (1978 - 1980) Denver Nuggets (1980 - 1990) Dallas Mavericks (1990 - 1991) 25.613 1.193 21,5 10.659 18 4.277 19 Carmelo Anthony ^ SF Denver Nuggets (2003 - 2011) Nova York (2011 - - 20"&amp;"17) Oklahoma City Thunder (2017 - 2018) Houston Rockets (2018 - presente) 25.488 1.059 24,1 9.114 1.353 5.907 20 Reggie Miller * SG Indiana Pacers (1987 - 2005) 25.279 1,389 18.2 8,241. / SG Los Angeles Lakers (1960 - 1974) 25.192 932 27,0 9.016 0 7.160 2"&amp;"2 Vince Carter ^ SG / SF Toronto Raptors (1999 - 2004) New Jersey Nets (2004 - 2009) Orlando Magic (2009 - 2010) Phonixix Suns (2010 - 2011) Dallas Mavericks (2011 - 2014) Memphis Grizzlies (2014 - 2017) Sacramento Kings (2017 - 2018) Atlanta Hawks (2018 "&amp;"- presente) 24.915 1.411 York Knicks (1985 - 2000) Seattle Supersonics (2000 - 2001) Orlando Magic (2001 - 2002) 24.815 1.183 21,0 9.702 19 5.392 24 Ray Allen * SG Milwaukee Bucks (1996 - 2003) Seattle Supersonics (2003 - 2007 ) Boston Celtics (2007 - 201"&amp;"2) Miami Heat (2012 - 2014) 24.505 1.300 18,9 8.567 2.973 4.398 25 Allen Iverson * SG / PG Philadelphia 76ers (1996 - 2006, 2009 - 2010) ) Detroit Pistons (2008 - 2009) Memphis Grizzlies (2009) 24.368 914 26,7 8.467 1.059 6.375 26 Charles Barkley * PF Phi"&amp;"ladelphia 76ers (1984 - 1992) Phoenix (1992 - 1996) Houston (1996 - 1996 - 1992) Phoenix (1992 - 1996), Houston (1996 - 1992) - 200). 1.073 22,1 8.435 538 6.349 27 Robert Parish * Golden State Warriors (1976 - 1980) Boston Celtics (1980 - 1994) Charlotte "&amp;"Hornets (1994 - 1996) Chicago Bulls (1996 - 1997) 23.334 1,611 14.5 9,614 00 40r (1996) 2334, 1,611 14.5 9,614 00s. Dantley * SF Buffalo Braves (1976 - 1977) Indiana Pacers (1977) Los Angeles Lakers (1977 - 1979) Utah Jazz (1979 - 1986) Detroit Pistons (1"&amp;"986 - 1989) Dallas Mavericks (1989 - 1990) Milwaukee BUCKS (1991) 23.177 955 24,3 8.169 7 6.832 29 Elgin Baylor * SF Minneapolis / Los Angeles Lakers (1958 - 1971) 23.149 846 27,4 8.693 0 5. - 1998) 22.195 1.086 20,4 8.335 827 4.698 31 Dwyane Wade ^ Sg Mi"&amp;"ami Heat (2003- 2016, 2018- presente) Chicago Bulls (2016- 2017) Cleveland Cavaliers (2017- 2018) 22,155 988 22.4 8,066 42 42 42. 32 Gary Payton * PG Seattle Supersonics (1990 - 2003) Milwaukee Bucks (2003) Los Angeles Lakers (2003 - 2004) Boston Celtics "&amp;"(2004 - 2005) Miami Heat (2005 - 2007) 21.813 1,35 16,3 8,708 1,132 3,263 333333. Larry Bird * SF / PF Boston Celtics (1979 - 1992) 21.791 897 24,3 8.591 649 3,960 34 Hal Greer * SG / PG Syracuse Nationals / Filadelphia 76ers (1958 - 1973) 21,586 1,1222 1"&amp;"9.2.2.20.2.20.2.20 760. Supersonics / Oklahoma City Thunder (2007 -2016) Golden State Warriors (2016 -presente) 21.139 779 27,1 7.178 1.445 5.338 36 Walt Bellamy * Chicago Packers / Zephyrs / Baltimore Bullets (1961 -1965) New York Knicks (1965 - 1968) De"&amp;"troit Pistons (1968 - 1970) Atlanta Hawks (1970 - 1974) New Orleans Jazz (1974) 20.941 1.043 20,1 7.914 0 5.113 37 Bob Pettit * PF / C Milwaukee / St. Louis Hawks (1954 - 1965) 20,80 792 26,4 7.349 0 6.182 38 Pau Gasol ^ C / PF Memphis Grizzlies (2001 - 2"&amp;"008) Los Angeles Lakers (2008 - 2014) Chicago Bulls (2014 - 2016) San Antonio Spurs (2016 - presente) 20.815 1,202 17.3 7,95 176 4.737 39 David Robinson * San Antonio Spurs (1989 - 2003) 20.790 987 21,1 7.365 25 6.035 40 George Gervin * SG / SF San Antoni"&amp;"o Spurs (1976 - 1985) Chicago Bulls (1985 - 1986) 20.708 791 26.2.2. 4.541 41 Mitch Richmond * SG Golden State Warriors (1988 - 1991) Sacramento Kings (1991 - 1998) Washington Wizards (1999 - 2001) Los Angeles Lakers (2001 - 2002) 20.497 976 21.0 7.305 1."&amp;"326 4,561 42 SG / SF Boston Celtics (2001 - 2002) Phoenix Suns (2002 - 2005) Atlanta Hawks (2005 - 2012) Brooklyn Nets (2012 - 2016) Miami Heat (2016) Utah Jazz (2016 - 2018) Houston Rockets (2018) 20.405 1.276 16,0 7.822 1.978 2.783 43 Tom Chambers PF Sa"&amp;"n Diego Clippers (1981 - 1983) Seattle Supersonics (1983 - 1988) Phoenix Suns (1988 - 1993) Utah Jazz (1993 - 1995) Charlotte (1993) ) Philadelphia 76ers (1997) 20.049 1.107 18,1 7.378 227 5.066 44 Jamison Antawn Jamison PF / SF Golden State Warriors (199"&amp;"9 - 2003) Dallas Mavericks (2003 - 2004) Washington (2004) - 2010) Clelaland Cavaliers (2010 - 2010 - 2004) ) Los Angeles Lakers (2012 - 2013) Los Angeles Clippers (2013 - 2014) 20.042 1.083 18,5 7.679 1.163 3.521 45 John Stockton * PG Utah Jazz (1984 - 2"&amp;"003) 19.711 1,504 13.1 7,039 845 Jersey Nets (1977 - 1979, 1993) Utah Jazz (1979) Golden State Warriors (1980 - 1982) New York Knicks (1982 - 1985, 1987) Washington Bullets (1987 - 1991) 19.655 874 22,5 7.830 23 3,972 47 Clifford Robinson PF / SF Portland"&amp;" Trail Blazers (1989 - 1997) Phoenix Suns (1997 - 2001) Detroit Pistons (2001 - 2003) Golden State Warriors (2003 - 2005) New Jersey Nets (2005 - 2007) 19.591 1,380) 14.2 7.389 1.253 3.560 48 Walter Davis SG / SF Phoenix Suns (1977 - 1988) Denver Nuggets "&amp;"(1988 - 1991, 1991 - 1992) Portland Trail Blazers (1991) 19,521 1,033 18.9 8,118 157 3,128 4,28 4,128 49. (1982 - 1984) Milwaukee Bucks (1984 - 1989, 1995 - 1996) San Antonio Spurs (1989 - 1995) Seattle Supersonics (1996 - 1997) Philadelphia 76ers (1997 -"&amp;" 1998) New York Knicks (1998) Golden State Warriors (1999 - 2000.")</f>
        <v>   A equipe (s) dos jogadores de classificação (s) jogou (s) jogadores (s) de jogos (s) de pontos (s) por pontos de campo, por gols médios, os gols de campo fizeram três - gols de campo fizeram os lances livres fizeram Kareem Abdul - Jabbar * Milwaukee Bucks (1969 - 1975) Los Angeles Lakers (1975 - 1989) 38.387 1.560 24,6 15.837 6.712 Karl Malone * PF Utah Jazz (1985 - 2003) Los Angeles Lakers (2003 - 2004) 36.928 1,476 25,0 13,528 85 9.787) ) 33.643 1.346 25,0 11.719 1.827 8.378 Michael Jordan * SG Chicago Bulls (1984 - 1993, 1995 - 1998) Washington Wizards (2001 - 2003) 32.292 1.07 30.1 12,192 581 7,327 527 5. - 1965) Philadelphia 76ers (1965 - 1968) Los Angeles Lakers (1968 - 1973) 31.419 1.045 30,1 12.681 0 6.057 6 LeBron James ^ SF / PF Cleveland Cavaliers (2003 - 2014, 2014 - 2018) Miami Heat (2010 - 2014) Los Angeles Lakers (2018- presente) 31.231 1.150 27,2 11.350 1.626 6.905 7 Dirk Nowitzki ^ pf / c Dallas Mavericks (1999- presente) 31.187 1,471 21,2 11,0441.91.201.201818181818181. - 1996) Los Angeles Lakers (1996- 2004) Miami Heat (2004- 2008) Phoenix Suns (2008- 2009) Cleveland Cavaliers (2009- 2010) Boston Celtics (2010- 2011) 28.596 1.207 23,7 11.330 5.935 9 Moses Malone * Buffalo Braves (1976) Houston Rockets (1976 - 1982) Philadelphia 76ers (1982 - 1986, 1993 - 1994) Washington Bullets (1986 - 1988) Atlanta Hawks (1988 - 1991) Milwaukee Bucks (1991) - 1993) San Antonio Spurs (1994- 1995) 27.409 1.329 20,6 9.435 8 ​​8.531 10 Elvin Hayes * PF / C San Diego / Houston Rockets (1968- 1972, 1981- 1984) Baltimore / Capital / Washington Bullets (1972) - 1981) 27.313 1.303 21,0 10.976 5 5.356 11 Hakeem Olajuwon * Houston Rockets (1984- 2001) Toronto Raptors (2001- 2002) 26.946 1,238 21,8 10,20 3.423 (OCCARSONCOUSTON * PGELTSONCATSONN * PGELATOMNN (23010 19 1974, 26010 (2001- 2002) 26.946 1,238 21,8 10. 25. Bucks (1970 - 1974) 26.710 1.040 25,7 9.508 0 7.694 13 Dominique Wilkins * SF Atlanta Hawks (1982 - 1994) Los Angeles Clippers (1994) Boston Celtics (1994 - 1995) Sanonio Spurs (1996 - 1994) Magic (1999) 26.668 1.074 24,8 9.963 711 6.031 14 Tim Duncan PF / C San Antonio Spurs (1997 - 2016) 26.496 1.392 19.0 10.285 30 5.896 15 Paul Pierce SF / Sg Boston Celtics (1999 - 2013) - 2014) Washington Wizards (2014 - 2015) Los Angeles Clippers (2015 - 2017) 26.397 1.343 19,7 8.668 2.143 6.918 16 John Havlicek * SF / SG Boston Celtics (1962 - 1978) 26,395 1,270 20. PF / C Minnesota Timberwolves (1995 - 2007, 2015 - 2016) Boston Celtics (2007 - 2013) Brooklyn Nets (2013 - 2015) 26.071 1.462 17,8 10.505 174 4.887 18 Alex inglesa * SF Milwaukee Bucks (1976 - 1978 ) Indiana Pacers (1978 - 1980) Denver Nuggets (1980 - 1990) Dallas Mavericks (1990 - 1991) 25.613 1.193 21,5 10.659 18 4.277 19 Carmelo Anthony ^ SF Denver Nuggets (2003 - 2011) Nova York (2011 - - 2017) Oklahoma City Thunder (2017 - 2018) Houston Rockets (2018 - presente) 25.488 1.059 24,1 9.114 1.353 5.907 20 Reggie Miller * SG Indiana Pacers (1987 - 2005) 25.279 1,389 18.2 8,241. / SG Los Angeles Lakers (1960 - 1974) 25.192 932 27,0 9.016 0 7.160 22 Vince Carter ^ SG / SF Toronto Raptors (1999 - 2004) New Jersey Nets (2004 - 2009) Orlando Magic (2009 - 2010) Phonixix Suns (2010 - 2011) Dallas Mavericks (2011 - 2014) Memphis Grizzlies (2014 - 2017) Sacramento Kings (2017 - 2018) Atlanta Hawks (2018 - presente) 24.915 1.411 York Knicks (1985 - 2000) Seattle Supersonics (2000 - 2001) Orlando Magic (2001 - 2002) 24.815 1.183 21,0 9.702 19 5.392 24 Ray Allen * SG Milwaukee Bucks (1996 - 2003) Seattle Supersonics (2003 - 2007 ) Boston Celtics (2007 - 2012) Miami Heat (2012 - 2014) 24.505 1.300 18,9 8.567 2.973 4.398 25 Allen Iverson * SG / PG Philadelphia 76ers (1996 - 2006, 2009 - 2010) ) Detroit Pistons (2008 - 2009) Memphis Grizzlies (2009) 24.368 914 26,7 8.467 1.059 6.375 26 Charles Barkley * PF Philadelphia 76ers (1984 - 1992) Phoenix (1992 - 1996) Houston (1996 - 1996 - 1992) Phoenix (1992 - 1996), Houston (1996 - 1992) - 200). 1.073 22,1 8.435 538 6.349 27 Robert Parish * Golden State Warriors (1976 - 1980) Boston Celtics (1980 - 1994) Charlotte Hornets (1994 - 1996) Chicago Bulls (1996 - 1997) 23.334 1,611 14.5 9,614 00 40r (1996) 2334, 1,611 14.5 9,614 00s. Dantley * SF Buffalo Braves (1976 - 1977) Indiana Pacers (1977) Los Angeles Lakers (1977 - 1979) Utah Jazz (1979 - 1986) Detroit Pistons (1986 - 1989) Dallas Mavericks (1989 - 1990) Milwaukee BUCKS (1991) 23.177 955 24,3 8.169 7 6.832 29 Elgin Baylor * SF Minneapolis / Los Angeles Lakers (1958 - 1971) 23.149 846 27,4 8.693 0 5. - 1998) 22.195 1.086 20,4 8.335 827 4.698 31 Dwyane Wade ^ Sg Miami Heat (2003- 2016, 2018- presente) Chicago Bulls (2016- 2017) Cleveland Cavaliers (2017- 2018) 22,155 988 22.4 8,066 42 42 42. 32 Gary Payton * PG Seattle Supersonics (1990 - 2003) Milwaukee Bucks (2003) Los Angeles Lakers (2003 - 2004) Boston Celtics (2004 - 2005) Miami Heat (2005 - 2007) 21.813 1,35 16,3 8,708 1,132 3,263 333333. Larry Bird * SF / PF Boston Celtics (1979 - 1992) 21.791 897 24,3 8.591 649 3,960 34 Hal Greer * SG / PG Syracuse Nationals / Filadelphia 76ers (1958 - 1973) 21,586 1,1222 19.2.2.20.2.20.2.20 760. Supersonics / Oklahoma City Thunder (2007 -2016) Golden State Warriors (2016 -presente) 21.139 779 27,1 7.178 1.445 5.338 36 Walt Bellamy * Chicago Packers / Zephyrs / Baltimore Bullets (1961 -1965) New York Knicks (1965 - 1968) Detroit Pistons (1968 - 1970) Atlanta Hawks (1970 - 1974) New Orleans Jazz (1974) 20.941 1.043 20,1 7.914 0 5.113 37 Bob Pettit * PF / C Milwaukee / St. Louis Hawks (1954 - 1965) 20,80 792 26,4 7.349 0 6.182 38 Pau Gasol ^ C / PF Memphis Grizzlies (2001 - 2008) Los Angeles Lakers (2008 - 2014) Chicago Bulls (2014 - 2016) San Antonio Spurs (2016 - presente) 20.815 1,202 17.3 7,95 176 4.737 39 David Robinson * San Antonio Spurs (1989 - 2003) 20.790 987 21,1 7.365 25 6.035 40 George Gervin * SG / SF San Antonio Spurs (1976 - 1985) Chicago Bulls (1985 - 1986) 20.708 791 26.2.2. 4.541 41 Mitch Richmond * SG Golden State Warriors (1988 - 1991) Sacramento Kings (1991 - 1998) Washington Wizards (1999 - 2001) Los Angeles Lakers (2001 - 2002) 20.497 976 21.0 7.305 1.326 4,561 42 SG / SF Boston Celtics (2001 - 2002) Phoenix Suns (2002 - 2005) Atlanta Hawks (2005 - 2012) Brooklyn Nets (2012 - 2016) Miami Heat (2016) Utah Jazz (2016 - 2018) Houston Rockets (2018) 20.405 1.276 16,0 7.822 1.978 2.783 43 Tom Chambers PF San Diego Clippers (1981 - 1983) Seattle Supersonics (1983 - 1988) Phoenix Suns (1988 - 1993) Utah Jazz (1993 - 1995) Charlotte (1993) ) Philadelphia 76ers (1997) 20.049 1.107 18,1 7.378 227 5.066 44 Jamison Antawn Jamison PF / SF Golden State Warriors (1999 - 2003) Dallas Mavericks (2003 - 2004) Washington (2004) - 2010) Clelaland Cavaliers (2010 - 2010 - 2004) ) Los Angeles Lakers (2012 - 2013) Los Angeles Clippers (2013 - 2014) 20.042 1.083 18,5 7.679 1.163 3.521 45 John Stockton * PG Utah Jazz (1984 - 2003) 19.711 1,504 13.1 7,039 845 Jersey Nets (1977 - 1979, 1993) Utah Jazz (1979) Golden State Warriors (1980 - 1982) New York Knicks (1982 - 1985, 1987) Washington Bullets (1987 - 1991) 19.655 874 22,5 7.830 23 3,972 47 Clifford Robinson PF / SF Portland Trail Blazers (1989 - 1997) Phoenix Suns (1997 - 2001) Detroit Pistons (2001 - 2003) Golden State Warriors (2003 - 2005) New Jersey Nets (2005 - 2007) 19.591 1,380) 14.2 7.389 1.253 3.560 48 Walter Davis SG / SF Phoenix Suns (1977 - 1988) Denver Nuggets (1988 - 1991, 1991 - 1992) Portland Trail Blazers (1991) 19,521 1,033 18.9 8,118 157 3,128 4,28 4,128 49. (1982 - 1984) Milwaukee Bucks (1984 - 1989, 1995 - 1996) San Antonio Spurs (1989 - 1995) Seattle Supersonics (1996 - 1997) Philadelphia 76ers (1997 - 1998) New York Knicks (1998) Golden State Warriors (1999 - 2000.</v>
      </c>
      <c r="I208" s="3" t="str">
        <f>IFERROR(__xludf.DUMMYFUNCTION("GOOGLETRANSLATE(E208)"),"Kareem Abdul - Jabbar")</f>
        <v>Kareem Abdul - Jabbar</v>
      </c>
    </row>
    <row r="209" ht="15.75" customHeight="1">
      <c r="A209" s="1">
        <v>207.0</v>
      </c>
      <c r="B209" s="3" t="s">
        <v>765</v>
      </c>
      <c r="C209" s="3" t="s">
        <v>766</v>
      </c>
      <c r="D209" s="3" t="s">
        <v>767</v>
      </c>
      <c r="E209" s="3" t="s">
        <v>768</v>
      </c>
      <c r="F209" s="3" t="str">
        <f>IFERROR(__xludf.DUMMYFUNCTION("GOOGLETRANSLATE(B209)")," Quando chama o coração")</f>
        <v> Quando chama o coração</v>
      </c>
      <c r="G209" s="3" t="str">
        <f>IFERROR(__xludf.DUMMYFUNCTION("GOOGLETRANSLATE(C209)"),"que interpreta o Sr. Coulter quando chama o coração")</f>
        <v>que interpreta o Sr. Coulter quando chama o coração</v>
      </c>
      <c r="H209" s="3" t="str">
        <f>IFERROR(__xludf.DUMMYFUNCTION("GOOGLETRANSLATE(D209)")," Kavan Smith como Leland Coulter")</f>
        <v> Kavan Smith como Leland Coulter</v>
      </c>
      <c r="I209" s="3" t="str">
        <f>IFERROR(__xludf.DUMMYFUNCTION("GOOGLETRANSLATE(E209)"),"Kavan Smith")</f>
        <v>Kavan Smith</v>
      </c>
    </row>
    <row r="210" ht="15.75" customHeight="1">
      <c r="A210" s="1">
        <v>208.0</v>
      </c>
      <c r="B210" s="3" t="s">
        <v>769</v>
      </c>
      <c r="C210" s="3" t="s">
        <v>770</v>
      </c>
      <c r="D210" s="3" t="s">
        <v>771</v>
      </c>
      <c r="E210" s="3" t="s">
        <v>772</v>
      </c>
      <c r="F210" s="3" t="str">
        <f>IFERROR(__xludf.DUMMYFUNCTION("GOOGLETRANSLATE(B210)")," Se foi com o vento (filme)")</f>
        <v> Se foi com o vento (filme)</v>
      </c>
      <c r="G210" s="3" t="str">
        <f>IFERROR(__xludf.DUMMYFUNCTION("GOOGLETRANSLATE(C210)"),"Onde o filme foi com o vento")</f>
        <v>Onde o filme foi com o vento</v>
      </c>
      <c r="H210" s="3" t="str">
        <f>IFERROR(__xludf.DUMMYFUNCTION("GOOGLETRANSLATE(D210)")," Longe With the Wind está um filme de romance histórico épico americano de 1939, adaptado do romance de Margaret Mitchell em 1936 de mesmo nome. O filme foi produzido por David O. Selznick, da Selznick International Pictures, e dirigido por Victor Fleming"&amp;". Situado no sul americano contra o pano de fundo da Guerra Civil Americana e da era da reconstrução, o filme conta a história de Scarlett O'Hara, a filha forte - desejada de um proprietário da Plantação da Geórgia. Segue sua busca romântica por Ashley Wi"&amp;"lkes, que é casada com sua prima, Melanie Hamilton, e seu casamento subsequente com Rhett Butler. Os principais papéis são desempenhados por Vivien Leigh (Scarlett), Clark Gable (Rhett), Leslie Howard (Ashley) e Olivia de Havilland (Melanie).")</f>
        <v> Longe With the Wind está um filme de romance histórico épico americano de 1939, adaptado do romance de Margaret Mitchell em 1936 de mesmo nome. O filme foi produzido por David O. Selznick, da Selznick International Pictures, e dirigido por Victor Fleming. Situado no sul americano contra o pano de fundo da Guerra Civil Americana e da era da reconstrução, o filme conta a história de Scarlett O'Hara, a filha forte - desejada de um proprietário da Plantação da Geórgia. Segue sua busca romântica por Ashley Wilkes, que é casada com sua prima, Melanie Hamilton, e seu casamento subsequente com Rhett Butler. Os principais papéis são desempenhados por Vivien Leigh (Scarlett), Clark Gable (Rhett), Leslie Howard (Ashley) e Olivia de Havilland (Melanie).</v>
      </c>
      <c r="I210" s="3" t="str">
        <f>IFERROR(__xludf.DUMMYFUNCTION("GOOGLETRANSLATE(E210)"),"o sul americano")</f>
        <v>o sul americano</v>
      </c>
    </row>
    <row r="211" ht="15.75" customHeight="1">
      <c r="A211" s="1">
        <v>209.0</v>
      </c>
      <c r="B211" s="3" t="s">
        <v>773</v>
      </c>
      <c r="C211" s="3" t="s">
        <v>774</v>
      </c>
      <c r="D211" s="3" t="s">
        <v>775</v>
      </c>
      <c r="F211" s="3" t="str">
        <f>IFERROR(__xludf.DUMMYFUNCTION("GOOGLETRANSLATE(B211)")," Política de visto de Taiwan")</f>
        <v> Política de visto de Taiwan</v>
      </c>
      <c r="G211" s="3" t="str">
        <f>IFERROR(__xludf.DUMMYFUNCTION("GOOGLETRANSLATE(C211)"),"Eu preciso de um visto para ir para Taiwan de nós")</f>
        <v>Eu preciso de um visto para ir para Taiwan de nós</v>
      </c>
      <c r="H211" s="3" t="str">
        <f>IFERROR(__xludf.DUMMYFUNCTION("GOOGLETRANSLATE(D211)")," Além disso, os detentores de passaportes de emergência ou temporários com validade de mais de 6 meses emitidos por visto - países isentos são elegíveis para visto na chegada por uma taxa. A duração da permanência é de 30 dias, independentemente da nacion"&amp;"alidade e não pode ser estendida. Essa medida não se aplica aos detentores de passaportes de emergência ou temporários emitidos pelo Japão ou pelos Estados Unidos à medida que são isentos de visto.")</f>
        <v> Além disso, os detentores de passaportes de emergência ou temporários com validade de mais de 6 meses emitidos por visto - países isentos são elegíveis para visto na chegada por uma taxa. A duração da permanência é de 30 dias, independentemente da nacionalidade e não pode ser estendida. Essa medida não se aplica aos detentores de passaportes de emergência ou temporários emitidos pelo Japão ou pelos Estados Unidos à medida que são isentos de visto.</v>
      </c>
      <c r="I211" s="3" t="str">
        <f>IFERROR(__xludf.DUMMYFUNCTION("GOOGLETRANSLATE(E211)"),"#VALUE!")</f>
        <v>#VALUE!</v>
      </c>
    </row>
    <row r="212" ht="15.75" customHeight="1">
      <c r="A212" s="1">
        <v>210.0</v>
      </c>
      <c r="B212" s="3" t="s">
        <v>776</v>
      </c>
      <c r="C212" s="3" t="s">
        <v>777</v>
      </c>
      <c r="D212" s="3" t="s">
        <v>778</v>
      </c>
      <c r="E212" s="3" t="s">
        <v>779</v>
      </c>
      <c r="F212" s="3" t="str">
        <f>IFERROR(__xludf.DUMMYFUNCTION("GOOGLETRANSLATE(B212)")," Objetivo do campo de três pontos")</f>
        <v> Objetivo do campo de três pontos</v>
      </c>
      <c r="G212" s="3" t="str">
        <f>IFERROR(__xludf.DUMMYFUNCTION("GOOGLETRANSLATE(C212)"),"Quando o Instituto da NBA é o tiro de 3 pontos")</f>
        <v>Quando o Instituto da NBA é o tiro de 3 pontos</v>
      </c>
      <c r="H212" s="3" t="str">
        <f>IFERROR(__xludf.DUMMYFUNCTION("GOOGLETRANSLATE(D212)")," Na temporada de 1979 - 80, depois de testá -la na pré -temporada anterior, a NBA adotou a linha de três pontos, apesar da visão de muitos de que era um truque. Chris Ford, do Boston Celtics, é amplamente creditado por fazer os três primeiros pontos na hi"&amp;"stória da NBA em 12 de outubro de 1979. Kevin Grevey, do Washington Bullets, também fez uma no mesmo dia.")</f>
        <v> Na temporada de 1979 - 80, depois de testá -la na pré -temporada anterior, a NBA adotou a linha de três pontos, apesar da visão de muitos de que era um truque. Chris Ford, do Boston Celtics, é amplamente creditado por fazer os três primeiros pontos na história da NBA em 12 de outubro de 1979. Kevin Grevey, do Washington Bullets, também fez uma no mesmo dia.</v>
      </c>
      <c r="I212" s="3" t="str">
        <f>IFERROR(__xludf.DUMMYFUNCTION("GOOGLETRANSLATE(E212)"),"1979 - 80 temporada")</f>
        <v>1979 - 80 temporada</v>
      </c>
    </row>
    <row r="213" ht="15.75" customHeight="1">
      <c r="A213" s="1">
        <v>211.0</v>
      </c>
      <c r="B213" s="3" t="s">
        <v>780</v>
      </c>
      <c r="C213" s="3" t="s">
        <v>781</v>
      </c>
      <c r="D213" s="3" t="s">
        <v>782</v>
      </c>
      <c r="E213" s="3" t="s">
        <v>783</v>
      </c>
      <c r="F213" s="3" t="str">
        <f>IFERROR(__xludf.DUMMYFUNCTION("GOOGLETRANSLATE(B213)")," Chennai Super Kings")</f>
        <v> Chennai Super Kings</v>
      </c>
      <c r="G213" s="3" t="str">
        <f>IFERROR(__xludf.DUMMYFUNCTION("GOOGLETRANSLATE(C213)"),"Quem é o capitão de Chennai Super King")</f>
        <v>Quem é o capitão de Chennai Super King</v>
      </c>
      <c r="H213" s="3" t="str">
        <f>IFERROR(__xludf.DUMMYFUNCTION("GOOGLETRANSLATE(D213)")," Mahendra Singh Dhoni, que era o capitão da equipe Indian Limited - Overs em 2008, foi comprada pelo Super Kings por US $ 1,5 milhão no leilão de jogadores de 2008. Ele era o jogador mais caro do IPL até 2009, quando o Super Kings contratou o inglês tudo "&amp;"- Rounder Andrew Flintoff por US $ 1,55 milhão, ele não faz parte da equipe agora. Dhoni é o capitão de maior sucesso no IPL, tendo liderado a equipe a seis finais (vice -campeões de 2008, 2012, 2013, 2015), vencendo dois (2010, 2011). Ele tem uma taxa de"&amp;" sucesso de 61,05 % como capitão, que é o melhor entre todos os capitães do IPL, que foi capitão em pelo menos 20 jogos.")</f>
        <v> Mahendra Singh Dhoni, que era o capitão da equipe Indian Limited - Overs em 2008, foi comprada pelo Super Kings por US $ 1,5 milhão no leilão de jogadores de 2008. Ele era o jogador mais caro do IPL até 2009, quando o Super Kings contratou o inglês tudo - Rounder Andrew Flintoff por US $ 1,55 milhão, ele não faz parte da equipe agora. Dhoni é o capitão de maior sucesso no IPL, tendo liderado a equipe a seis finais (vice -campeões de 2008, 2012, 2013, 2015), vencendo dois (2010, 2011). Ele tem uma taxa de sucesso de 61,05 % como capitão, que é o melhor entre todos os capitães do IPL, que foi capitão em pelo menos 20 jogos.</v>
      </c>
      <c r="I213" s="3" t="str">
        <f>IFERROR(__xludf.DUMMYFUNCTION("GOOGLETRANSLATE(E213)"),"Mahendra Singh Dhoni")</f>
        <v>Mahendra Singh Dhoni</v>
      </c>
    </row>
    <row r="214" ht="15.75" customHeight="1">
      <c r="A214" s="1">
        <v>212.0</v>
      </c>
      <c r="B214" s="3" t="s">
        <v>784</v>
      </c>
      <c r="C214" s="3" t="s">
        <v>785</v>
      </c>
      <c r="D214" s="3" t="s">
        <v>786</v>
      </c>
      <c r="E214" s="3" t="s">
        <v>787</v>
      </c>
      <c r="F214" s="3" t="str">
        <f>IFERROR(__xludf.DUMMYFUNCTION("GOOGLETRANSLATE(B214)")," Vejo você de novo (Miley Cyrus Song)")</f>
        <v> Vejo você de novo (Miley Cyrus Song)</v>
      </c>
      <c r="G214" s="3" t="str">
        <f>IFERROR(__xludf.DUMMYFUNCTION("GOOGLETRANSLATE(C214)"),"quem escreveu te ver novamente por miley cyrus")</f>
        <v>quem escreveu te ver novamente por miley cyrus</v>
      </c>
      <c r="H214" s="3" t="str">
        <f>IFERROR(__xludf.DUMMYFUNCTION("GOOGLETRANSLATE(D214)")," `` Vejo você novamente '' é o single de estréia do artista de gravação americano Miley Cyrus. Foi gravado para Hannah Montana 2: Meet Miley Cyrus (2007), o segundo álbum da trilha sonora da série original do Disney Channel Hannah Montana e o álbum de est"&amp;"údio de Cyrus. Foi escrito por Cyrus (creditado como Destiny Hope Cyrus) com os produtores da música Antonina Armato e Tim James. Foi lançado como o single principal do álbum da Hollywood Records. Mais tarde, foi remixado pela Rock Máfia e lançado em 25 d"&amp;"e agosto de 2008 pela Hollywood Records, como o segundo single do segundo álbum de estúdio de Cyrus, Breakout (2008). Musicalmente, a faixa é um número de rock pop que contém influências de vários gêneros musicais, incluindo música eletrônica. Liricamente"&amp;", a faixa fala do romance adolescente.")</f>
        <v> `` Vejo você novamente '' é o single de estréia do artista de gravação americano Miley Cyrus. Foi gravado para Hannah Montana 2: Meet Miley Cyrus (2007), o segundo álbum da trilha sonora da série original do Disney Channel Hannah Montana e o álbum de estúdio de Cyrus. Foi escrito por Cyrus (creditado como Destiny Hope Cyrus) com os produtores da música Antonina Armato e Tim James. Foi lançado como o single principal do álbum da Hollywood Records. Mais tarde, foi remixado pela Rock Máfia e lançado em 25 de agosto de 2008 pela Hollywood Records, como o segundo single do segundo álbum de estúdio de Cyrus, Breakout (2008). Musicalmente, a faixa é um número de rock pop que contém influências de vários gêneros musicais, incluindo música eletrônica. Liricamente, a faixa fala do romance adolescente.</v>
      </c>
      <c r="I214" s="3" t="str">
        <f>IFERROR(__xludf.DUMMYFUNCTION("GOOGLETRANSLATE(E214)"),"Miley Cyrus")</f>
        <v>Miley Cyrus</v>
      </c>
    </row>
    <row r="215" ht="15.75" customHeight="1">
      <c r="A215" s="1">
        <v>213.0</v>
      </c>
      <c r="B215" s="3" t="s">
        <v>788</v>
      </c>
      <c r="C215" s="3" t="s">
        <v>789</v>
      </c>
      <c r="D215" s="3" t="s">
        <v>790</v>
      </c>
      <c r="E215" s="3" t="s">
        <v>791</v>
      </c>
      <c r="F215" s="3" t="str">
        <f>IFERROR(__xludf.DUMMYFUNCTION("GOOGLETRANSLATE(B215)")," Clifford the Big Red Dog (série de TV)")</f>
        <v> Clifford the Big Red Dog (série de TV)</v>
      </c>
      <c r="G215" s="3" t="str">
        <f>IFERROR(__xludf.DUMMYFUNCTION("GOOGLETRANSLATE(C215)"),"Quem é a voz de Clifford, o Big Red Dog")</f>
        <v>Quem é a voz de Clifford, o Big Red Dog</v>
      </c>
      <c r="H215" s="3" t="str">
        <f>IFERROR(__xludf.DUMMYFUNCTION("GOOGLETRANSLATE(D215)"),"  Clifford the Big Red Dog (dublado por John Ritter; Tom Eastwood na versão britânica): um gigante Red Labrador Retriever / Vizsla Cross. A representação do tamanho de Clifford é inconsistente; Ele é frequentemente mostrado como com cerca de 7 metros de a"&amp;"ltura (7,6 m) de patas para a cabeça, mas pode parecer muito maior. O personagem é baseado no amigo imaginário da esposa do criador Norman Bridwell. Clifford é dedicado a sua proprietária Emily Elizabeth. Ele é amigável, tímido, amável, leal, gentil e pre"&amp;"stativo, mas às vezes se apóia por causa de seu tamanho, ou é tentado a problemas por seus amigos e pelos que conhece. Apesar de ser o protagonista, ele raramente tem episódios focados nele, geralmente servindo como a voz - da - razão das aventuras de seu"&amp;" amigo. Cleo (dublado por Cree Summer; Regine Candler na versão britânica): um enérgico, egoísta e problemas - tornando o poodle roxo com uma tendência a não dizer a verdade. O slogan dela é `` eu já o guiei errado? '' O que ela inadvertidamente faz imedi"&amp;"atamente depois. Ela é uma das melhores amigas de Clifford. Seu dono é a sra. Diller. T - osso (dublado por Kel Mitchell; Benjamin Small na versão britânica): um bulldog amarelo e laranja masculino com um grande apetite. Ele é muitas vezes covarde, desaje"&amp;"itado e cauteloso, mas tem seus momentos de bravura. Ele é um dos melhores amigos de Clifford. T - Bone está apaixonado por Mimi, outro cachorro que visita de tempos em tempos. Seu dono é o xerife Lewis. T - Bone tinha um melhor amigo chamado Hamburger (d"&amp;"ublado pelo parceiro de comédia de longa data de Kel Mitchell, Kenan Thompson), que se mudou antes da chegada de Clifford. Mac (dublado por Cameron Clarke): Um galgo azul masculino com um senso inflado de auto -importância, que muda entre uma indiferença "&amp;"e querendo fazer parte de Clifford, Cleo e T -Bone Circle of Friends. Mac compete em shows de cães. Ele pode ser vaidoso, mandão e egoísta. No entanto, ele parece ser dedicado ao seu proprietário Jetta. É revelado em alguns episódios que seu nome é abrevi"&amp;"ado para Maquiavel.")</f>
        <v>  Clifford the Big Red Dog (dublado por John Ritter; Tom Eastwood na versão britânica): um gigante Red Labrador Retriever / Vizsla Cross. A representação do tamanho de Clifford é inconsistente; Ele é frequentemente mostrado como com cerca de 7 metros de altura (7,6 m) de patas para a cabeça, mas pode parecer muito maior. O personagem é baseado no amigo imaginário da esposa do criador Norman Bridwell. Clifford é dedicado a sua proprietária Emily Elizabeth. Ele é amigável, tímido, amável, leal, gentil e prestativo, mas às vezes se apóia por causa de seu tamanho, ou é tentado a problemas por seus amigos e pelos que conhece. Apesar de ser o protagonista, ele raramente tem episódios focados nele, geralmente servindo como a voz - da - razão das aventuras de seu amigo. Cleo (dublado por Cree Summer; Regine Candler na versão britânica): um enérgico, egoísta e problemas - tornando o poodle roxo com uma tendência a não dizer a verdade. O slogan dela é `` eu já o guiei errado? '' O que ela inadvertidamente faz imediatamente depois. Ela é uma das melhores amigas de Clifford. Seu dono é a sra. Diller. T - osso (dublado por Kel Mitchell; Benjamin Small na versão britânica): um bulldog amarelo e laranja masculino com um grande apetite. Ele é muitas vezes covarde, desajeitado e cauteloso, mas tem seus momentos de bravura. Ele é um dos melhores amigos de Clifford. T - Bone está apaixonado por Mimi, outro cachorro que visita de tempos em tempos. Seu dono é o xerife Lewis. T - Bone tinha um melhor amigo chamado Hamburger (dublado pelo parceiro de comédia de longa data de Kel Mitchell, Kenan Thompson), que se mudou antes da chegada de Clifford. Mac (dublado por Cameron Clarke): Um galgo azul masculino com um senso inflado de auto -importância, que muda entre uma indiferença e querendo fazer parte de Clifford, Cleo e T -Bone Circle of Friends. Mac compete em shows de cães. Ele pode ser vaidoso, mandão e egoísta. No entanto, ele parece ser dedicado ao seu proprietário Jetta. É revelado em alguns episódios que seu nome é abreviado para Maquiavel.</v>
      </c>
      <c r="I215" s="3" t="str">
        <f>IFERROR(__xludf.DUMMYFUNCTION("GOOGLETRANSLATE(E215)"),"John Ritter")</f>
        <v>John Ritter</v>
      </c>
    </row>
    <row r="216" ht="15.75" customHeight="1">
      <c r="A216" s="1">
        <v>214.0</v>
      </c>
      <c r="B216" s="3" t="s">
        <v>792</v>
      </c>
      <c r="C216" s="3" t="s">
        <v>793</v>
      </c>
      <c r="D216" s="3" t="s">
        <v>794</v>
      </c>
      <c r="F216" s="3" t="str">
        <f>IFERROR(__xludf.DUMMYFUNCTION("GOOGLETRANSLATE(B216)")," Sorvete de Casquinha")</f>
        <v> Sorvete de Casquinha</v>
      </c>
      <c r="G216" s="3" t="str">
        <f>IFERROR(__xludf.DUMMYFUNCTION("GOOGLETRANSLATE(C216)"),"Quando foi o primeiro cone de sorvete feito")</f>
        <v>Quando foi o primeiro cone de sorvete feito</v>
      </c>
      <c r="H216" s="3" t="str">
        <f>IFERROR(__xludf.DUMMYFUNCTION("GOOGLETRANSLATE(D216)")," Os cones comestíveis foram mencionados nos livros de culinária francesa em 1825, quando Julien Archambault descreveu como alguém poderia rolar um cone de `` pequenos waffles ''. Outra referência impressa a um cone comestível está na Sra. A.B. O livro de "&amp;"culinária de Marshall, escrito em 1888 por Agnes B. Marshall (1855 - 1905) da Inglaterra. Sua receita para `` corneta com creme 'disse que `` Os cornets foram feitos com amêndoas e assados ​​no forno, não pressionados entre os ferros' '.")</f>
        <v> Os cones comestíveis foram mencionados nos livros de culinária francesa em 1825, quando Julien Archambault descreveu como alguém poderia rolar um cone de `` pequenos waffles ''. Outra referência impressa a um cone comestível está na Sra. A.B. O livro de culinária de Marshall, escrito em 1888 por Agnes B. Marshall (1855 - 1905) da Inglaterra. Sua receita para `` corneta com creme 'disse que `` Os cornets foram feitos com amêndoas e assados ​​no forno, não pressionados entre os ferros' '.</v>
      </c>
      <c r="I216" s="3" t="str">
        <f>IFERROR(__xludf.DUMMYFUNCTION("GOOGLETRANSLATE(E216)"),"#VALUE!")</f>
        <v>#VALUE!</v>
      </c>
    </row>
    <row r="217" ht="15.75" customHeight="1">
      <c r="A217" s="1">
        <v>215.0</v>
      </c>
      <c r="B217" s="3" t="s">
        <v>795</v>
      </c>
      <c r="C217" s="3" t="s">
        <v>796</v>
      </c>
      <c r="D217" s="3" t="s">
        <v>797</v>
      </c>
      <c r="E217" s="3" t="s">
        <v>798</v>
      </c>
      <c r="F217" s="3" t="str">
        <f>IFERROR(__xludf.DUMMYFUNCTION("GOOGLETRANSLATE(B217)")," Super Bowl lii")</f>
        <v> Super Bowl lii</v>
      </c>
      <c r="G217" s="3" t="str">
        <f>IFERROR(__xludf.DUMMYFUNCTION("GOOGLETRANSLATE(C217)"),"onde está o Super Bowl sendo jogado neste ano")</f>
        <v>onde está o Super Bowl sendo jogado neste ano</v>
      </c>
      <c r="H217" s="3" t="str">
        <f>IFERROR(__xludf.DUMMYFUNCTION("GOOGLETRANSLATE(D217)")," O Super Bowl LII foi um jogo de futebol americano jogado para determinar o campeão da Liga Nacional de Futebol (NFL) na temporada de 2017. O campeão da Conferência Nacional de Futebol (NFC), Philadelphia Eagles, derrotou a American Football Conference (A"&amp;"FC) e a atual campeã do Super Bowl LI New England Patriots, 41 - 33, para ganhar seu primeiro Super Bowl e seu primeiro título da NFL desde 1960. O jogo foi disputado em 4 de fevereiro de 2018, no U.S. Bank Stadium, em Minneapolis, Minnesota. Foi a segund"&amp;"a vez que um Super Bowl foi jogado em Minneapolis, a cidade mais ao norte para sediar o evento, depois do Super Bowl XXVI no Metrodome durante a temporada de 1991, e o sexto Super Bowl realizado em uma cidade climática.")</f>
        <v> O Super Bowl LII foi um jogo de futebol americano jogado para determinar o campeão da Liga Nacional de Futebol (NFL) na temporada de 2017. O campeão da Conferência Nacional de Futebol (NFC), Philadelphia Eagles, derrotou a American Football Conference (AFC) e a atual campeã do Super Bowl LI New England Patriots, 41 - 33, para ganhar seu primeiro Super Bowl e seu primeiro título da NFL desde 1960. O jogo foi disputado em 4 de fevereiro de 2018, no U.S. Bank Stadium, em Minneapolis, Minnesota. Foi a segunda vez que um Super Bowl foi jogado em Minneapolis, a cidade mais ao norte para sediar o evento, depois do Super Bowl XXVI no Metrodome durante a temporada de 1991, e o sexto Super Bowl realizado em uma cidade climática.</v>
      </c>
      <c r="I217" s="3" t="str">
        <f>IFERROR(__xludf.DUMMYFUNCTION("GOOGLETRANSLATE(E217)"),"Estadio do Banco dos EUA em Minneapolis, Minnesota")</f>
        <v>Estadio do Banco dos EUA em Minneapolis, Minnesota</v>
      </c>
    </row>
    <row r="218" ht="15.75" customHeight="1">
      <c r="A218" s="1">
        <v>216.0</v>
      </c>
      <c r="B218" s="3" t="s">
        <v>799</v>
      </c>
      <c r="C218" s="3" t="s">
        <v>800</v>
      </c>
      <c r="D218" s="3" t="s">
        <v>801</v>
      </c>
      <c r="F218" s="3" t="str">
        <f>IFERROR(__xludf.DUMMYFUNCTION("GOOGLETRANSLATE(B218)")," Grã Bretanha")</f>
        <v> Grã Bretanha</v>
      </c>
      <c r="G218" s="3" t="str">
        <f>IFERROR(__xludf.DUMMYFUNCTION("GOOGLETRANSLATE(C218)"),"Quando aconteceu o nome da Grã -Bretanha")</f>
        <v>Quando aconteceu o nome da Grã -Bretanha</v>
      </c>
      <c r="H218" s="3" t="str">
        <f>IFERROR(__xludf.DUMMYFUNCTION("GOOGLETRANSLATE(D218)")," Após o período Anglo -Saxon, a Grã -Bretanha foi usada apenas como um termo histórico. Geoffrey, de Monmouth, em sua História pseudo -histórica, Regum Britanniae (c. 1136) refere -se à ilha como Britannia Major (`` Grande Grã -Bretanha ''), para distingu"&amp;"i -lo da Britannia Minor (`` menor na Grã -Bretanha ''), a região continental que se aproxima que se aproxima à Brittany moderna, que havia sido resolvida nos séculos V e VI por migrantes da Grã -Bretanha. O termo Grã -Bretanha foi usado oficialmente em 1"&amp;"474, no instrumento que elaborava a proposta de um casamento entre Cecily, filha de Edward IV, da Inglaterra, e Tiago, filho de Tiago III, da Escócia, que o descreveu como `` esta Ilha Nobill , Callit Gret Britanee ''. Foi usado novamente em 1604, quando "&amp;"o rei James VI e eu se denominamos `` Rei de Great Brittaine, França e Irlanda ''.")</f>
        <v> Após o período Anglo -Saxon, a Grã -Bretanha foi usada apenas como um termo histórico. Geoffrey, de Monmouth, em sua História pseudo -histórica, Regum Britanniae (c. 1136) refere -se à ilha como Britannia Major (`` Grande Grã -Bretanha ''), para distingui -lo da Britannia Minor (`` menor na Grã -Bretanha ''), a região continental que se aproxima que se aproxima à Brittany moderna, que havia sido resolvida nos séculos V e VI por migrantes da Grã -Bretanha. O termo Grã -Bretanha foi usado oficialmente em 1474, no instrumento que elaborava a proposta de um casamento entre Cecily, filha de Edward IV, da Inglaterra, e Tiago, filho de Tiago III, da Escócia, que o descreveu como `` esta Ilha Nobill , Callit Gret Britanee ''. Foi usado novamente em 1604, quando o rei James VI e eu se denominamos `` Rei de Great Brittaine, França e Irlanda ''.</v>
      </c>
      <c r="I218" s="3" t="str">
        <f>IFERROR(__xludf.DUMMYFUNCTION("GOOGLETRANSLATE(E218)"),"#VALUE!")</f>
        <v>#VALUE!</v>
      </c>
    </row>
    <row r="219" ht="15.75" customHeight="1">
      <c r="A219" s="1">
        <v>217.0</v>
      </c>
      <c r="B219" s="3" t="s">
        <v>802</v>
      </c>
      <c r="C219" s="3" t="s">
        <v>803</v>
      </c>
      <c r="D219" s="3" t="s">
        <v>804</v>
      </c>
      <c r="F219" s="3" t="str">
        <f>IFERROR(__xludf.DUMMYFUNCTION("GOOGLETRANSLATE(B219)")," Tigela de cacto")</f>
        <v> Tigela de cacto</v>
      </c>
      <c r="G219" s="3" t="str">
        <f>IFERROR(__xludf.DUMMYFUNCTION("GOOGLETRANSLATE(C219)"),"onde está o Cactus Bowl sendo tocado")</f>
        <v>onde está o Cactus Bowl sendo tocado</v>
      </c>
      <c r="H219" s="3" t="str">
        <f>IFERROR(__xludf.DUMMYFUNCTION("GOOGLETRANSLATE(D219)")," O Cactus Bowl está sendo jogado temporariamente em sua casa anterior de Chase Field em Phoenix, enquanto o Sun Devil Stadium passa por reformas. As reformas estão sendo realizadas durante a entressafra, exigindo que o estado do Arizona feche o estádio na"&amp;" conclusão da temporada de futebol até 2017. Durante esse período, o jogo é um dos três jogos de tigela disputados em estádios específicos de beisebol; O Gasparilla Bowl, tocado no Tropicana Field, e o ripstripe Bowl, tocado no Yankee Stadium, são os outr"&amp;"os.")</f>
        <v> O Cactus Bowl está sendo jogado temporariamente em sua casa anterior de Chase Field em Phoenix, enquanto o Sun Devil Stadium passa por reformas. As reformas estão sendo realizadas durante a entressafra, exigindo que o estado do Arizona feche o estádio na conclusão da temporada de futebol até 2017. Durante esse período, o jogo é um dos três jogos de tigela disputados em estádios específicos de beisebol; O Gasparilla Bowl, tocado no Tropicana Field, e o ripstripe Bowl, tocado no Yankee Stadium, são os outros.</v>
      </c>
      <c r="I219" s="3" t="str">
        <f>IFERROR(__xludf.DUMMYFUNCTION("GOOGLETRANSLATE(E219)"),"#VALUE!")</f>
        <v>#VALUE!</v>
      </c>
    </row>
    <row r="220" ht="15.75" customHeight="1">
      <c r="A220" s="1">
        <v>218.0</v>
      </c>
      <c r="B220" s="3" t="s">
        <v>805</v>
      </c>
      <c r="C220" s="3" t="s">
        <v>806</v>
      </c>
      <c r="D220" s="3" t="s">
        <v>807</v>
      </c>
      <c r="E220" s="3" t="s">
        <v>808</v>
      </c>
      <c r="F220" s="3" t="str">
        <f>IFERROR(__xludf.DUMMYFUNCTION("GOOGLETRANSLATE(B220)")," Tiger Woods")</f>
        <v> Tiger Woods</v>
      </c>
      <c r="G220" s="3" t="str">
        <f>IFERROR(__xludf.DUMMYFUNCTION("GOOGLETRANSLATE(C220)"),"Quando Tiger Woods venceu seu último torneio de PGA")</f>
        <v>Quando Tiger Woods venceu seu último torneio de PGA</v>
      </c>
      <c r="H220" s="3" t="str">
        <f>IFERROR(__xludf.DUMMYFUNCTION("GOOGLETRANSLATE(D220)"),"   Tiger Woods Woods em junho de 2014 Nome completo Eldrick Tont Woods Apelido de Tiger (1975 - 12 - 30) 30 de dezembro de 1975 (42 anos) Cypress, California Altura 6 pés 1 em (185 cm) Peso 185 lb (84 kg) Nacionalidade Estados Unidos Residência Júpiter Is"&amp;"land, cônjuge da Flórida Elin Nordegren (2004 - 2010) Children Career College Stanford University (não se formou) transformou a turnê atual da PGA (s) PGA Tour (ingressada em 1996) Professional Wins 106 Número de vitórias do Tour PGA Tour 79 (2nd TODOS OS"&amp;" TEMPOS) Tour europeu 40 (3º TODOS OUTROS) Japão Tour Asian Tour PGA Tour da Australásia Outros 16 melhores resultados em principais campeonatos (vitórias: 14) O torneio de Masters venceu: 1997, 2001, 2002, 2005 Open U.S. Open Won: 2000, 2002 , 2008 O Ope"&amp;"n Championship venceu: 2000, 2005, 2006 PGA Championship venceu: 1999, 2000, 2006, 2007 Realizações e prêmios PGA Tour Rookie of the Year PGA Player of the Year 1997, 1999, 2000, 2001, 2002, 2003, 2003, 2005 , 2006, 2007, 2009, 2013 PGA Tour Player of the"&amp;" Year 1997, 1999, 2000, 2001, 2002, 2003, 2005, 2006, 2007, 2009, 2013 PGA Tour líder vencedor do dinheiro 1997, 1999, 2000, 2001, 2002, 2002, 2005, 2006, 2007, 2009, 2013 Vardon Trophy 1999, 2000, 2001, 2002, 2003, 2005, 2007, 2009, 2013 Byron Nelson Awa"&amp;"rd 1999, 2000, 2001, 2002, 2003, 2005, 2006, 2007, 2009 Feds Cup, FedEx, Champion 2007, 2009 (para uma lista completa de prêmios, veja aqui)")</f>
        <v>   Tiger Woods Woods em junho de 2014 Nome completo Eldrick Tont Woods Apelido de Tiger (1975 - 12 - 30) 30 de dezembro de 1975 (42 anos) Cypress, California Altura 6 pés 1 em (185 cm) Peso 185 lb (84 kg) Nacionalidade Estados Unidos Residência Júpiter Island, cônjuge da Flórida Elin Nordegren (2004 - 2010) Children Career College Stanford University (não se formou) transformou a turnê atual da PGA (s) PGA Tour (ingressada em 1996) Professional Wins 106 Número de vitórias do Tour PGA Tour 79 (2nd TODOS OS TEMPOS) Tour europeu 40 (3º TODOS OUTROS) Japão Tour Asian Tour PGA Tour da Australásia Outros 16 melhores resultados em principais campeonatos (vitórias: 14) O torneio de Masters venceu: 1997, 2001, 2002, 2005 Open U.S. Open Won: 2000, 2002 , 2008 O Open Championship venceu: 2000, 2005, 2006 PGA Championship venceu: 1999, 2000, 2006, 2007 Realizações e prêmios PGA Tour Rookie of the Year PGA Player of the Year 1997, 1999, 2000, 2001, 2002, 2003, 2003, 2005 , 2006, 2007, 2009, 2013 PGA Tour Player of the Year 1997, 1999, 2000, 2001, 2002, 2003, 2005, 2006, 2007, 2009, 2013 PGA Tour líder vencedor do dinheiro 1997, 1999, 2000, 2001, 2002, 2002, 2005, 2006, 2007, 2009, 2013 Vardon Trophy 1999, 2000, 2001, 2002, 2003, 2005, 2007, 2009, 2013 Byron Nelson Award 1999, 2000, 2001, 2002, 2003, 2005, 2006, 2007, 2009 Feds Cup, FedEx, Champion 2007, 2009 (para uma lista completa de prêmios, veja aqui)</v>
      </c>
      <c r="I220" s="3" t="str">
        <f>IFERROR(__xludf.DUMMYFUNCTION("GOOGLETRANSLATE(E220)"),"2007")</f>
        <v>2007</v>
      </c>
    </row>
    <row r="221" ht="15.75" customHeight="1">
      <c r="A221" s="1">
        <v>219.0</v>
      </c>
      <c r="B221" s="3" t="s">
        <v>809</v>
      </c>
      <c r="C221" s="3" t="s">
        <v>810</v>
      </c>
      <c r="D221" s="3" t="s">
        <v>811</v>
      </c>
      <c r="E221" s="3" t="s">
        <v>812</v>
      </c>
      <c r="F221" s="3" t="str">
        <f>IFERROR(__xludf.DUMMYFUNCTION("GOOGLETRANSLATE(B221)")," Waybury Inn")</f>
        <v> Waybury Inn</v>
      </c>
      <c r="G221" s="3" t="str">
        <f>IFERROR(__xludf.DUMMYFUNCTION("GOOGLETRANSLATE(C221)"),"Onde o show de Newhart foi filmado em Vermont")</f>
        <v>Onde o show de Newhart foi filmado em Vermont</v>
      </c>
      <c r="H221" s="3" t="str">
        <f>IFERROR(__xludf.DUMMYFUNCTION("GOOGLETRANSLATE(D221)")," The Waybury Inn é uma pousada na 457 East Main Street, em Middlebury, Vermont, Estados Unidos. A pousada foi construída em 1810 e é uma das mais antigas acomodações do viajante operacional do estado. Foi listado no Registro Nacional de Lugares Históricos"&amp;" em 1983. É bem conhecido por seu uso em fotos externas da série de televisão de Newhart.")</f>
        <v> The Waybury Inn é uma pousada na 457 East Main Street, em Middlebury, Vermont, Estados Unidos. A pousada foi construída em 1810 e é uma das mais antigas acomodações do viajante operacional do estado. Foi listado no Registro Nacional de Lugares Históricos em 1983. É bem conhecido por seu uso em fotos externas da série de televisão de Newhart.</v>
      </c>
      <c r="I221" s="3" t="str">
        <f>IFERROR(__xludf.DUMMYFUNCTION("GOOGLETRANSLATE(E221)"),"The Waybury Inn")</f>
        <v>The Waybury Inn</v>
      </c>
    </row>
    <row r="222" ht="15.75" customHeight="1">
      <c r="A222" s="1">
        <v>220.0</v>
      </c>
      <c r="B222" s="3" t="s">
        <v>813</v>
      </c>
      <c r="C222" s="3" t="s">
        <v>814</v>
      </c>
      <c r="D222" s="3" t="s">
        <v>815</v>
      </c>
      <c r="E222" s="3" t="s">
        <v>816</v>
      </c>
      <c r="F222" s="3" t="str">
        <f>IFERROR(__xludf.DUMMYFUNCTION("GOOGLETRANSLATE(B222)")," Edelweiss (música)")</f>
        <v> Edelweiss (música)</v>
      </c>
      <c r="G222" s="3" t="str">
        <f>IFERROR(__xludf.DUMMYFUNCTION("GOOGLETRANSLATE(C222)"),"quem canta a música no homem no castelo alto")</f>
        <v>quem canta a música no homem no castelo alto</v>
      </c>
      <c r="H222" s="3" t="str">
        <f>IFERROR(__xludf.DUMMYFUNCTION("GOOGLETRANSLATE(D222)")," Uma performance de Jeanette Olsson é usada como música de abertura da série original da Amazon, The Man in the High Castle.")</f>
        <v> Uma performance de Jeanette Olsson é usada como música de abertura da série original da Amazon, The Man in the High Castle.</v>
      </c>
      <c r="I222" s="3" t="str">
        <f>IFERROR(__xludf.DUMMYFUNCTION("GOOGLETRANSLATE(E222)"),"Jeanette Olsson")</f>
        <v>Jeanette Olsson</v>
      </c>
    </row>
    <row r="223" ht="15.75" customHeight="1">
      <c r="A223" s="1">
        <v>221.0</v>
      </c>
      <c r="B223" s="3" t="s">
        <v>817</v>
      </c>
      <c r="C223" s="3" t="s">
        <v>818</v>
      </c>
      <c r="D223" s="3" t="s">
        <v>819</v>
      </c>
      <c r="E223" s="3" t="s">
        <v>820</v>
      </c>
      <c r="F223" s="3" t="str">
        <f>IFERROR(__xludf.DUMMYFUNCTION("GOOGLETRANSLATE(B223)")," De quem é a linha? (Série de TV dos EUA)")</f>
        <v> De quem é a linha? (Série de TV dos EUA)</v>
      </c>
      <c r="G223" s="3" t="str">
        <f>IFERROR(__xludf.DUMMYFUNCTION("GOOGLETRANSLATE(C223)"),"quem é o elenco original de qualquer maneira")</f>
        <v>quem é o elenco original de qualquer maneira</v>
      </c>
      <c r="H223" s="3" t="str">
        <f>IFERROR(__xludf.DUMMYFUNCTION("GOOGLETRANSLATE(D223)")," Como o original do Reino Unido, a versão dos EUA de quem é a linha é? Apresenta quatro artistas, dois dos quais, Colin Mochrie e Ryan Stiles, eram artistas regulares e permanentes em todo o formato original, tendo aparecido com destaque no original do Re"&amp;"ino Unido; Stiles desde sua primeira aparição em sua segunda temporada em 1989, enquanto Mochrie desde sua primeira aparição na temporada seguinte em 1991, com as duas aparições regulares na versão do Reino Unido de 1995 até seu fim em 1999. Outro artista"&amp;" que fez aparições frequentes e recorrentes foi Wayne Brady, que apareceu na maioria dos episódios do formato original. Durante seu mandato como anfitrião, Drew Carey também participou, embora apenas em um jogo, depois que um dos artistas foi declarado o "&amp;"`` vencedor '' e permitiu tomar seu lugar em sua mesa no estúdio; O anfitrião Aisha Tyler não participou de jogos quando o programa foi revivido, mas ocasionalmente se juntou a uma cena rápida durante as cenas de um jogo de chapéu. A partir de 2017, Mochr"&amp;"ie é o único artista que apareceu em todos os episódios da versão americana.")</f>
        <v> Como o original do Reino Unido, a versão dos EUA de quem é a linha é? Apresenta quatro artistas, dois dos quais, Colin Mochrie e Ryan Stiles, eram artistas regulares e permanentes em todo o formato original, tendo aparecido com destaque no original do Reino Unido; Stiles desde sua primeira aparição em sua segunda temporada em 1989, enquanto Mochrie desde sua primeira aparição na temporada seguinte em 1991, com as duas aparições regulares na versão do Reino Unido de 1995 até seu fim em 1999. Outro artista que fez aparições frequentes e recorrentes foi Wayne Brady, que apareceu na maioria dos episódios do formato original. Durante seu mandato como anfitrião, Drew Carey também participou, embora apenas em um jogo, depois que um dos artistas foi declarado o `` vencedor '' e permitiu tomar seu lugar em sua mesa no estúdio; O anfitrião Aisha Tyler não participou de jogos quando o programa foi revivido, mas ocasionalmente se juntou a uma cena rápida durante as cenas de um jogo de chapéu. A partir de 2017, Mochrie é o único artista que apareceu em todos os episódios da versão americana.</v>
      </c>
      <c r="I223" s="3" t="str">
        <f>IFERROR(__xludf.DUMMYFUNCTION("GOOGLETRANSLATE(E223)"),"Colin Mochrie")</f>
        <v>Colin Mochrie</v>
      </c>
    </row>
    <row r="224" ht="15.75" customHeight="1">
      <c r="A224" s="1">
        <v>222.0</v>
      </c>
      <c r="B224" s="3" t="s">
        <v>821</v>
      </c>
      <c r="C224" s="3" t="s">
        <v>822</v>
      </c>
      <c r="D224" s="3" t="s">
        <v>823</v>
      </c>
      <c r="E224" s="3" t="s">
        <v>824</v>
      </c>
      <c r="F224" s="3" t="str">
        <f>IFERROR(__xludf.DUMMYFUNCTION("GOOGLETRANSLATE(B224)")," Departamento de Educação dos Estados Unidos")</f>
        <v> Departamento de Educação dos Estados Unidos</v>
      </c>
      <c r="G224" s="3" t="str">
        <f>IFERROR(__xludf.DUMMYFUNCTION("GOOGLETRANSLATE(C224)"),"Quantos funcionários o Departamento de Educação tem")</f>
        <v>Quantos funcionários o Departamento de Educação tem</v>
      </c>
      <c r="H224" s="3" t="str">
        <f>IFERROR(__xludf.DUMMYFUNCTION("GOOGLETRANSLATE(D224)")," O Departamento de Educação é administrado pelo Secretário de Educação dos Estados Unidos. Possui aproximadamente 4.400 funcionários e um orçamento anual de US $ 68 bilhões (2016). Sua abreviação oficial é `` ed '' (`` doe '' refere -se ao Departamento de"&amp;" Energia dos Estados Unidos) e também é frequentemente abreviado informalmente como `` doed ''.")</f>
        <v> O Departamento de Educação é administrado pelo Secretário de Educação dos Estados Unidos. Possui aproximadamente 4.400 funcionários e um orçamento anual de US $ 68 bilhões (2016). Sua abreviação oficial é `` ed '' (`` doe '' refere -se ao Departamento de Energia dos Estados Unidos) e também é frequentemente abreviado informalmente como `` doed ''.</v>
      </c>
      <c r="I224" s="3" t="str">
        <f>IFERROR(__xludf.DUMMYFUNCTION("GOOGLETRANSLATE(E224)"),"Aproximadamente 4.400")</f>
        <v>Aproximadamente 4.400</v>
      </c>
    </row>
    <row r="225" ht="15.75" customHeight="1">
      <c r="A225" s="1">
        <v>223.0</v>
      </c>
      <c r="B225" s="3" t="s">
        <v>825</v>
      </c>
      <c r="C225" s="3" t="s">
        <v>826</v>
      </c>
      <c r="D225" s="3" t="s">
        <v>827</v>
      </c>
      <c r="F225" s="3" t="str">
        <f>IFERROR(__xludf.DUMMYFUNCTION("GOOGLETRANSLATE(B225)")," Copa escocesa")</f>
        <v> Copa escocesa</v>
      </c>
      <c r="G225" s="3" t="str">
        <f>IFERROR(__xludf.DUMMYFUNCTION("GOOGLETRANSLATE(C225)"),"há tempo extra na semifinal da Copa Scottish")</f>
        <v>há tempo extra na semifinal da Copa Scottish</v>
      </c>
      <c r="H225" s="3" t="str">
        <f>IFERROR(__xludf.DUMMYFUNCTION("GOOGLETRANSLATE(D225)")," A competição é um torneio de knock -out. Em cada rodada de jogos, as equipes são emparelhadas aleatoriamente, com o primeiro time desenhado listado como o time da casa. Cada jogo dura 90 minutos mais qualquer tempo de parada adicional. O vencedor de cada"&amp;" jogo avança para a próxima rodada, enquanto o perdedor é eliminado do torneio. Se um jogo terminar, o jogo será reproduzido no campo da outra equipe em uma data posterior. Se a reprodução também terminar, 30 minutos de tempo extra são reproduzidos, segui"&amp;"dos por uma sessão de pênaltis - se ainda não houver vencedor claro. Nas rodadas semifinais e finais, se o jogo terminar em um empate, não haverá repetição; O vencedor é decidido em tempo extra ou por uma filmagem de pênaltis - fora.")</f>
        <v> A competição é um torneio de knock -out. Em cada rodada de jogos, as equipes são emparelhadas aleatoriamente, com o primeiro time desenhado listado como o time da casa. Cada jogo dura 90 minutos mais qualquer tempo de parada adicional. O vencedor de cada jogo avança para a próxima rodada, enquanto o perdedor é eliminado do torneio. Se um jogo terminar, o jogo será reproduzido no campo da outra equipe em uma data posterior. Se a reprodução também terminar, 30 minutos de tempo extra são reproduzidos, seguidos por uma sessão de pênaltis - se ainda não houver vencedor claro. Nas rodadas semifinais e finais, se o jogo terminar em um empate, não haverá repetição; O vencedor é decidido em tempo extra ou por uma filmagem de pênaltis - fora.</v>
      </c>
      <c r="I225" s="3" t="str">
        <f>IFERROR(__xludf.DUMMYFUNCTION("GOOGLETRANSLATE(E225)"),"#VALUE!")</f>
        <v>#VALUE!</v>
      </c>
    </row>
    <row r="226" ht="15.75" customHeight="1">
      <c r="A226" s="1">
        <v>224.0</v>
      </c>
      <c r="B226" s="3" t="s">
        <v>828</v>
      </c>
      <c r="C226" s="3" t="s">
        <v>829</v>
      </c>
      <c r="D226" s="3" t="s">
        <v>830</v>
      </c>
      <c r="E226" s="3" t="s">
        <v>831</v>
      </c>
      <c r="F226" s="3" t="str">
        <f>IFERROR(__xludf.DUMMYFUNCTION("GOOGLETRANSLATE(B226)")," Beanie bebês")</f>
        <v> Beanie bebês</v>
      </c>
      <c r="G226" s="3" t="str">
        <f>IFERROR(__xludf.DUMMYFUNCTION("GOOGLETRANSLATE(C226)"),"Quando o primeiro filho do gorro saiu")</f>
        <v>Quando o primeiro filho do gorro saiu</v>
      </c>
      <c r="H226" s="3" t="str">
        <f>IFERROR(__xludf.DUMMYFUNCTION("GOOGLETRANSLATE(D226)")," Nove bebês originais de gorro original foram lançados em 1993: pernas o sapo, grito o porco, localize o cachorro, piscar a orca, espalhar a baleia, chocolate o alce, patti o ornitorrinco, brownie o urso (mais tarde renomeado `` cubbie ''), e biçadeiras a"&amp;" lagosta (com alguns erros de tag com `` perfuradores ''). Eles não estavam em produção de fábrica até 1994. As vendas foram lentas a princípio, a ponto de que, em 1995, muitos varejistas se recusaram a comprar os produtos nos pacotes que Ty os ofereceu, "&amp;"enquanto outros se recusavam a comprá -los de qualquer forma. A popularidade logo cresceu, no entanto, primeiro começando localmente em Chicago antes de se transformar em uma mania nacional nos EUA.")</f>
        <v> Nove bebês originais de gorro original foram lançados em 1993: pernas o sapo, grito o porco, localize o cachorro, piscar a orca, espalhar a baleia, chocolate o alce, patti o ornitorrinco, brownie o urso (mais tarde renomeado `` cubbie ''), e biçadeiras a lagosta (com alguns erros de tag com `` perfuradores ''). Eles não estavam em produção de fábrica até 1994. As vendas foram lentas a princípio, a ponto de que, em 1995, muitos varejistas se recusaram a comprar os produtos nos pacotes que Ty os ofereceu, enquanto outros se recusavam a comprá -los de qualquer forma. A popularidade logo cresceu, no entanto, primeiro começando localmente em Chicago antes de se transformar em uma mania nacional nos EUA.</v>
      </c>
      <c r="I226" s="3" t="str">
        <f>IFERROR(__xludf.DUMMYFUNCTION("GOOGLETRANSLATE(E226)"),"1993")</f>
        <v>1993</v>
      </c>
    </row>
    <row r="227" ht="15.75" customHeight="1">
      <c r="A227" s="1">
        <v>225.0</v>
      </c>
      <c r="B227" s="3" t="s">
        <v>832</v>
      </c>
      <c r="C227" s="3" t="s">
        <v>833</v>
      </c>
      <c r="D227" s="3" t="s">
        <v>834</v>
      </c>
      <c r="E227" s="3" t="s">
        <v>835</v>
      </c>
      <c r="F227" s="3" t="str">
        <f>IFERROR(__xludf.DUMMYFUNCTION("GOOGLETRANSLATE(B227)")," Economia da Argentina")</f>
        <v> Economia da Argentina</v>
      </c>
      <c r="G227" s="3" t="str">
        <f>IFERROR(__xludf.DUMMYFUNCTION("GOOGLETRANSLATE(C227)"),"quanto dinheiro a Argentina ganha com o turismo")</f>
        <v>quanto dinheiro a Argentina ganha com o turismo</v>
      </c>
      <c r="H227" s="3" t="str">
        <f>IFERROR(__xludf.DUMMYFUNCTION("GOOGLETRANSLATE(D227)")," De acordo com o relatório de competitividade de viagens e turismo do Fórum Econômico Mundial, o turismo gerou mais de US $ 22 bilhões, ou 3,9 % do PIB, e a indústria empregou mais de 671.000 pessoas, ou aproximadamente 3,7 % da força de trabalho total. O"&amp;" turismo do exterior contribuiu com US $ 5,3 bilhões, tendo se tornado a terceira maior fonte de câmbio em 2004. Cerca de 5,7 milhões de visitantes estrangeiros chegaram em 2017, refletindo uma duplicação nos visitantes desde 2002, apesar de uma apreciaçã"&amp;"o relativa do peso.")</f>
        <v> De acordo com o relatório de competitividade de viagens e turismo do Fórum Econômico Mundial, o turismo gerou mais de US $ 22 bilhões, ou 3,9 % do PIB, e a indústria empregou mais de 671.000 pessoas, ou aproximadamente 3,7 % da força de trabalho total. O turismo do exterior contribuiu com US $ 5,3 bilhões, tendo se tornado a terceira maior fonte de câmbio em 2004. Cerca de 5,7 milhões de visitantes estrangeiros chegaram em 2017, refletindo uma duplicação nos visitantes desde 2002, apesar de uma apreciação relativa do peso.</v>
      </c>
      <c r="I227" s="3" t="str">
        <f>IFERROR(__xludf.DUMMYFUNCTION("GOOGLETRANSLATE(E227)"),"mais de US $ 22 bilhões")</f>
        <v>mais de US $ 22 bilhões</v>
      </c>
    </row>
    <row r="228" ht="15.75" customHeight="1">
      <c r="A228" s="1">
        <v>226.0</v>
      </c>
      <c r="B228" s="3" t="s">
        <v>836</v>
      </c>
      <c r="C228" s="3" t="s">
        <v>837</v>
      </c>
      <c r="D228" s="3" t="s">
        <v>838</v>
      </c>
      <c r="F228" s="3" t="str">
        <f>IFERROR(__xludf.DUMMYFUNCTION("GOOGLETRANSLATE(B228)")," Seleção de futebol nacional da Guatemala")</f>
        <v> Seleção de futebol nacional da Guatemala</v>
      </c>
      <c r="G228" s="3" t="str">
        <f>IFERROR(__xludf.DUMMYFUNCTION("GOOGLETRANSLATE(C228)"),"Quando foi a última vez que a Guatemala foi para a Copa do Mundo")</f>
        <v>Quando foi a última vez que a Guatemala foi para a Copa do Mundo</v>
      </c>
      <c r="H228" s="3" t="str">
        <f>IFERROR(__xludf.DUMMYFUNCTION("GOOGLETRANSLATE(D228)")," A equipe fez três aparições no torneio olímpico, competindo nos Jogos Olímpicos de 1968, 1976 e 1988. A Guatemala nunca se classificou para um torneio final da Copa do Mundo, embora tenham chegado à rodada final de qualificação em quatro ocasiões.")</f>
        <v> A equipe fez três aparições no torneio olímpico, competindo nos Jogos Olímpicos de 1968, 1976 e 1988. A Guatemala nunca se classificou para um torneio final da Copa do Mundo, embora tenham chegado à rodada final de qualificação em quatro ocasiões.</v>
      </c>
      <c r="I228" s="3" t="str">
        <f>IFERROR(__xludf.DUMMYFUNCTION("GOOGLETRANSLATE(E228)"),"#VALUE!")</f>
        <v>#VALUE!</v>
      </c>
    </row>
    <row r="229" ht="15.75" customHeight="1">
      <c r="A229" s="1">
        <v>227.0</v>
      </c>
      <c r="B229" s="3" t="s">
        <v>839</v>
      </c>
      <c r="C229" s="3" t="s">
        <v>840</v>
      </c>
      <c r="D229" s="3" t="s">
        <v>841</v>
      </c>
      <c r="E229" s="3" t="s">
        <v>842</v>
      </c>
      <c r="F229" s="3" t="str">
        <f>IFERROR(__xludf.DUMMYFUNCTION("GOOGLETRANSLATE(B229)")," Parade do Dia de Ação de Graças de Macy")</f>
        <v> Parade do Dia de Ação de Graças de Macy</v>
      </c>
      <c r="G229" s="3" t="str">
        <f>IFERROR(__xludf.DUMMYFUNCTION("GOOGLETRANSLATE(C229)"),"onde está o desfile do dia de Ação de Graças da Macy")</f>
        <v>onde está o desfile do dia de Ação de Graças da Macy</v>
      </c>
      <c r="H229" s="3" t="str">
        <f>IFERROR(__xludf.DUMMYFUNCTION("GOOGLETRANSLATE(D229)")," O desfile anual do Dia de Ação de Graças de Macy, na cidade de Nova York, o maior desfile do mundo, é apresentado pela cadeia de lojas de departamentos Macy, com sede nos EUA. A tradição começou em 1924, amarrando -a pelo segundo - mais antigo desfile de"&amp;" Ação de Graças nos Estados Unidos com o desfile de Ação de Graças da América em Detroit (com os dois desfiles sendo quatro anos mais jovens que o desfile do Dia de Ação de Graças do Dunkin 'Dunkin' Dunkin na Filadélfia). O evento de três horas de Macy é "&amp;"realizado em Manhattan, a partir das 9:00 da manhã, horário padrão do Eastern no Dia de Ação de Graças, e é televisionado nacionalmente na NBC desde 1952.")</f>
        <v> O desfile anual do Dia de Ação de Graças de Macy, na cidade de Nova York, o maior desfile do mundo, é apresentado pela cadeia de lojas de departamentos Macy, com sede nos EUA. A tradição começou em 1924, amarrando -a pelo segundo - mais antigo desfile de Ação de Graças nos Estados Unidos com o desfile de Ação de Graças da América em Detroit (com os dois desfiles sendo quatro anos mais jovens que o desfile do Dia de Ação de Graças do Dunkin 'Dunkin' Dunkin na Filadélfia). O evento de três horas de Macy é realizado em Manhattan, a partir das 9:00 da manhã, horário padrão do Eastern no Dia de Ação de Graças, e é televisionado nacionalmente na NBC desde 1952.</v>
      </c>
      <c r="I229" s="3" t="str">
        <f>IFERROR(__xludf.DUMMYFUNCTION("GOOGLETRANSLATE(E229)"),"Manhattan")</f>
        <v>Manhattan</v>
      </c>
    </row>
    <row r="230" ht="15.75" customHeight="1">
      <c r="A230" s="1">
        <v>228.0</v>
      </c>
      <c r="B230" s="3" t="s">
        <v>843</v>
      </c>
      <c r="C230" s="3" t="s">
        <v>844</v>
      </c>
      <c r="D230" s="3" t="s">
        <v>845</v>
      </c>
      <c r="E230" s="3" t="s">
        <v>846</v>
      </c>
      <c r="F230" s="3" t="str">
        <f>IFERROR(__xludf.DUMMYFUNCTION("GOOGLETRANSLATE(B230)")," Colônias da Nova Inglaterra")</f>
        <v> Colônias da Nova Inglaterra</v>
      </c>
      <c r="G230" s="3" t="str">
        <f>IFERROR(__xludf.DUMMYFUNCTION("GOOGLETRANSLATE(C230)"),"O que grupos religiosos viviam nas colônias da Nova Inglaterra")</f>
        <v>O que grupos religiosos viviam nas colônias da Nova Inglaterra</v>
      </c>
      <c r="H230" s="3" t="str">
        <f>IFERROR(__xludf.DUMMYFUNCTION("GOOGLETRANSLATE(D230)")," Um grupo maior de puritanos chegou em 1630, deixando a Inglaterra porque desejavam adorar de uma maneira que diferisse da Igreja da Inglaterra. Seus pontos de vista estavam de acordo com os dos peregrinos que chegaram ao Mayflower, exceto que os peregrin"&amp;"os eram `` separatistas '', que achavam que precisavam se separar da Igreja da Inglaterra, enquanto os puritanos posteriores estavam contentes em permanecer sob o guarda -chuva da Igreja da Inglaterra. As colônias separadas foram governadas independenteme"&amp;"nte do outro até 1691, quando a colônia de Plymouth foi absorvida pela colônia da Baía de Massachusetts para formar a província de Massachusetts Bay.")</f>
        <v> Um grupo maior de puritanos chegou em 1630, deixando a Inglaterra porque desejavam adorar de uma maneira que diferisse da Igreja da Inglaterra. Seus pontos de vista estavam de acordo com os dos peregrinos que chegaram ao Mayflower, exceto que os peregrinos eram `` separatistas '', que achavam que precisavam se separar da Igreja da Inglaterra, enquanto os puritanos posteriores estavam contentes em permanecer sob o guarda -chuva da Igreja da Inglaterra. As colônias separadas foram governadas independentemente do outro até 1691, quando a colônia de Plymouth foi absorvida pela colônia da Baía de Massachusetts para formar a província de Massachusetts Bay.</v>
      </c>
      <c r="I230" s="3" t="str">
        <f>IFERROR(__xludf.DUMMYFUNCTION("GOOGLETRANSLATE(E230)"),"Puritanos")</f>
        <v>Puritanos</v>
      </c>
    </row>
    <row r="231" ht="15.75" customHeight="1">
      <c r="A231" s="1">
        <v>229.0</v>
      </c>
      <c r="B231" s="3" t="s">
        <v>847</v>
      </c>
      <c r="C231" s="3" t="s">
        <v>848</v>
      </c>
      <c r="D231" s="3" t="s">
        <v>849</v>
      </c>
      <c r="F231" s="3" t="str">
        <f>IFERROR(__xludf.DUMMYFUNCTION("GOOGLETRANSLATE(B231)")," Índice")</f>
        <v> Índice</v>
      </c>
      <c r="G231" s="3" t="str">
        <f>IFERROR(__xludf.DUMMYFUNCTION("GOOGLETRANSLATE(C231)"),"Descreva as principais seções do índice")</f>
        <v>Descreva as principais seções do índice</v>
      </c>
      <c r="H231" s="3" t="str">
        <f>IFERROR(__xludf.DUMMYFUNCTION("GOOGLETRANSLATE(D231)")," Um índice geralmente inclui os títulos ou descrições dos cabeçalhos de primeiro nível, como títulos de capítulos em obras mais longas, e geralmente inclui títulos de segundo ou seção de nível ou seção (A -cabeças) dentro dos capítulos, e ocasionalmente a"&amp;"té terceiro - terceiro - títulos de nível (subseções ou cabeças B). A profundidade dos detalhes no conteúdo depende da duração do trabalho, com trabalhos mais longos tendo menos. Relatórios formais (dez ou mais páginas e por muito tempo para colocar em um"&amp;" memorando ou carta) também têm um índice. Dentro de um livro em inglês, o índice geralmente aparece após a página de título, avisos de direitos autorais e, em periódicos técnicos, o resumo; e antes de quaisquer listas de tabelas ou figuras, o prefácio e "&amp;"o prefácio.")</f>
        <v> Um índice geralmente inclui os títulos ou descrições dos cabeçalhos de primeiro nível, como títulos de capítulos em obras mais longas, e geralmente inclui títulos de segundo ou seção de nível ou seção (A -cabeças) dentro dos capítulos, e ocasionalmente até terceiro - terceiro - títulos de nível (subseções ou cabeças B). A profundidade dos detalhes no conteúdo depende da duração do trabalho, com trabalhos mais longos tendo menos. Relatórios formais (dez ou mais páginas e por muito tempo para colocar em um memorando ou carta) também têm um índice. Dentro de um livro em inglês, o índice geralmente aparece após a página de título, avisos de direitos autorais e, em periódicos técnicos, o resumo; e antes de quaisquer listas de tabelas ou figuras, o prefácio e o prefácio.</v>
      </c>
      <c r="I231" s="3" t="str">
        <f>IFERROR(__xludf.DUMMYFUNCTION("GOOGLETRANSLATE(E231)"),"#VALUE!")</f>
        <v>#VALUE!</v>
      </c>
    </row>
    <row r="232" ht="15.75" customHeight="1">
      <c r="A232" s="1">
        <v>230.0</v>
      </c>
      <c r="B232" s="3" t="s">
        <v>850</v>
      </c>
      <c r="C232" s="3" t="s">
        <v>851</v>
      </c>
      <c r="D232" s="3" t="s">
        <v>852</v>
      </c>
      <c r="E232" s="3" t="s">
        <v>853</v>
      </c>
      <c r="F232" s="3" t="str">
        <f>IFERROR(__xludf.DUMMYFUNCTION("GOOGLETRANSLATE(B232)")," Lipídios no sangue")</f>
        <v> Lipídios no sangue</v>
      </c>
      <c r="G232" s="3" t="str">
        <f>IFERROR(__xludf.DUMMYFUNCTION("GOOGLETRANSLATE(C232)"),"Onde os ácidos graxos de cadeia longa entram pela primeira vez na corrente sanguínea")</f>
        <v>Onde os ácidos graxos de cadeia longa entram pela primeira vez na corrente sanguínea</v>
      </c>
      <c r="H232" s="3" t="str">
        <f>IFERROR(__xludf.DUMMYFUNCTION("GOOGLETRANSLATE(D232)")," Os lipídios sanguíneos (ou gorduras sanguíneos) são lipídios no sangue, livres ou ligados a outras moléculas. Eles são transportados principalmente em uma cápsula de proteína, e a densidade dos lipídios e o tipo de proteína determina o destino da partícu"&amp;"la e sua influência no metabolismo. A concentração de lipídios no sangue depende da ingestão e excreção do intestino, e captação e secreção das células. Os lipídios sanguíneos são principalmente ácidos graxos e colesterol. A hiperlipidemia é a presença de"&amp;" níveis elevados ou anormais de lipídios e / ou lipoproteínas no sangue e é um importante fator de risco para doenças cardiovasculares.")</f>
        <v> Os lipídios sanguíneos (ou gorduras sanguíneos) são lipídios no sangue, livres ou ligados a outras moléculas. Eles são transportados principalmente em uma cápsula de proteína, e a densidade dos lipídios e o tipo de proteína determina o destino da partícula e sua influência no metabolismo. A concentração de lipídios no sangue depende da ingestão e excreção do intestino, e captação e secreção das células. Os lipídios sanguíneos são principalmente ácidos graxos e colesterol. A hiperlipidemia é a presença de níveis elevados ou anormais de lipídios e / ou lipoproteínas no sangue e é um importante fator de risco para doenças cardiovasculares.</v>
      </c>
      <c r="I232" s="3" t="str">
        <f>IFERROR(__xludf.DUMMYFUNCTION("GOOGLETRANSLATE(E232)"),"Os lipídios sanguíneos (ou gorduras sanguíneos) são lipídios no sangue, livres ou ligados a outras moléculas. Eles são transportados principalmente em uma cápsula de proteína, e a densidade dos lipídios e o tipo de proteína determina o destino da partícul"&amp;"a e sua influência no metabolismo. A concentração de lipídios no sangue depende da ingestão e excreção do intestino, e captação e secreção das células. Os lipídios sanguíneos são principalmente ácidos graxos e colesterol. A hiperlipidemia é a presença de "&amp;"níveis elevados ou anormais de lipídios e / ou lipoproteínas no sangue e é um importante fator de risco para doenças cardiovasculares.")</f>
        <v>Os lipídios sanguíneos (ou gorduras sanguíneos) são lipídios no sangue, livres ou ligados a outras moléculas. Eles são transportados principalmente em uma cápsula de proteína, e a densidade dos lipídios e o tipo de proteína determina o destino da partícula e sua influência no metabolismo. A concentração de lipídios no sangue depende da ingestão e excreção do intestino, e captação e secreção das células. Os lipídios sanguíneos são principalmente ácidos graxos e colesterol. A hiperlipidemia é a presença de níveis elevados ou anormais de lipídios e / ou lipoproteínas no sangue e é um importante fator de risco para doenças cardiovasculares.</v>
      </c>
    </row>
    <row r="233" ht="15.75" customHeight="1">
      <c r="A233" s="1">
        <v>231.0</v>
      </c>
      <c r="B233" s="3" t="s">
        <v>854</v>
      </c>
      <c r="C233" s="3" t="s">
        <v>855</v>
      </c>
      <c r="D233" s="3" t="s">
        <v>856</v>
      </c>
      <c r="E233" s="3" t="s">
        <v>857</v>
      </c>
      <c r="F233" s="3" t="str">
        <f>IFERROR(__xludf.DUMMYFUNCTION("GOOGLETRANSLATE(B233)")," Retina")</f>
        <v> Retina</v>
      </c>
      <c r="G233" s="3" t="str">
        <f>IFERROR(__xludf.DUMMYFUNCTION("GOOGLETRANSLATE(C233)"),"onde está a retina localizada nos olhos")</f>
        <v>onde está a retina localizada nos olhos</v>
      </c>
      <c r="H233" s="3" t="str">
        <f>IFERROR(__xludf.DUMMYFUNCTION("GOOGLETRANSLATE(D233)")," A retina é a camada mais interna, sensível à luz, ou `` casaco '', do tecido da concha do olho da maioria dos vertebrados e alguns moluscos. A óptica do olho cria uma imagem bidimensional focada do mundo visual na retina, que traduz essa imagem em impuls"&amp;"os neurais elétricos ao cérebro para criar percepção visual, a retina que serve a mesma função que filme ou CCD em um Câmera .")</f>
        <v> A retina é a camada mais interna, sensível à luz, ou `` casaco '', do tecido da concha do olho da maioria dos vertebrados e alguns moluscos. A óptica do olho cria uma imagem bidimensional focada do mundo visual na retina, que traduz essa imagem em impulsos neurais elétricos ao cérebro para criar percepção visual, a retina que serve a mesma função que filme ou CCD em um Câmera .</v>
      </c>
      <c r="I233" s="3" t="str">
        <f>IFERROR(__xludf.DUMMYFUNCTION("GOOGLETRANSLATE(E233)"),"Camada mais interna, leve - sensível, ou `` casaco '', de tecido da concha do olho")</f>
        <v>Camada mais interna, leve - sensível, ou `` casaco '', de tecido da concha do olho</v>
      </c>
    </row>
    <row r="234" ht="15.75" customHeight="1">
      <c r="A234" s="1">
        <v>232.0</v>
      </c>
      <c r="B234" s="3" t="s">
        <v>858</v>
      </c>
      <c r="C234" s="3" t="s">
        <v>859</v>
      </c>
      <c r="D234" s="3" t="s">
        <v>860</v>
      </c>
      <c r="E234" s="3" t="s">
        <v>861</v>
      </c>
      <c r="F234" s="3" t="str">
        <f>IFERROR(__xludf.DUMMYFUNCTION("GOOGLETRANSLATE(B234)")," Elsa (Disney)")</f>
        <v> Elsa (Disney)</v>
      </c>
      <c r="G234" s="3" t="str">
        <f>IFERROR(__xludf.DUMMYFUNCTION("GOOGLETRANSLATE(C234)"),"quem fez a voz para Elsa em Frozen")</f>
        <v>quem fez a voz para Elsa em Frozen</v>
      </c>
      <c r="H234" s="3" t="str">
        <f>IFERROR(__xludf.DUMMYFUNCTION("GOOGLETRANSLATE(D234)")," A rainha Elsa de Arendelle é uma personagem fictícia que aparece no 53º filme animado de Walt Disney Pictures Frozen. Ela é dublada principalmente pela atriz e cantora da Broadway, Idina Menzel. No início do filme, ela é dublada por Eva Bella quando cria"&amp;"nça e por Spencer Lacey Ganus quando adolescente.")</f>
        <v> A rainha Elsa de Arendelle é uma personagem fictícia que aparece no 53º filme animado de Walt Disney Pictures Frozen. Ela é dublada principalmente pela atriz e cantora da Broadway, Idina Menzel. No início do filme, ela é dublada por Eva Bella quando criança e por Spencer Lacey Ganus quando adolescente.</v>
      </c>
      <c r="I234" s="3" t="str">
        <f>IFERROR(__xludf.DUMMYFUNCTION("GOOGLETRANSLATE(E234)"),"Eva Bella")</f>
        <v>Eva Bella</v>
      </c>
    </row>
    <row r="235" ht="15.75" customHeight="1">
      <c r="A235" s="1">
        <v>233.0</v>
      </c>
      <c r="B235" s="3" t="s">
        <v>260</v>
      </c>
      <c r="C235" s="3" t="s">
        <v>862</v>
      </c>
      <c r="D235" s="3" t="s">
        <v>863</v>
      </c>
      <c r="F235" s="3" t="str">
        <f>IFERROR(__xludf.DUMMYFUNCTION("GOOGLETRANSLATE(B235)")," Claire Underwood")</f>
        <v> Claire Underwood</v>
      </c>
      <c r="G235" s="3" t="str">
        <f>IFERROR(__xludf.DUMMYFUNCTION("GOOGLETRANSLATE(C235)"),"O que o general fez com Claire em House of Cards")</f>
        <v>O que o general fez com Claire em House of Cards</v>
      </c>
      <c r="H235" s="3" t="str">
        <f>IFERROR(__xludf.DUMMYFUNCTION("GOOGLETRANSLATE(D235)")," A principal história de Claire na segunda temporada é sua defesa, como segunda -dama, para uma conta de prevenção de agressão sexual. Durante sua campanha pelo projeto, surge um segredo de seus dias de faculdade: durante uma entrevista televisionada naci"&amp;"onalmente, ela admite que foi estuprada na faculdade e que seu estuprador, Dalton McGinnis (Peter Bradbury), é agora um general de alto escalão. (Ela já havia tido um encontro desconfortável com McGinnis em um jantar da Casa Branca, durante o qual havia c"&amp;"ontado a Frank o que o general havia feito com ela.) Ela também admite ter abortado uma gravidez que ela afirma ser o resultado do estupro; Mais tarde, é revelado que ela de fato abortou o filho de Frank, com seu consentimento. Ela então converte o foco n"&amp;"essa questão em apoio político que se torna crítico para a ascensão dos Underwoods no Salão Oval.")</f>
        <v> A principal história de Claire na segunda temporada é sua defesa, como segunda -dama, para uma conta de prevenção de agressão sexual. Durante sua campanha pelo projeto, surge um segredo de seus dias de faculdade: durante uma entrevista televisionada nacionalmente, ela admite que foi estuprada na faculdade e que seu estuprador, Dalton McGinnis (Peter Bradbury), é agora um general de alto escalão. (Ela já havia tido um encontro desconfortável com McGinnis em um jantar da Casa Branca, durante o qual havia contado a Frank o que o general havia feito com ela.) Ela também admite ter abortado uma gravidez que ela afirma ser o resultado do estupro; Mais tarde, é revelado que ela de fato abortou o filho de Frank, com seu consentimento. Ela então converte o foco nessa questão em apoio político que se torna crítico para a ascensão dos Underwoods no Salão Oval.</v>
      </c>
      <c r="I235" s="3" t="str">
        <f>IFERROR(__xludf.DUMMYFUNCTION("GOOGLETRANSLATE(E235)"),"#VALUE!")</f>
        <v>#VALUE!</v>
      </c>
    </row>
    <row r="236" ht="15.75" customHeight="1">
      <c r="A236" s="1">
        <v>234.0</v>
      </c>
      <c r="B236" s="3" t="s">
        <v>864</v>
      </c>
      <c r="C236" s="3" t="s">
        <v>865</v>
      </c>
      <c r="D236" s="3" t="s">
        <v>866</v>
      </c>
      <c r="E236" s="3" t="s">
        <v>867</v>
      </c>
      <c r="F236" s="3" t="str">
        <f>IFERROR(__xludf.DUMMYFUNCTION("GOOGLETRANSLATE(B236)")," Pam abelha")</f>
        <v> Pam abelha</v>
      </c>
      <c r="G236" s="3" t="str">
        <f>IFERROR(__xludf.DUMMYFUNCTION("GOOGLETRANSLATE(C236)"),"Que episódio na terceira temporada Jim e Pam se reúnem")</f>
        <v>Que episódio na terceira temporada Jim e Pam se reúnem</v>
      </c>
      <c r="H236" s="3" t="str">
        <f>IFERROR(__xludf.DUMMYFUNCTION("GOOGLETRANSLATE(D236)")," Pam participa de uma mostra de arte, mas poucas pessoas participam. Seu colega de trabalho, Oscar, traz seu parceiro que, sem saber que Pam está atrás dele, critica seu trabalho ao proclamar que `` arte real requer coragem. O Oscar continua dizendo que a"&amp;" coragem não é um dos pontos fortes de Pam. Afetada por esta declaração, Pam diz à equipe de documentários que ela será mais honesta, culminando em uma dramática caminhada de carvão durante o próximo episódio - Último episódio da temporada, `` jogos de pr"&amp;"aia '' e um discurso aparentemente sincero para Jim em frente a todo o escritório sobre o relacionamento deles. Michael também chega ao show de arte e revela seu coração e lealdade erraticamente gentis ao comprar, enquadrar e pendurar o desenho de Pam do "&amp;"prédio de Dunder Mifflin no escritório. No final da temporada, `` o trabalho '', ela deixa uma nota amigável na pasta de Jim e uma antiga lembrança que descreve a tampa de iogurte da 'medalha de ouro' dos Jogos Olímpicos do Escritório, que ele vê durante "&amp;"uma entrevista para um emprego na empresa Na cidade de Nova York . Enquanto ele lhe é perguntado como ele `` funcionaria aqui em Nova York '', Jim demonstra que teria sua mente em Scranton, ainda distraído pelo pensamento de Pam. Jim retira seu nome de co"&amp;"nsideração e volta ao escritório, onde interrompe uma cabeça falante que Pam está fazendo para a equipe de documentários convidando -a para jantar. Ela aceita alegremente, visivelmente comoveu, abandonando uma linha de pensamento sobre como ficaria bem se"&amp;" Jim conseguisse o emprego e nunca voltasse a Scranton. Karen sai logo depois, tornando -se gerente regional da filial de Utica, de Dunder Mifflin.")</f>
        <v> Pam participa de uma mostra de arte, mas poucas pessoas participam. Seu colega de trabalho, Oscar, traz seu parceiro que, sem saber que Pam está atrás dele, critica seu trabalho ao proclamar que `` arte real requer coragem. O Oscar continua dizendo que a coragem não é um dos pontos fortes de Pam. Afetada por esta declaração, Pam diz à equipe de documentários que ela será mais honesta, culminando em uma dramática caminhada de carvão durante o próximo episódio - Último episódio da temporada, `` jogos de praia '' e um discurso aparentemente sincero para Jim em frente a todo o escritório sobre o relacionamento deles. Michael também chega ao show de arte e revela seu coração e lealdade erraticamente gentis ao comprar, enquadrar e pendurar o desenho de Pam do prédio de Dunder Mifflin no escritório. No final da temporada, `` o trabalho '', ela deixa uma nota amigável na pasta de Jim e uma antiga lembrança que descreve a tampa de iogurte da 'medalha de ouro' dos Jogos Olímpicos do Escritório, que ele vê durante uma entrevista para um emprego na empresa Na cidade de Nova York . Enquanto ele lhe é perguntado como ele `` funcionaria aqui em Nova York '', Jim demonstra que teria sua mente em Scranton, ainda distraído pelo pensamento de Pam. Jim retira seu nome de consideração e volta ao escritório, onde interrompe uma cabeça falante que Pam está fazendo para a equipe de documentários convidando -a para jantar. Ela aceita alegremente, visivelmente comoveu, abandonando uma linha de pensamento sobre como ficaria bem se Jim conseguisse o emprego e nunca voltasse a Scranton. Karen sai logo depois, tornando -se gerente regional da filial de Utica, de Dunder Mifflin.</v>
      </c>
      <c r="I236" s="3" t="str">
        <f>IFERROR(__xludf.DUMMYFUNCTION("GOOGLETRANSLATE(E236)"),"o final da temporada, `` o trabalho '' ''")</f>
        <v>o final da temporada, `` o trabalho '' ''</v>
      </c>
    </row>
    <row r="237" ht="15.75" customHeight="1">
      <c r="A237" s="1">
        <v>235.0</v>
      </c>
      <c r="B237" s="3" t="s">
        <v>868</v>
      </c>
      <c r="C237" s="3" t="s">
        <v>869</v>
      </c>
      <c r="D237" s="3" t="s">
        <v>870</v>
      </c>
      <c r="E237" s="3" t="s">
        <v>871</v>
      </c>
      <c r="F237" s="3" t="str">
        <f>IFERROR(__xludf.DUMMYFUNCTION("GOOGLETRANSLATE(B237)")," Lista de melhores - vendendo artistas musicais")</f>
        <v> Lista de melhores - vendendo artistas musicais</v>
      </c>
      <c r="G237" s="3" t="str">
        <f>IFERROR(__xludf.DUMMYFUNCTION("GOOGLETRANSLATE(C237)"),"Quem vendeu mais registros até o momento")</f>
        <v>Quem vendeu mais registros até o momento</v>
      </c>
      <c r="H237" s="3" t="str">
        <f>IFERROR(__xludf.DUMMYFUNCTION("GOOGLETRANSLATE(D237)"),"   O ano de lançamento ativo do país / período do país de artista, o ano do primeiro registro, as unidades certificadas totais de gênero (dos mercados disponíveis) reivindicaram vendas The Beatles United Reino United 1960 - 1970 1962 Rock / Pop Total Disp"&amp;"onível unidades certificadas: 271,9 milhões de nós: 212.250 milhões de jpn: 4.950 milhões GER: 8 milhões de Reino Unido: 18.445 milhões de FRA: 3,890 milhões de latas: 14.455 milhões Aus: 3,060 milhões 500.000 Pol: 175.000 NZ: 660.000 600 milhões 500 milh"&amp;"ões de Elvis Presley Estados Unidos 1954 - 1977 1954 Rock and Roll / Pop / País Total Disponível Unidades Certificadas: 224,5 milhões US: 199.150 milhões : 2,590 milhões de latas: 2,925 milhões de AUS: 1,797 milhão de sutiã: 125.000 NLD: 555.000 ITA: 105."&amp;"000 spa: 300.000 SWE 380.000 Den: 120.000 SWI: 185.000 mex: 105.000 Arg: 110.000 BEL: 115.000 AUT: 205.000 FIN: 213,945 nz: Milhões de 500 milhões de Michael Jackson Estados Unidos 1964 - 2009 1971 Pop / Rock / Dance / Soul / R &amp; B Total Disponível Unidad"&amp;"es Certificadas: 229,5 milhões US: 145,3 milhões de JPN: 4,650 milhões GER: 11.275 milhões de Reino Unido: 29.045 milhões de Fra: 11.375 milhões CAN: 4,670 milhões de AUS: 6,775 milhões de sutiã: 280.000 NLD: 2,105 milhões de ITA: 1,195 milhão de spa: 1,9"&amp;"95 milhão de SWE: 1,230 milhão de den: 1,289 milhão de SWI: 910.000 mex: 3,670 milhões de arg: 124.000 BEL: 665.000 AUT: 1,197 milhão : 384.127 NZ: 902.500 350 milhões 300 milhões de Madonna Estados Unidos 1979 - Apresentando 1982 Pop / Dance / Electronic"&amp;"a Total Disponível Unidades Certificadas: 172,9 milhões de EUA: 85,675 milhões de JPN: 6,450 milhões GER: 12,4 milhões de Reino Unido: 29,245 milhões de FRA: 12.81 milhões de latas : 6.030 milhões AUS: 4,787 milhões de sutiã: 3,440 milhões de NLD: 1,735 m"&amp;"ilhão de ITA: 465.000 spa: 2,815 milhões de SWE: 1,070 milhão de den: 407.000 SWI: 1,080 milhão de mex: 510.000 arg: 1,098 Bel: 740.000 AUT: 602.500 pol: 510.000 Fin: 510.000 Fin: 1,098 BEL: 740.000 AUT: 602.500 pol: 652.686 NZ: 417.500 300 milhões 275 mi"&amp;"lhões Elton John United Reino Unido 1964 - Presente 1969 Pop / Rock Total disponível unidades certificadas: 182,8 milhões de EUA: 129,350 milhões de JPN: 1,1 milhão de GER: 7,9 milhões de Reino Unido: 23.395 milhões de FRA: 4,825 milhões de latas: 5,975 M"&amp;"ilhões de AUS: 2,947 milhões de sutiã: 835.000 NLD: 975.000 SPA: 1,2 milhão de SWE: 740.000 Den: 195.000 SWI: 1,313 milhão de mex: 100.000 Arg: 128.000 BEL: 565.000 AUT: 765.000 POL: 150.000 Fin: 163.481 nz: 255.000 Milhões de 250 milhões Led Zeppelin Rei"&amp;"no Unido 1968 - 1980 1969 Hard Rock / Blues Rock / Folk Rock Total disponível unidades certificadas: 140 milhões de nós: 114,1 milhões de JPN: 400.000 GER: 3,775 milhões Reino Unido: 9.530 milhões de FRA: 2,310 milhões de latas: 4,710 milhões Aus: 2.8 Mil"&amp;"hões de sutiã: 820.000 ITA: 465.000 spa: 450.000 SWI: 211.000 arg: 360.000 pol: 120.000 300 milhões 200 milhões JPN: 100.000 GER: 7,5 milhões no Reino Unido: 11,720 milhões de FRA: 6,360 milhões de latas: 6,790 milhões de AUS: 2,932 milhões de sutiã: 515."&amp;"000 NLD: 435.000 ITA: 2,035 milhões de spa: 625.000 SWE: 220.000 SWI: 390.000 Arg: 582.000 BEL: 115.000 SWE: 220.000 SWI: 390.000 Arg: 582.000 Bel: 115.000 SWE: 220.000 SWI: 390.000 Arg: 582.000 Bel: 115.000 SWE: 220.000 SWI: 390.000 Arg: 582.000 BEL: 115"&amp;".000 SWE: 220.000 SWI: 390.000 AGR: 582.000 BEL: 460.000 POL: 590.000 NZ: 787.500 250 milhões de 200 milhões")</f>
        <v>   O ano de lançamento ativo do país / período do país de artista, o ano do primeiro registro, as unidades certificadas totais de gênero (dos mercados disponíveis) reivindicaram vendas The Beatles United Reino United 1960 - 1970 1962 Rock / Pop Total Disponível unidades certificadas: 271,9 milhões de nós: 212.250 milhões de jpn: 4.950 milhões GER: 8 milhões de Reino Unido: 18.445 milhões de FRA: 3,890 milhões de latas: 14.455 milhões Aus: 3,060 milhões 500.000 Pol: 175.000 NZ: 660.000 600 milhões 500 milhões de Elvis Presley Estados Unidos 1954 - 1977 1954 Rock and Roll / Pop / País Total Disponível Unidades Certificadas: 224,5 milhões US: 199.150 milhões : 2,590 milhões de latas: 2,925 milhões de AUS: 1,797 milhão de sutiã: 125.000 NLD: 555.000 ITA: 105.000 spa: 300.000 SWE 380.000 Den: 120.000 SWI: 185.000 mex: 105.000 Arg: 110.000 BEL: 115.000 AUT: 205.000 FIN: 213,945 nz: Milhões de 500 milhões de Michael Jackson Estados Unidos 1964 - 2009 1971 Pop / Rock / Dance / Soul / R &amp; B Total Disponível Unidades Certificadas: 229,5 milhões US: 145,3 milhões de JPN: 4,650 milhões GER: 11.275 milhões de Reino Unido: 29.045 milhões de Fra: 11.375 milhões CAN: 4,670 milhões de AUS: 6,775 milhões de sutiã: 280.000 NLD: 2,105 milhões de ITA: 1,195 milhão de spa: 1,995 milhão de SWE: 1,230 milhão de den: 1,289 milhão de SWI: 910.000 mex: 3,670 milhões de arg: 124.000 BEL: 665.000 AUT: 1,197 milhão : 384.127 NZ: 902.500 350 milhões 300 milhões de Madonna Estados Unidos 1979 - Apresentando 1982 Pop / Dance / Electronica Total Disponível Unidades Certificadas: 172,9 milhões de EUA: 85,675 milhões de JPN: 6,450 milhões GER: 12,4 milhões de Reino Unido: 29,245 milhões de FRA: 12.81 milhões de latas : 6.030 milhões AUS: 4,787 milhões de sutiã: 3,440 milhões de NLD: 1,735 milhão de ITA: 465.000 spa: 2,815 milhões de SWE: 1,070 milhão de den: 407.000 SWI: 1,080 milhão de mex: 510.000 arg: 1,098 Bel: 740.000 AUT: 602.500 pol: 510.000 Fin: 510.000 Fin: 1,098 BEL: 740.000 AUT: 602.500 pol: 652.686 NZ: 417.500 300 milhões 275 milhões Elton John United Reino Unido 1964 - Presente 1969 Pop / Rock Total disponível unidades certificadas: 182,8 milhões de EUA: 129,350 milhões de JPN: 1,1 milhão de GER: 7,9 milhões de Reino Unido: 23.395 milhões de FRA: 4,825 milhões de latas: 5,975 Milhões de AUS: 2,947 milhões de sutiã: 835.000 NLD: 975.000 SPA: 1,2 milhão de SWE: 740.000 Den: 195.000 SWI: 1,313 milhão de mex: 100.000 Arg: 128.000 BEL: 565.000 AUT: 765.000 POL: 150.000 Fin: 163.481 nz: 255.000 Milhões de 250 milhões Led Zeppelin Reino Unido 1968 - 1980 1969 Hard Rock / Blues Rock / Folk Rock Total disponível unidades certificadas: 140 milhões de nós: 114,1 milhões de JPN: 400.000 GER: 3,775 milhões Reino Unido: 9.530 milhões de FRA: 2,310 milhões de latas: 4,710 milhões Aus: 2.8 Milhões de sutiã: 820.000 ITA: 465.000 spa: 450.000 SWI: 211.000 arg: 360.000 pol: 120.000 300 milhões 200 milhões JPN: 100.000 GER: 7,5 milhões no Reino Unido: 11,720 milhões de FRA: 6,360 milhões de latas: 6,790 milhões de AUS: 2,932 milhões de sutiã: 515.000 NLD: 435.000 ITA: 2,035 milhões de spa: 625.000 SWE: 220.000 SWI: 390.000 Arg: 582.000 BEL: 115.000 SWE: 220.000 SWI: 390.000 Arg: 582.000 Bel: 115.000 SWE: 220.000 SWI: 390.000 Arg: 582.000 Bel: 115.000 SWE: 220.000 SWI: 390.000 Arg: 582.000 BEL: 115.000 SWE: 220.000 SWI: 390.000 AGR: 582.000 BEL: 460.000 POL: 590.000 NZ: 787.500 250 milhões de 200 milhões</v>
      </c>
      <c r="I237" s="3" t="str">
        <f>IFERROR(__xludf.DUMMYFUNCTION("GOOGLETRANSLATE(E237)"),"Os Beatles")</f>
        <v>Os Beatles</v>
      </c>
    </row>
    <row r="238" ht="15.75" customHeight="1">
      <c r="A238" s="1">
        <v>236.0</v>
      </c>
      <c r="B238" s="3" t="s">
        <v>872</v>
      </c>
      <c r="C238" s="3" t="s">
        <v>873</v>
      </c>
      <c r="D238" s="3" t="s">
        <v>874</v>
      </c>
      <c r="F238" s="3" t="str">
        <f>IFERROR(__xludf.DUMMYFUNCTION("GOOGLETRANSLATE(B238)")," Jogo da liga de futebol inglês - Offs")</f>
        <v> Jogo da liga de futebol inglês - Offs</v>
      </c>
      <c r="G238" s="3" t="str">
        <f>IFERROR(__xludf.DUMMYFUNCTION("GOOGLETRANSLATE(C238)"),"Faça os gols fora da conta nos playoffs da Liga Um")</f>
        <v>Faça os gols fora da conta nos playoffs da Liga Um</v>
      </c>
      <c r="H238" s="3" t="str">
        <f>IFERROR(__xludf.DUMMYFUNCTION("GOOGLETRANSLATE(D238)")," Antes dos gols de 1999 - 2000, os gols foram usados ​​como empate - o disjuntor após o tempo foi reproduzido, no entanto, isso foi abolido após uma iniciativa de clube lançada até então - o presidente da cidade de Ipswich, David Sheepshanks, depois que s"&amp;"eu clube se perdeu duas vezes para fora Metas em 1997 e 1999. Desde então, os gols fora não fizeram nenhum papel no sistema de jogo.")</f>
        <v> Antes dos gols de 1999 - 2000, os gols foram usados ​​como empate - o disjuntor após o tempo foi reproduzido, no entanto, isso foi abolido após uma iniciativa de clube lançada até então - o presidente da cidade de Ipswich, David Sheepshanks, depois que seu clube se perdeu duas vezes para fora Metas em 1997 e 1999. Desde então, os gols fora não fizeram nenhum papel no sistema de jogo.</v>
      </c>
      <c r="I238" s="3" t="str">
        <f>IFERROR(__xludf.DUMMYFUNCTION("GOOGLETRANSLATE(E238)"),"#VALUE!")</f>
        <v>#VALUE!</v>
      </c>
    </row>
    <row r="239" ht="15.75" customHeight="1">
      <c r="A239" s="1">
        <v>237.0</v>
      </c>
      <c r="B239" s="3" t="s">
        <v>875</v>
      </c>
      <c r="C239" s="3" t="s">
        <v>876</v>
      </c>
      <c r="D239" s="3" t="s">
        <v>877</v>
      </c>
      <c r="E239" s="3" t="s">
        <v>878</v>
      </c>
      <c r="F239" s="3" t="str">
        <f>IFERROR(__xludf.DUMMYFUNCTION("GOOGLETRANSLATE(B239)")," God of War (videogame de 2018)")</f>
        <v> God of War (videogame de 2018)</v>
      </c>
      <c r="G239" s="3" t="str">
        <f>IFERROR(__xludf.DUMMYFUNCTION("GOOGLETRANSLATE(C239)"),"Quando Deus da guerra sai para PC")</f>
        <v>Quando Deus da guerra sai para PC</v>
      </c>
      <c r="H239" s="3" t="str">
        <f>IFERROR(__xludf.DUMMYFUNCTION("GOOGLETRANSLATE(D239)")," O God of War é um jogo de Aventuras da Terceira Pessoa - Desenvolvido pelo Studio de Santa Monica e publicado pela Sony Interactive Entertainment (SIE). Lançado em 20 de abril de 2018, para o console PlayStation 4 (PS4), é a oitava parcela da série God o"&amp;"f War, o oitavo cronologicamente, e a sequência de God of War III de 2010. Ao contrário dos jogos anteriores, que foram vagamente baseados na mitologia grega, este jogo é vagamente baseado na mitologia nórdica. Os principais protagonistas são Kratos, o ex"&amp;" -deus grego da guerra, e seu jovem filho Atreus. Após a morte da segunda esposa de Kratos e da mãe de Atreus, eles viajam para cumprir sua promessa e espalhar suas cinzas no pico mais alto dos nove reinos. Kratos mantém seu perturbado um segredo de Atreu"&amp;"s, que não tem conhecimento de sua natureza divina. Ao longo de sua jornada, eles encontram monstros e deuses do mundo nórdico.")</f>
        <v> O God of War é um jogo de Aventuras da Terceira Pessoa - Desenvolvido pelo Studio de Santa Monica e publicado pela Sony Interactive Entertainment (SIE). Lançado em 20 de abril de 2018, para o console PlayStation 4 (PS4), é a oitava parcela da série God of War, o oitavo cronologicamente, e a sequência de God of War III de 2010. Ao contrário dos jogos anteriores, que foram vagamente baseados na mitologia grega, este jogo é vagamente baseado na mitologia nórdica. Os principais protagonistas são Kratos, o ex -deus grego da guerra, e seu jovem filho Atreus. Após a morte da segunda esposa de Kratos e da mãe de Atreus, eles viajam para cumprir sua promessa e espalhar suas cinzas no pico mais alto dos nove reinos. Kratos mantém seu perturbado um segredo de Atreus, que não tem conhecimento de sua natureza divina. Ao longo de sua jornada, eles encontram monstros e deuses do mundo nórdico.</v>
      </c>
      <c r="I239" s="3" t="str">
        <f>IFERROR(__xludf.DUMMYFUNCTION("GOOGLETRANSLATE(E239)"),"20 de abril de 2018")</f>
        <v>20 de abril de 2018</v>
      </c>
    </row>
    <row r="240" ht="15.75" customHeight="1">
      <c r="A240" s="1">
        <v>238.0</v>
      </c>
      <c r="B240" s="3" t="s">
        <v>879</v>
      </c>
      <c r="C240" s="3" t="s">
        <v>880</v>
      </c>
      <c r="D240" s="3" t="s">
        <v>881</v>
      </c>
      <c r="E240" s="3" t="s">
        <v>882</v>
      </c>
      <c r="F240" s="3" t="str">
        <f>IFERROR(__xludf.DUMMYFUNCTION("GOOGLETRANSLATE(B240)")," Artigo cinco da Constituição dos Estados Unidos")</f>
        <v> Artigo cinco da Constituição dos Estados Unidos</v>
      </c>
      <c r="G240" s="3" t="str">
        <f>IFERROR(__xludf.DUMMYFUNCTION("GOOGLETRANSLATE(C240)"),"Como você passa uma emenda à Constituição")</f>
        <v>Como você passa uma emenda à Constituição</v>
      </c>
      <c r="H240" s="3" t="str">
        <f>IFERROR(__xludf.DUMMYFUNCTION("GOOGLETRANSLATE(D240)")," O artigo cinco da Constituição dos Estados Unidos descreve o processo pelo qual a Constituição, o estado de governo da nação, pode ser alterada. A alteração da Constituição consiste em propor uma emenda ou emendas e ratificação subsequente. As emendas po"&amp;"dem ser propostas pelo Congresso com uma votação de dois terços na Câmara dos Deputados e no Senado ou por uma convenção de estados exigidos por dois terços das legislaturas estaduais. Para se tornar parte da Constituição, uma emenda deve ser ratificada p"&amp;"or um - conforme determinado pelo Congresso - pelas legislaturas de três quartos dos estados ou convenções ratificantes do estado em três quartos dos estados. O voto de cada Estado (para ratificar ou rejeitar uma emenda proposta) carrega peso igual, indep"&amp;"endentemente da população de um estado ou do tempo no sindicato.")</f>
        <v> O artigo cinco da Constituição dos Estados Unidos descreve o processo pelo qual a Constituição, o estado de governo da nação, pode ser alterada. A alteração da Constituição consiste em propor uma emenda ou emendas e ratificação subsequente. As emendas podem ser propostas pelo Congresso com uma votação de dois terços na Câmara dos Deputados e no Senado ou por uma convenção de estados exigidos por dois terços das legislaturas estaduais. Para se tornar parte da Constituição, uma emenda deve ser ratificada por um - conforme determinado pelo Congresso - pelas legislaturas de três quartos dos estados ou convenções ratificantes do estado em três quartos dos estados. O voto de cada Estado (para ratificar ou rejeitar uma emenda proposta) carrega peso igual, independentemente da população de um estado ou do tempo no sindicato.</v>
      </c>
      <c r="I240" s="3" t="str">
        <f>IFERROR(__xludf.DUMMYFUNCTION("GOOGLETRANSLATE(E240)"),"deve ser ratificado por um - conforme determinado pelo Congresso - as legislaturas de três quartos dos estados ou convenções de ratificação do estado em três quartos dos estados")</f>
        <v>deve ser ratificado por um - conforme determinado pelo Congresso - as legislaturas de três quartos dos estados ou convenções de ratificação do estado em três quartos dos estados</v>
      </c>
    </row>
    <row r="241" ht="15.75" customHeight="1">
      <c r="A241" s="1">
        <v>239.0</v>
      </c>
      <c r="B241" s="3" t="s">
        <v>883</v>
      </c>
      <c r="C241" s="3" t="s">
        <v>884</v>
      </c>
      <c r="D241" s="3" t="s">
        <v>885</v>
      </c>
      <c r="E241" s="3" t="s">
        <v>886</v>
      </c>
      <c r="F241" s="3" t="str">
        <f>IFERROR(__xludf.DUMMYFUNCTION("GOOGLETRANSLATE(B241)")," Seleção de futebol nacional da Croácia")</f>
        <v> Seleção de futebol nacional da Croácia</v>
      </c>
      <c r="G241" s="3" t="str">
        <f>IFERROR(__xludf.DUMMYFUNCTION("GOOGLETRANSLATE(C241)"),"Quando a Croácia terminou em 3º na Copa do Mundo")</f>
        <v>Quando a Croácia terminou em 3º na Copa do Mundo</v>
      </c>
      <c r="H241" s="3" t="str">
        <f>IFERROR(__xludf.DUMMYFUNCTION("GOOGLETRANSLATE(D241)")," Apesar do trimestre - a saída final, Blažević continuou a liderar a Croácia na campanha de qualificação para a Copa do Mundo de 1998, que terminou com sucesso após uma vitória agregada contra a Ucrânia no jogo de duas pernas. Na fase de grupos da Copa do"&amp;" Mundo, a Croácia venceu a Jamaica e o Japão, mas perdeu para a Argentina, antes de derrotar a Romênia para chegar a um quarto de empate contra a Alemanha, ficou em segundo lugar no mundo. A Croácia venceu 3 - 0 com gols de Robert Jarni, Goran Vlaović e D"&amp;"avor Šuker, tudo depois que Christian Wörns foi expulso. A Croácia então enfrentou a nação anfitriã, na França, na semifinal. Depois de uma primeira - metade, a Croácia assumiu a liderança, apenas para conceder dois gols ao defender o zagueiro Lilian Thur"&amp;"am e perder 1 - 2. Na terceira partida, a Croácia venceu o Holanda 2 - 1, com Davor Šuker ganhando o Golden Boot Award por marcar o maior número de gols do torneio com seis gols em sete jogos. A performance da Croácia em 1998 foi uma das melhores performa"&amp;"nces de estréia na Copa do Mundo (igualando o terceiro lugar de Portugal na estréia na Copa do Mundo de 1966) e, como resultado, a Croácia subiu para o número três no ranking mundial da FIFA de 1999, sua classificação mais alta até o momento. Para suas re"&amp;"alizações, a equipe dos anos 90 foi apelidada de `` Golden Generation. '' Uma parcela considerável deste esquadrão (Jarni, Štimac, Boban, Prosinečki e Šuker), venceu anteriormente o Campeonato Mundial da Juventude da FIFA de 1987 com a Equipe da Iugoslávi"&amp;"a sob - 20.")</f>
        <v> Apesar do trimestre - a saída final, Blažević continuou a liderar a Croácia na campanha de qualificação para a Copa do Mundo de 1998, que terminou com sucesso após uma vitória agregada contra a Ucrânia no jogo de duas pernas. Na fase de grupos da Copa do Mundo, a Croácia venceu a Jamaica e o Japão, mas perdeu para a Argentina, antes de derrotar a Romênia para chegar a um quarto de empate contra a Alemanha, ficou em segundo lugar no mundo. A Croácia venceu 3 - 0 com gols de Robert Jarni, Goran Vlaović e Davor Šuker, tudo depois que Christian Wörns foi expulso. A Croácia então enfrentou a nação anfitriã, na França, na semifinal. Depois de uma primeira - metade, a Croácia assumiu a liderança, apenas para conceder dois gols ao defender o zagueiro Lilian Thuram e perder 1 - 2. Na terceira partida, a Croácia venceu o Holanda 2 - 1, com Davor Šuker ganhando o Golden Boot Award por marcar o maior número de gols do torneio com seis gols em sete jogos. A performance da Croácia em 1998 foi uma das melhores performances de estréia na Copa do Mundo (igualando o terceiro lugar de Portugal na estréia na Copa do Mundo de 1966) e, como resultado, a Croácia subiu para o número três no ranking mundial da FIFA de 1999, sua classificação mais alta até o momento. Para suas realizações, a equipe dos anos 90 foi apelidada de `` Golden Generation. '' Uma parcela considerável deste esquadrão (Jarni, Štimac, Boban, Prosinečki e Šuker), venceu anteriormente o Campeonato Mundial da Juventude da FIFA de 1987 com a Equipe da Iugoslávia sob - 20.</v>
      </c>
      <c r="I241" s="3" t="str">
        <f>IFERROR(__xludf.DUMMYFUNCTION("GOOGLETRANSLATE(E241)"),"1998")</f>
        <v>1998</v>
      </c>
    </row>
    <row r="242" ht="15.75" customHeight="1">
      <c r="A242" s="1">
        <v>240.0</v>
      </c>
      <c r="B242" s="3" t="s">
        <v>887</v>
      </c>
      <c r="C242" s="3" t="s">
        <v>888</v>
      </c>
      <c r="D242" s="3" t="s">
        <v>889</v>
      </c>
      <c r="E242" s="3" t="s">
        <v>890</v>
      </c>
      <c r="F242" s="3" t="str">
        <f>IFERROR(__xludf.DUMMYFUNCTION("GOOGLETRANSLATE(B242)")," Eu sou uma celebridade ... me tire daqui! (Série de TV australiana)")</f>
        <v> Eu sou uma celebridade ... me tire daqui! (Série de TV australiana)</v>
      </c>
      <c r="G242" s="3" t="str">
        <f>IFERROR(__xludf.DUMMYFUNCTION("GOOGLETRANSLATE(C242)"),"Quem ganhou, sou uma celebridade, me tire da Austrália aqui")</f>
        <v>Quem ganhou, sou uma celebridade, me tire da Austrália aqui</v>
      </c>
      <c r="H242" s="3" t="str">
        <f>IFERROR(__xludf.DUMMYFUNCTION("GOOGLETRANSLATE(D242)"),"   CELEBRIDADE CONHECIDA PARA DIA DIA DIA EXIDO O resultado de Fiona O'Loughlin, vencedor do comediante 45 Shannon Noll Singer 45 Runner - UP Danny Green Boxer 7 45 Terceiro lugar Vicky Pattison Reality Star (I 'M a Celeb UK, vencedor) 17 44 EXTECIDO 10º "&amp;"Simone Holtznagel Model) 41 despejo 9º Peter Rowsthorn Ator &amp; comediante 40 Encometo 8º Jackie Gillies Psychic &amp; Reality TV Star 39 Encontro de Josh Josh Gibson AFL Jogador 38 despejou 6º Paul Burrell, ex -Royal Butler (eu sou uma celebridade no Reino Uni"&amp;"do, Runner Up) 17 37 EXTECIDO 5º LISA Oldfield Reality Reality) Estrela de TV 24 34 despejada 4ª David Oldfield Ex -Político 24 30 Desculpe 3º Kerry Armstrong Atriz 23 EXTECIADO 2º TIFFANY DARWISH Singer 16 despejado 1º Anthony Mundine Boxer 12 retirou Be"&amp;"rnard Tomic Tennis Player retirado")</f>
        <v>   CELEBRIDADE CONHECIDA PARA DIA DIA DIA EXIDO O resultado de Fiona O'Loughlin, vencedor do comediante 45 Shannon Noll Singer 45 Runner - UP Danny Green Boxer 7 45 Terceiro lugar Vicky Pattison Reality Star (I 'M a Celeb UK, vencedor) 17 44 EXTECIDO 10º Simone Holtznagel Model) 41 despejo 9º Peter Rowsthorn Ator &amp; comediante 40 Encometo 8º Jackie Gillies Psychic &amp; Reality TV Star 39 Encontro de Josh Josh Gibson AFL Jogador 38 despejou 6º Paul Burrell, ex -Royal Butler (eu sou uma celebridade no Reino Unido, Runner Up) 17 37 EXTECIDO 5º LISA Oldfield Reality Reality) Estrela de TV 24 34 despejada 4ª David Oldfield Ex -Político 24 30 Desculpe 3º Kerry Armstrong Atriz 23 EXTECIADO 2º TIFFANY DARWISH Singer 16 despejado 1º Anthony Mundine Boxer 12 retirou Bernard Tomic Tennis Player retirado</v>
      </c>
      <c r="I242" s="3" t="str">
        <f>IFERROR(__xludf.DUMMYFUNCTION("GOOGLETRANSLATE(E242)"),"Fiona O'Loughlin")</f>
        <v>Fiona O'Loughlin</v>
      </c>
    </row>
    <row r="243" ht="15.75" customHeight="1">
      <c r="A243" s="1">
        <v>241.0</v>
      </c>
      <c r="B243" s="3" t="s">
        <v>891</v>
      </c>
      <c r="C243" s="3" t="s">
        <v>892</v>
      </c>
      <c r="D243" s="3" t="s">
        <v>893</v>
      </c>
      <c r="F243" s="3" t="str">
        <f>IFERROR(__xludf.DUMMYFUNCTION("GOOGLETRANSLATE(B243)")," Acetilcolina")</f>
        <v> Acetilcolina</v>
      </c>
      <c r="G243" s="3" t="str">
        <f>IFERROR(__xludf.DUMMYFUNCTION("GOOGLETRANSLATE(C243)"),"onde está a acetilcolina liberada no sistema nervoso simpático")</f>
        <v>onde está a acetilcolina liberada no sistema nervoso simpático</v>
      </c>
      <c r="H243" s="3" t="str">
        <f>IFERROR(__xludf.DUMMYFUNCTION("GOOGLETRANSLATE(D243)")," Em um nível esquemático, os sistemas nervosos simpáticos e parassimpáticos são organizados essencialmente da mesma maneira: os neurônios pré -ganglionares no sistema nervoso central enviam projeções para neurônios localizados nos gânglios autonômicos; Es"&amp;"ses neurônios enviam projeções de saída para praticamente todos os tecidos do corpo. Nos dois ramos, as conexões internas - as projeções do sistema nervoso central para os gânglios autonômicos - usam acetilcolina como neurotransmissor, e os receptores que"&amp;" ativa são do tipo nicotínico. No sistema nervoso parassimpático, as conexões de saída - as projeções dos neurônios ganglionares a tecidos que não pertencem ao sistema nervoso - também liberam acetilcolina, agindo sobre receptores muscarínicos. No sistema"&amp;" nervoso simpático, as conexões de saída liberam principalmente a noradrenalina, embora a acetilcolina seja liberada em alguns pontos, como a inervação do sudomotor das glândulas suor.")</f>
        <v> Em um nível esquemático, os sistemas nervosos simpáticos e parassimpáticos são organizados essencialmente da mesma maneira: os neurônios pré -ganglionares no sistema nervoso central enviam projeções para neurônios localizados nos gânglios autonômicos; Esses neurônios enviam projeções de saída para praticamente todos os tecidos do corpo. Nos dois ramos, as conexões internas - as projeções do sistema nervoso central para os gânglios autonômicos - usam acetilcolina como neurotransmissor, e os receptores que ativa são do tipo nicotínico. No sistema nervoso parassimpático, as conexões de saída - as projeções dos neurônios ganglionares a tecidos que não pertencem ao sistema nervoso - também liberam acetilcolina, agindo sobre receptores muscarínicos. No sistema nervoso simpático, as conexões de saída liberam principalmente a noradrenalina, embora a acetilcolina seja liberada em alguns pontos, como a inervação do sudomotor das glândulas suor.</v>
      </c>
      <c r="I243" s="3" t="str">
        <f>IFERROR(__xludf.DUMMYFUNCTION("GOOGLETRANSLATE(E243)"),"#VALUE!")</f>
        <v>#VALUE!</v>
      </c>
    </row>
    <row r="244" ht="15.75" customHeight="1">
      <c r="A244" s="1">
        <v>242.0</v>
      </c>
      <c r="B244" s="3" t="s">
        <v>894</v>
      </c>
      <c r="C244" s="3" t="s">
        <v>895</v>
      </c>
      <c r="D244" s="3" t="s">
        <v>896</v>
      </c>
      <c r="E244" s="3" t="s">
        <v>897</v>
      </c>
      <c r="F244" s="3" t="str">
        <f>IFERROR(__xludf.DUMMYFUNCTION("GOOGLETRANSLATE(B244)")," Mãe Índia")</f>
        <v> Mãe Índia</v>
      </c>
      <c r="G244" s="3" t="str">
        <f>IFERROR(__xludf.DUMMYFUNCTION("GOOGLETRANSLATE(C244)"),"nomeado na melhor categoria de filme estrangeiro no Oscar Mother India perdido para")</f>
        <v>nomeado na melhor categoria de filme estrangeiro no Oscar Mother India perdido para</v>
      </c>
      <c r="H244" s="3" t="str">
        <f>IFERROR(__xludf.DUMMYFUNCTION("GOOGLETRANSLATE(D244)")," Mãe Índia, sua estrela Nargis e o diretor Khan receberam muitos prêmios e indicações. Nargis ganhou o prêmio Filmfare Best Atriz em 1958 e se tornou o primeiro indiano a receber o prêmio de Melhor Atriz no Karlovy Vary International Film Festival na Repú"&amp;"blica Tcheca atual. Mother India ganhou o Filmfare Award de Melhor Filme e conquistou vários outros prêmios de filmes, incluindo o Melhor Diretor de Khan, Melhor Canil o diretor de fotografia do Faredoon Irani e o melhor som para R. Kaushik. Em 1958, o fi"&amp;"lme se tornou o primeiro envio da Índia para o Oscar de Melhor Filme de Língua Estrangeira e foi escolhido como uma das cinco indicações para a categoria. A versão internacional, de 120 minutos, foi enviada para o Oscar. Além disso, esta versão tinha lege"&amp;"ndas em inglês e lançou o logotipo da Mehboob Productions, que apresentava o martelo e a falcional comunista, para apaziguar a academia. A versão de 120 minutos foi posteriormente distribuída nos EUA e no Reino Unido pela Columbia Pictures. O filme chegou"&amp;" perto de ganhar o Oscar, mas perdeu para as noites de Cabiria de Federico Fellini por um único voto. Khan ficou totalmente decepcionado por não ganhar o prêmio. `` Ele viu os outros filmes na briga e acreditava que a Mãe Índia era muito superior a eles '"&amp;"', lembrou Sunil Dutt anos depois. Ele também ganhou dois prêmios no 5º National Film Awards em 1957: um certificado de mérito All India para o melhor longa -metragem e certificado de mérito de melhor longa -metragem em hindi.")</f>
        <v> Mãe Índia, sua estrela Nargis e o diretor Khan receberam muitos prêmios e indicações. Nargis ganhou o prêmio Filmfare Best Atriz em 1958 e se tornou o primeiro indiano a receber o prêmio de Melhor Atriz no Karlovy Vary International Film Festival na República Tcheca atual. Mother India ganhou o Filmfare Award de Melhor Filme e conquistou vários outros prêmios de filmes, incluindo o Melhor Diretor de Khan, Melhor Canil o diretor de fotografia do Faredoon Irani e o melhor som para R. Kaushik. Em 1958, o filme se tornou o primeiro envio da Índia para o Oscar de Melhor Filme de Língua Estrangeira e foi escolhido como uma das cinco indicações para a categoria. A versão internacional, de 120 minutos, foi enviada para o Oscar. Além disso, esta versão tinha legendas em inglês e lançou o logotipo da Mehboob Productions, que apresentava o martelo e a falcional comunista, para apaziguar a academia. A versão de 120 minutos foi posteriormente distribuída nos EUA e no Reino Unido pela Columbia Pictures. O filme chegou perto de ganhar o Oscar, mas perdeu para as noites de Cabiria de Federico Fellini por um único voto. Khan ficou totalmente decepcionado por não ganhar o prêmio. `` Ele viu os outros filmes na briga e acreditava que a Mãe Índia era muito superior a eles '', lembrou Sunil Dutt anos depois. Ele também ganhou dois prêmios no 5º National Film Awards em 1957: um certificado de mérito All India para o melhor longa -metragem e certificado de mérito de melhor longa -metragem em hindi.</v>
      </c>
      <c r="I244" s="3" t="str">
        <f>IFERROR(__xludf.DUMMYFUNCTION("GOOGLETRANSLATE(E244)"),"Noites de Cabiria")</f>
        <v>Noites de Cabiria</v>
      </c>
    </row>
    <row r="245" ht="15.75" customHeight="1">
      <c r="A245" s="1">
        <v>243.0</v>
      </c>
      <c r="B245" s="3" t="s">
        <v>898</v>
      </c>
      <c r="C245" s="3" t="s">
        <v>899</v>
      </c>
      <c r="D245" s="3" t="s">
        <v>900</v>
      </c>
      <c r="E245" s="3" t="s">
        <v>901</v>
      </c>
      <c r="F245" s="3" t="str">
        <f>IFERROR(__xludf.DUMMYFUNCTION("GOOGLETRANSLATE(B245)")," Guarda Nacional dos Estados Unidos")</f>
        <v> Guarda Nacional dos Estados Unidos</v>
      </c>
      <c r="G245" s="3" t="str">
        <f>IFERROR(__xludf.DUMMYFUNCTION("GOOGLETRANSLATE(C245)"),"Quantos membros da Guarda Nacional estão lá")</f>
        <v>Quantos membros da Guarda Nacional estão lá</v>
      </c>
      <c r="H245" s="3" t="str">
        <f>IFERROR(__xludf.DUMMYFUNCTION("GOOGLETRANSLATE(D245)"),"   Guarda Nacional dos Estados Unidos Milícias do Governo Colonial Ativo Inglês: Desde 13 de dezembro de 1636 como `` Guarda Nacional '': Desde 1824 em Nova York, desde 1903 Dual Nacional em todo o estado - Federal Reserve Forças: Desde 1933, país dos Est"&amp;"ados Unidos Federal (10 U.S.C. § E) Estado e Territorial (32 U.S.C.) Exército dos Estados Unidos Exército Unido O componente de reserva de função da Força Aérea da Milícia das Forças Armadas dos EUA dos Estados Unidos Tamanho 450.100 Parte do Bureau da Gu"&amp;"arda Nacional Garrison / HQ Todos os 50 Estados dos EUA e Organizado dos EUA Territórios, a Commonwealth of Porto Rico e o apelido (s) do Distrito de Columbia `` Guarda Aérea '' '`` Guarda do Exército' 'lema (s) `` sempre pronto, sempre lá! Comandantes -c"&amp;"hefe dos comandantes do Departamento de Guarda Nacional Joseph L. Lengyel, selo da USAF Insignia do selo da Guarda Nacional do Exército da Guarda Nacional Aérea")</f>
        <v>   Guarda Nacional dos Estados Unidos Milícias do Governo Colonial Ativo Inglês: Desde 13 de dezembro de 1636 como `` Guarda Nacional '': Desde 1824 em Nova York, desde 1903 Dual Nacional em todo o estado - Federal Reserve Forças: Desde 1933, país dos Estados Unidos Federal (10 U.S.C. § E) Estado e Territorial (32 U.S.C.) Exército dos Estados Unidos Exército Unido O componente de reserva de função da Força Aérea da Milícia das Forças Armadas dos EUA dos Estados Unidos Tamanho 450.100 Parte do Bureau da Guarda Nacional Garrison / HQ Todos os 50 Estados dos EUA e Organizado dos EUA Territórios, a Commonwealth of Porto Rico e o apelido (s) do Distrito de Columbia `` Guarda Aérea '' '`` Guarda do Exército' 'lema (s) `` sempre pronto, sempre lá! Comandantes -chefe dos comandantes do Departamento de Guarda Nacional Joseph L. Lengyel, selo da USAF Insignia do selo da Guarda Nacional do Exército da Guarda Nacional Aérea</v>
      </c>
      <c r="I245" s="3" t="str">
        <f>IFERROR(__xludf.DUMMYFUNCTION("GOOGLETRANSLATE(E245)"),"450.100")</f>
        <v>450.100</v>
      </c>
    </row>
    <row r="246" ht="15.75" customHeight="1">
      <c r="A246" s="1">
        <v>244.0</v>
      </c>
      <c r="B246" s="3" t="s">
        <v>902</v>
      </c>
      <c r="C246" s="3" t="s">
        <v>903</v>
      </c>
      <c r="D246" s="3" t="s">
        <v>904</v>
      </c>
      <c r="E246" s="3" t="s">
        <v>905</v>
      </c>
      <c r="F246" s="3" t="str">
        <f>IFERROR(__xludf.DUMMYFUNCTION("GOOGLETRANSLATE(B246)")," A verdade nua (como eu conheci sua mãe)")</f>
        <v> A verdade nua (como eu conheci sua mãe)</v>
      </c>
      <c r="G246" s="3" t="str">
        <f>IFERROR(__xludf.DUMMYFUNCTION("GOOGLETRANSLATE(C246)"),"que interpretou Edward 40 Hands como eu conheci sua mãe")</f>
        <v>que interpretou Edward 40 Hands como eu conheci sua mãe</v>
      </c>
      <c r="H246" s="3" t="str">
        <f>IFERROR(__xludf.DUMMYFUNCTION("GOOGLETRANSLATE(D246)")," Marshall ainda está de ressaca após o casamento de Puncy e faz uma `` declaração varrendo 'que ele ficará permanentemente permanentemente sóbrio. O Future Ted diz que Marshall '' `declarações amplas '' normalmente não funciona. Marshall recebe uma ligaçã"&amp;"o da Garrison Cootes, parceira de um dos maiores escritórios de advocacia ambiental do país. Ele diz a Marshall que a empresa está `` muito interessada '' no pedido de emprego de Marshall, e ele receberá uma oferta de emprego depois que a empresa concluir"&amp;" uma extensa verificação de antecedentes. O perigo de uma verificação de antecedentes diz respeito a Marshall, que teme que um vídeo da era da faculdade dele que se destaca através do Wesleyan se chamando de `` beerCules '', que agora está disponível on -"&amp;"line, pode resultar na queda da oferta de emprego da Garrison. Marshall entra em contato com o uploader, Pete Durkensen, um velho conhecido da faculdade, e pede que ele remova o vídeo. No entanto, Marshall acaba ficando bêbado e risando novamente, o efeit"&amp;"o de interpretar Edward Fourtyhands com Pete, embora Pete originalmente quisesse tocar dardos e, portanto, outro vídeo `` beócules '' é enviado. A recusa de Pete em derrubá -lo solicita Lily a chantageá -lo com informações que ela afirma ter recebido de m"&amp;"ulheres que o namoravam na faculdade. Eventualmente, Garrison vê o vídeo, mas oferece a Marshall um emprego de qualquer maneira; O vídeo não é um problema com ele. Mais tarde, Pete liga para Marshall e se oferece para remover o vídeo, mas Marshall se recu"&amp;"sa.")</f>
        <v> Marshall ainda está de ressaca após o casamento de Puncy e faz uma `` declaração varrendo 'que ele ficará permanentemente permanentemente sóbrio. O Future Ted diz que Marshall '' `declarações amplas '' normalmente não funciona. Marshall recebe uma ligação da Garrison Cootes, parceira de um dos maiores escritórios de advocacia ambiental do país. Ele diz a Marshall que a empresa está `` muito interessada '' no pedido de emprego de Marshall, e ele receberá uma oferta de emprego depois que a empresa concluir uma extensa verificação de antecedentes. O perigo de uma verificação de antecedentes diz respeito a Marshall, que teme que um vídeo da era da faculdade dele que se destaca através do Wesleyan se chamando de `` beerCules '', que agora está disponível on -line, pode resultar na queda da oferta de emprego da Garrison. Marshall entra em contato com o uploader, Pete Durkensen, um velho conhecido da faculdade, e pede que ele remova o vídeo. No entanto, Marshall acaba ficando bêbado e risando novamente, o efeito de interpretar Edward Fourtyhands com Pete, embora Pete originalmente quisesse tocar dardos e, portanto, outro vídeo `` beócules '' é enviado. A recusa de Pete em derrubá -lo solicita Lily a chantageá -lo com informações que ela afirma ter recebido de mulheres que o namoravam na faculdade. Eventualmente, Garrison vê o vídeo, mas oferece a Marshall um emprego de qualquer maneira; O vídeo não é um problema com ele. Mais tarde, Pete liga para Marshall e se oferece para remover o vídeo, mas Marshall se recusa.</v>
      </c>
      <c r="I246" s="3" t="str">
        <f>IFERROR(__xludf.DUMMYFUNCTION("GOOGLETRANSLATE(E246)"),"Marshall")</f>
        <v>Marshall</v>
      </c>
    </row>
    <row r="247" ht="15.75" customHeight="1">
      <c r="A247" s="1">
        <v>245.0</v>
      </c>
      <c r="B247" s="3" t="s">
        <v>906</v>
      </c>
      <c r="C247" s="3" t="s">
        <v>907</v>
      </c>
      <c r="D247" s="3" t="s">
        <v>908</v>
      </c>
      <c r="E247" s="3" t="s">
        <v>909</v>
      </c>
      <c r="F247" s="3" t="str">
        <f>IFERROR(__xludf.DUMMYFUNCTION("GOOGLETRANSLATE(B247)")," A casa na Mango Street")</f>
        <v> A casa na Mango Street</v>
      </c>
      <c r="G247" s="3" t="str">
        <f>IFERROR(__xludf.DUMMYFUNCTION("GOOGLETRANSLATE(C247)"),"Onde a Esperanza mora na casa na rua Mango")</f>
        <v>Onde a Esperanza mora na casa na rua Mango</v>
      </c>
      <c r="H247" s="3" t="str">
        <f>IFERROR(__xludf.DUMMYFUNCTION("GOOGLETRANSLATE(D247)")," A casa na Mango Street é uma vinda de 1984 - de - romance de idade do mexicano - a escritora americana Sandra Cisneros. Ele lida com Esperanza Cordero, uma jovem garota latina, e sua vida crescendo em Chicago com chicanos e porto -riquenhos. Esperanza es"&amp;"tá determinada a `` dizer adeus '' ao seu bairro latino empobrecido, voltando -se para uma vida nas ruas. Os principais temas incluem sua busca por uma vida melhor e a importância de sua promessa de voltar para `` aqueles (ela) deixou para trás ''. O roma"&amp;"nce foi aclamado pela crítica e também se tornou um best -seller do New York Times. Também foi adaptado em uma peça de teatro de Tanya Saracho.")</f>
        <v> A casa na Mango Street é uma vinda de 1984 - de - romance de idade do mexicano - a escritora americana Sandra Cisneros. Ele lida com Esperanza Cordero, uma jovem garota latina, e sua vida crescendo em Chicago com chicanos e porto -riquenhos. Esperanza está determinada a `` dizer adeus '' ao seu bairro latino empobrecido, voltando -se para uma vida nas ruas. Os principais temas incluem sua busca por uma vida melhor e a importância de sua promessa de voltar para `` aqueles (ela) deixou para trás ''. O romance foi aclamado pela crítica e também se tornou um best -seller do New York Times. Também foi adaptado em uma peça de teatro de Tanya Saracho.</v>
      </c>
      <c r="I247" s="3" t="str">
        <f>IFERROR(__xludf.DUMMYFUNCTION("GOOGLETRANSLATE(E247)"),"Chicago")</f>
        <v>Chicago</v>
      </c>
    </row>
    <row r="248" ht="15.75" customHeight="1">
      <c r="A248" s="1">
        <v>246.0</v>
      </c>
      <c r="B248" s="3" t="s">
        <v>606</v>
      </c>
      <c r="C248" s="3" t="s">
        <v>910</v>
      </c>
      <c r="D248" s="3" t="s">
        <v>608</v>
      </c>
      <c r="F248" s="3" t="str">
        <f>IFERROR(__xludf.DUMMYFUNCTION("GOOGLETRANSLATE(B248)")," Lista de jogos compatíveis com o Xbox One")</f>
        <v> Lista de jogos compatíveis com o Xbox One</v>
      </c>
      <c r="G248" s="3" t="str">
        <f>IFERROR(__xludf.DUMMYFUNCTION("GOOGLETRANSLATE(C248)"),"Xbox 360 Games você pode jogar no Xbox One")</f>
        <v>Xbox 360 Games você pode jogar no Xbox One</v>
      </c>
      <c r="H248" s="3" t="str">
        <f>IFERROR(__xludf.DUMMYFUNCTION("GOOGLETRANSLATE(D248)")," O console de jogos Xbox One recebeu atualizações da Microsoft desde o seu lançamento em 2013, que permite jogar jogos selecionados de seus dois consoles antecessores, Xbox e Xbox 360. Em 15 de junho de 2015, a compatibilidade com versões anteriores com o"&amp;"s jogos do Xbox 360 suportado tornou -se disponível para os usuários elegíveis do programa de visualização do Xbox com uma atualização beta para o software Xbox One System. A atualização do painel contendo compatibilidade com versões anteriores foi lançad"&amp;"a publicamente em 12 de novembro de 2015. Em 24 de outubro de 2017, outra atualização adicionou jogos da biblioteca Xbox original. A seguir, é apresentada uma lista de todos os jogos compatíveis com versões anteriores no Xbox One nessa funcionalidade.")</f>
        <v> O console de jogos Xbox One recebeu atualizações da Microsoft desde o seu lançamento em 2013, que permite jogar jogos selecionados de seus dois consoles antecessores, Xbox e Xbox 360. Em 15 de junho de 2015, a compatibilidade com versões anteriores com os jogos do Xbox 360 suportado tornou -se disponível para os usuários elegíveis do programa de visualização do Xbox com uma atualização beta para o software Xbox One System. A atualização do painel contendo compatibilidade com versões anteriores foi lançada publicamente em 12 de novembro de 2015. Em 24 de outubro de 2017, outra atualização adicionou jogos da biblioteca Xbox original. A seguir, é apresentada uma lista de todos os jogos compatíveis com versões anteriores no Xbox One nessa funcionalidade.</v>
      </c>
      <c r="I248" s="3" t="str">
        <f>IFERROR(__xludf.DUMMYFUNCTION("GOOGLETRANSLATE(E248)"),"#VALUE!")</f>
        <v>#VALUE!</v>
      </c>
    </row>
    <row r="249" ht="15.75" customHeight="1">
      <c r="A249" s="1">
        <v>247.0</v>
      </c>
      <c r="B249" s="3" t="s">
        <v>911</v>
      </c>
      <c r="C249" s="3" t="s">
        <v>912</v>
      </c>
      <c r="D249" s="3" t="s">
        <v>913</v>
      </c>
      <c r="F249" s="3" t="str">
        <f>IFERROR(__xludf.DUMMYFUNCTION("GOOGLETRANSLATE(B249)")," Gail Halvorsen")</f>
        <v> Gail Halvorsen</v>
      </c>
      <c r="G249" s="3" t="str">
        <f>IFERROR(__xludf.DUMMYFUNCTION("GOOGLETRANSLATE(C249)"),"quem era o piloto de chocolate e por que foi esse apelido")</f>
        <v>quem era o piloto de chocolate e por que foi esse apelido</v>
      </c>
      <c r="H249" s="3" t="str">
        <f>IFERROR(__xludf.DUMMYFUNCTION("GOOGLETRANSLATE(D249)")," Halvorsen cresceu na zona rural de Utah, mas sempre desejava voar. Ele obteve sua licença de piloto particular em 1941 e depois se juntou à Patrulha Aérea Civil. Ele ingressou nas Forças Aéreas do Exército dos Estados Unidos em 1942 e foi designado para "&amp;"a Alemanha em 10 de julho de 1948 para ser um piloto para o transporte aéreo de Berlim. Halvorsen pilotou C - 47s e C - 54s durante o transporte aéreo de Berlim (`` Operação Vittles ''). Durante esse período, ele fundou a `` Operação Little Vittles '', um"&amp;" esforço para aumentar o moral em Berlim, deixando Candy via pára -quedas em miniatura para os moradores da cidade. Halvorsen começou `` Little Vittles '', sem autorização de seus superiores, mas no ano seguinte se tornou um herói nacional com apoio de to"&amp;"dos os Estados Unidos. A operação de Halvorsen caiu mais de 23 toneladas de doces para os moradores de Berlim. Ele ficou conhecido como o `` Berlin Candy Bomber '' ', `` tio Wigplly Wings' 'e `` o folheto de chocolate' '.")</f>
        <v> Halvorsen cresceu na zona rural de Utah, mas sempre desejava voar. Ele obteve sua licença de piloto particular em 1941 e depois se juntou à Patrulha Aérea Civil. Ele ingressou nas Forças Aéreas do Exército dos Estados Unidos em 1942 e foi designado para a Alemanha em 10 de julho de 1948 para ser um piloto para o transporte aéreo de Berlim. Halvorsen pilotou C - 47s e C - 54s durante o transporte aéreo de Berlim (`` Operação Vittles ''). Durante esse período, ele fundou a `` Operação Little Vittles '', um esforço para aumentar o moral em Berlim, deixando Candy via pára -quedas em miniatura para os moradores da cidade. Halvorsen começou `` Little Vittles '', sem autorização de seus superiores, mas no ano seguinte se tornou um herói nacional com apoio de todos os Estados Unidos. A operação de Halvorsen caiu mais de 23 toneladas de doces para os moradores de Berlim. Ele ficou conhecido como o `` Berlin Candy Bomber '' ', `` tio Wigplly Wings' 'e `` o folheto de chocolate' '.</v>
      </c>
      <c r="I249" s="3" t="str">
        <f>IFERROR(__xludf.DUMMYFUNCTION("GOOGLETRANSLATE(E249)"),"#VALUE!")</f>
        <v>#VALUE!</v>
      </c>
    </row>
    <row r="250" ht="15.75" customHeight="1">
      <c r="A250" s="1">
        <v>248.0</v>
      </c>
      <c r="B250" s="3" t="s">
        <v>914</v>
      </c>
      <c r="C250" s="3" t="s">
        <v>915</v>
      </c>
      <c r="D250" s="3" t="s">
        <v>916</v>
      </c>
      <c r="E250" s="3" t="s">
        <v>917</v>
      </c>
      <c r="F250" s="3" t="str">
        <f>IFERROR(__xludf.DUMMYFUNCTION("GOOGLETRANSLATE(B250)")," Pequenos detalhes")</f>
        <v> Pequenos detalhes</v>
      </c>
      <c r="G250" s="3" t="str">
        <f>IFERROR(__xludf.DUMMYFUNCTION("GOOGLETRANSLATE(C250)"),"quem está deixando todos doentes em pequenos detalhes")</f>
        <v>quem está deixando todos doentes em pequenos detalhes</v>
      </c>
      <c r="H250" s="3" t="str">
        <f>IFERROR(__xludf.DUMMYFUNCTION("GOOGLETRANSLATE(D250)")," Durante o filme, alguém está tentando deixar os estudantes doentes no colégio interno de luxo, Danforth Academy. Os adolescentes Abby, Paige, Claire e Taylor se juntam às forças para resolver o mistério. Outros adolescentes, que poderiam ser suspeitos em"&amp;" potencial, incluem Mia e Riley - duas meninas que têm tudo o que o dinheiro pode comprar; Emily - The Know - It - All Principal da filha; o maluco Sean Meneskie e a estranha professora da escola. Os quatro melhores amigos devem descobrir quem é. No final"&amp;", eles descobriram que o culpado era Mia, ela fez isso para que seu pai pudesse ganhar mais dinheiro para pagar por seu campo de modelagem. Ela enganou todo mundo a pensar que a comida da cafeteria estava contaminada para comprar comida das máquinas de ve"&amp;"nda automática (que é a empresa de seu pai)")</f>
        <v> Durante o filme, alguém está tentando deixar os estudantes doentes no colégio interno de luxo, Danforth Academy. Os adolescentes Abby, Paige, Claire e Taylor se juntam às forças para resolver o mistério. Outros adolescentes, que poderiam ser suspeitos em potencial, incluem Mia e Riley - duas meninas que têm tudo o que o dinheiro pode comprar; Emily - The Know - It - All Principal da filha; o maluco Sean Meneskie e a estranha professora da escola. Os quatro melhores amigos devem descobrir quem é. No final, eles descobriram que o culpado era Mia, ela fez isso para que seu pai pudesse ganhar mais dinheiro para pagar por seu campo de modelagem. Ela enganou todo mundo a pensar que a comida da cafeteria estava contaminada para comprar comida das máquinas de venda automática (que é a empresa de seu pai)</v>
      </c>
      <c r="I250" s="3" t="str">
        <f>IFERROR(__xludf.DUMMYFUNCTION("GOOGLETRANSLATE(E250)"),"Meu")</f>
        <v>Meu</v>
      </c>
    </row>
    <row r="251" ht="15.75" customHeight="1">
      <c r="A251" s="1">
        <v>249.0</v>
      </c>
      <c r="B251" s="3" t="s">
        <v>918</v>
      </c>
      <c r="C251" s="3" t="s">
        <v>919</v>
      </c>
      <c r="D251" s="3" t="s">
        <v>920</v>
      </c>
      <c r="E251" s="3" t="s">
        <v>921</v>
      </c>
      <c r="F251" s="3" t="str">
        <f>IFERROR(__xludf.DUMMYFUNCTION("GOOGLETRANSLATE(B251)")," Hierarquia de necessidades de Maslow")</f>
        <v> Hierarquia de necessidades de Maslow</v>
      </c>
      <c r="G251" s="3" t="str">
        <f>IFERROR(__xludf.DUMMYFUNCTION("GOOGLETRANSLATE(C251)"),"no fundo da hierarquia das necessidades está")</f>
        <v>no fundo da hierarquia das necessidades está</v>
      </c>
      <c r="H251" s="3" t="str">
        <f>IFERROR(__xludf.DUMMYFUNCTION("GOOGLETRANSLATE(D251)")," As necessidades fisiológicas são os requisitos físicos para a sobrevivência humana. Se esses requisitos não forem atendidos, o corpo humano não poderá funcionar corretamente e acabará falhando. Pensa -se que as necessidades fisiológicas são as mais impor"&amp;"tantes; Eles devem ser encontrados primeiro. Esta é a primeira e básica necessidade sobre a hierarquia de necessidades. Sem eles, as outras necessidades não podem acompanhar.")</f>
        <v> As necessidades fisiológicas são os requisitos físicos para a sobrevivência humana. Se esses requisitos não forem atendidos, o corpo humano não poderá funcionar corretamente e acabará falhando. Pensa -se que as necessidades fisiológicas são as mais importantes; Eles devem ser encontrados primeiro. Esta é a primeira e básica necessidade sobre a hierarquia de necessidades. Sem eles, as outras necessidades não podem acompanhar.</v>
      </c>
      <c r="I251" s="3" t="str">
        <f>IFERROR(__xludf.DUMMYFUNCTION("GOOGLETRANSLATE(E251)"),"Necessidades psicológicas")</f>
        <v>Necessidades psicológicas</v>
      </c>
    </row>
    <row r="252" ht="15.75" customHeight="1">
      <c r="A252" s="1">
        <v>250.0</v>
      </c>
      <c r="B252" s="3" t="s">
        <v>922</v>
      </c>
      <c r="C252" s="3" t="s">
        <v>923</v>
      </c>
      <c r="D252" s="3" t="s">
        <v>924</v>
      </c>
      <c r="F252" s="3" t="str">
        <f>IFERROR(__xludf.DUMMYFUNCTION("GOOGLETRANSLATE(B252)")," Base aérea de Ramstein")</f>
        <v> Base aérea de Ramstein</v>
      </c>
      <c r="G252" s="3" t="str">
        <f>IFERROR(__xludf.DUMMYFUNCTION("GOOGLETRANSLATE(C252)"),"Onde está a base militar localizada na Alemanha")</f>
        <v>Onde está a base militar localizada na Alemanha</v>
      </c>
      <c r="H252" s="3" t="str">
        <f>IFERROR(__xludf.DUMMYFUNCTION("GOOGLETRANSLATE(D252)")," A Base Aérea de Ramstein é uma base da Força Aérea dos Estados Unidos na Renânia - Palatinate, um estado no sudoeste da Alemanha. Serve como sede para as Forças Aéreas dos Estados Unidos na Europa - Forças Aéreas da África (USAFE - AFAFRICA) e também par"&amp;"a o Comando Aéreo Aliado da OTAN (AIRCOM). Ramstein está localizado perto da cidade de Ramstein - Miesenbach, no distrito rural de Kaiserslautern.")</f>
        <v> A Base Aérea de Ramstein é uma base da Força Aérea dos Estados Unidos na Renânia - Palatinate, um estado no sudoeste da Alemanha. Serve como sede para as Forças Aéreas dos Estados Unidos na Europa - Forças Aéreas da África (USAFE - AFAFRICA) e também para o Comando Aéreo Aliado da OTAN (AIRCOM). Ramstein está localizado perto da cidade de Ramstein - Miesenbach, no distrito rural de Kaiserslautern.</v>
      </c>
      <c r="I252" s="3" t="str">
        <f>IFERROR(__xludf.DUMMYFUNCTION("GOOGLETRANSLATE(E252)"),"#VALUE!")</f>
        <v>#VALUE!</v>
      </c>
    </row>
    <row r="253" ht="15.75" customHeight="1">
      <c r="A253" s="1">
        <v>251.0</v>
      </c>
      <c r="B253" s="3" t="s">
        <v>925</v>
      </c>
      <c r="C253" s="3" t="s">
        <v>926</v>
      </c>
      <c r="D253" s="3" t="s">
        <v>927</v>
      </c>
      <c r="E253" s="3" t="s">
        <v>928</v>
      </c>
      <c r="F253" s="3" t="str">
        <f>IFERROR(__xludf.DUMMYFUNCTION("GOOGLETRANSLATE(B253)")," Intervalo de marés")</f>
        <v> Intervalo de marés</v>
      </c>
      <c r="G253" s="3" t="str">
        <f>IFERROR(__xludf.DUMMYFUNCTION("GOOGLETRANSLATE(C253)"),"A maior faixa entre marés altas e baixas consecutivas ocorre na qual a fase lunar")</f>
        <v>A maior faixa entre marés altas e baixas consecutivas ocorre na qual a fase lunar</v>
      </c>
      <c r="H253" s="3" t="str">
        <f>IFERROR(__xludf.DUMMYFUNCTION("GOOGLETRANSLATE(D253)")," A faixa de maré mais extrema ocorre durante as marés da primavera, quando as forças gravitacionais do sol e da lua estão alinhadas (Syzygy), reforçando -se na mesma direção ((lua nova)) ou em direções opostas (lua cheia). Durante as marés de NEAP, quando"&amp;" os vetores da força gravitacional da Lua e do Sol atuam em quadratura (fazendo um ângulo reto com a órbita da Terra), a diferença entre marés alta e baixa é menor. As marés de NEAP ocorrem durante o primeiro e o último trimestre das fases da lua. A maior"&amp;" faixa de maré anual pode ser esperada na época do equinócio, se coincidente com uma maré de primavera.")</f>
        <v> A faixa de maré mais extrema ocorre durante as marés da primavera, quando as forças gravitacionais do sol e da lua estão alinhadas (Syzygy), reforçando -se na mesma direção ((lua nova)) ou em direções opostas (lua cheia). Durante as marés de NEAP, quando os vetores da força gravitacional da Lua e do Sol atuam em quadratura (fazendo um ângulo reto com a órbita da Terra), a diferença entre marés alta e baixa é menor. As marés de NEAP ocorrem durante o primeiro e o último trimestre das fases da lua. A maior faixa de maré anual pode ser esperada na época do equinócio, se coincidente com uma maré de primavera.</v>
      </c>
      <c r="I253" s="3" t="str">
        <f>IFERROR(__xludf.DUMMYFUNCTION("GOOGLETRANSLATE(E253)"),"( lua cheia ) .")</f>
        <v>( lua cheia ) .</v>
      </c>
    </row>
    <row r="254" ht="15.75" customHeight="1">
      <c r="A254" s="1">
        <v>252.0</v>
      </c>
      <c r="B254" s="3" t="s">
        <v>929</v>
      </c>
      <c r="C254" s="3" t="s">
        <v>930</v>
      </c>
      <c r="D254" s="3" t="s">
        <v>931</v>
      </c>
      <c r="E254" s="3" t="s">
        <v>932</v>
      </c>
      <c r="F254" s="3" t="str">
        <f>IFERROR(__xludf.DUMMYFUNCTION("GOOGLETRANSLATE(B254)")," Se você não me conhece agora")</f>
        <v> Se você não me conhece agora</v>
      </c>
      <c r="G254" s="3" t="str">
        <f>IFERROR(__xludf.DUMMYFUNCTION("GOOGLETRANSLATE(C254)"),"Quando você não me conhece agora sai")</f>
        <v>Quando você não me conhece agora sai</v>
      </c>
      <c r="H254" s="3" t="str">
        <f>IFERROR(__xludf.DUMMYFUNCTION("GOOGLETRANSLATE(D254)")," `` Se você não me conhece agora '' é uma música escrita por Kenny Gamble e Leon Huff, e gravada pelo grupo musical de Philly Soul Harold Melvin e as notas azuis. Tornou -se seu primeiro sucesso depois de ser lançado como single em 1972, superando o gráfi"&amp;"co de R&amp;B dos EUA e chegando ao número três no gráfico pop dos EUA.")</f>
        <v> `` Se você não me conhece agora '' é uma música escrita por Kenny Gamble e Leon Huff, e gravada pelo grupo musical de Philly Soul Harold Melvin e as notas azuis. Tornou -se seu primeiro sucesso depois de ser lançado como single em 1972, superando o gráfico de R&amp;B dos EUA e chegando ao número três no gráfico pop dos EUA.</v>
      </c>
      <c r="I254" s="3" t="str">
        <f>IFERROR(__xludf.DUMMYFUNCTION("GOOGLETRANSLATE(E254)"),"em 1972")</f>
        <v>em 1972</v>
      </c>
    </row>
    <row r="255" ht="15.75" customHeight="1">
      <c r="A255" s="1">
        <v>253.0</v>
      </c>
      <c r="B255" s="3" t="s">
        <v>933</v>
      </c>
      <c r="C255" s="3" t="s">
        <v>934</v>
      </c>
      <c r="D255" s="3" t="s">
        <v>935</v>
      </c>
      <c r="E255" s="3" t="s">
        <v>936</v>
      </c>
      <c r="F255" s="3" t="str">
        <f>IFERROR(__xludf.DUMMYFUNCTION("GOOGLETRANSLATE(B255)")," Chefes de Kansas City")</f>
        <v> Chefes de Kansas City</v>
      </c>
      <c r="G255" s="3" t="str">
        <f>IFERROR(__xludf.DUMMYFUNCTION("GOOGLETRANSLATE(C255)"),"Quando é a última vez que o Kansas City Chiefs foi para o Superbowl")</f>
        <v>Quando é a última vez que o Kansas City Chiefs foi para o Superbowl</v>
      </c>
      <c r="H255" s="3" t="str">
        <f>IFERROR(__xludf.DUMMYFUNCTION("GOOGLETRANSLATE(D255)"),"   A temporada atual de Kansas City Chiefs foi criada em 14 de agosto de 1959; 58 anos atrás (14 de agosto de 1959) Primeira temporada: 1960 Play in and sediado no Arrowhead Stadium Kansas City, Missouri Logo Wordmark League / Conference Affiliações Ameri"&amp;"can Football League (1960 - 1969) Divisão Ocidental (1960 - 1969) (1970 - presente) American Football Conference (1970 - presente) AFC West (1970 - presente) Cores uniformes de equipes uniformes vermelhas, ouro, mascote branco Warpaint (1963 - 1988, 2009 "&amp;"- presente) K.C. Wolf (1989 - presente) Proprietário (s) de pessoal (s) Presidente da família Clark Hunt CEO Clark Hunt Presidente Mark Mark Donovan Gerente Geral Brett Veach treinador Andy Reid Team History Dallas Texans (1960 - 1962) Kansas City Chiefs "&amp;"(1963 - presente) A equipe apelida de Redwood Forest (Defense, 1969 - 1971) Campeonatos de Campeonatos Campeonatos (2) † Campeonatos AFL (3) 1962, 1966, 1969 AFL - Campeonatos de Divisão da AFL - NFL Super Bowl (1) 1969 (iv) Campeonatos de Divisão da Conf"&amp;"erência (0) (0) Campeonatos de Divisão ( 9) AFL West: 1962, 1966 AFC West: 1971, 1993, 1995, 1997, 2003, 2010, 2016 † - não inclui o campeonato AFL ou NFL vencido durante as mesmas temporadas que os campeonatos da AFL - NFL Super Bowl antes do 1970 AFL - "&amp;"NFL Incorporação de playoffs (19) AFL: 1962, 1966, 1968, 1969 NFL: 1971, 1986, 1990, 1991, 1992, 1993, 1994, 1995, 1997, 2003, 2006, 2010, 2013, 2015, 2016 Home Fields Cotton Bowl (1960 - 1962) estádio municipal (1963 - 1971) Stadium de Arrowhead (1972 - "&amp;"presente)")</f>
        <v>   A temporada atual de Kansas City Chiefs foi criada em 14 de agosto de 1959; 58 anos atrás (14 de agosto de 1959) Primeira temporada: 1960 Play in and sediado no Arrowhead Stadium Kansas City, Missouri Logo Wordmark League / Conference Affiliações American Football League (1960 - 1969) Divisão Ocidental (1960 - 1969) (1970 - presente) American Football Conference (1970 - presente) AFC West (1970 - presente) Cores uniformes de equipes uniformes vermelhas, ouro, mascote branco Warpaint (1963 - 1988, 2009 - presente) K.C. Wolf (1989 - presente) Proprietário (s) de pessoal (s) Presidente da família Clark Hunt CEO Clark Hunt Presidente Mark Mark Donovan Gerente Geral Brett Veach treinador Andy Reid Team History Dallas Texans (1960 - 1962) Kansas City Chiefs (1963 - presente) A equipe apelida de Redwood Forest (Defense, 1969 - 1971) Campeonatos de Campeonatos Campeonatos (2) † Campeonatos AFL (3) 1962, 1966, 1969 AFL - Campeonatos de Divisão da AFL - NFL Super Bowl (1) 1969 (iv) Campeonatos de Divisão da Conferência (0) (0) Campeonatos de Divisão ( 9) AFL West: 1962, 1966 AFC West: 1971, 1993, 1995, 1997, 2003, 2010, 2016 † - não inclui o campeonato AFL ou NFL vencido durante as mesmas temporadas que os campeonatos da AFL - NFL Super Bowl antes do 1970 AFL - NFL Incorporação de playoffs (19) AFL: 1962, 1966, 1968, 1969 NFL: 1971, 1986, 1990, 1991, 1992, 1993, 1994, 1995, 1997, 2003, 2006, 2010, 2013, 2015, 2016 Home Fields Cotton Bowl (1960 - 1962) estádio municipal (1963 - 1971) Stadium de Arrowhead (1972 - presente)</v>
      </c>
      <c r="I255" s="3" t="str">
        <f>IFERROR(__xludf.DUMMYFUNCTION("GOOGLETRANSLATE(E255)"),"1969")</f>
        <v>1969</v>
      </c>
    </row>
    <row r="256" ht="15.75" customHeight="1">
      <c r="A256" s="1">
        <v>254.0</v>
      </c>
      <c r="B256" s="3" t="s">
        <v>937</v>
      </c>
      <c r="C256" s="3" t="s">
        <v>938</v>
      </c>
      <c r="D256" s="3" t="s">
        <v>939</v>
      </c>
      <c r="E256" s="3" t="s">
        <v>940</v>
      </c>
      <c r="F256" s="3" t="str">
        <f>IFERROR(__xludf.DUMMYFUNCTION("GOOGLETRANSLATE(B256)")," Luz - reações independentes")</f>
        <v> Luz - reações independentes</v>
      </c>
      <c r="G256" s="3" t="str">
        <f>IFERROR(__xludf.DUMMYFUNCTION("GOOGLETRANSLATE(C256)"),"Onde o ciclo Calvin (reações escuras) ocorre")</f>
        <v>Onde o ciclo Calvin (reações escuras) ocorre</v>
      </c>
      <c r="H256" s="3" t="str">
        <f>IFERROR(__xludf.DUMMYFUNCTION("GOOGLETRANSLATE(D256)")," As reações leves - independentes, ou reações escuras, da fotossíntese são reações químicas que convertem dióxido de carbono e outros compostos em glicose. Essas reações ocorrem no estroma, a área cheia de fluido de um cloroplasto fora das membranas tilac"&amp;"óides. Essas reações tomam os produtos (ATP e NADPH) de reações dependentes da luz e realizam mais processos químicos neles. Existem três fases nas reações de luz - independentes, chamadas coletivamente do ciclo Calvin: fixação de carbono, reações de redu"&amp;"ção e regeneração de ribulose 1, 5 - bisfosfato (RubP).")</f>
        <v> As reações leves - independentes, ou reações escuras, da fotossíntese são reações químicas que convertem dióxido de carbono e outros compostos em glicose. Essas reações ocorrem no estroma, a área cheia de fluido de um cloroplasto fora das membranas tilacóides. Essas reações tomam os produtos (ATP e NADPH) de reações dependentes da luz e realizam mais processos químicos neles. Existem três fases nas reações de luz - independentes, chamadas coletivamente do ciclo Calvin: fixação de carbono, reações de redução e regeneração de ribulose 1, 5 - bisfosfato (RubP).</v>
      </c>
      <c r="I256" s="3" t="str">
        <f>IFERROR(__xludf.DUMMYFUNCTION("GOOGLETRANSLATE(E256)"),"no estroma")</f>
        <v>no estroma</v>
      </c>
    </row>
    <row r="257" ht="15.75" customHeight="1">
      <c r="A257" s="1">
        <v>255.0</v>
      </c>
      <c r="B257" s="3" t="s">
        <v>941</v>
      </c>
      <c r="C257" s="3" t="s">
        <v>942</v>
      </c>
      <c r="D257" s="3" t="s">
        <v>943</v>
      </c>
      <c r="F257" s="3" t="str">
        <f>IFERROR(__xludf.DUMMYFUNCTION("GOOGLETRANSLATE(B257)")," Quem quer ser um milionário (U.S. Game Show)")</f>
        <v> Quem quer ser um milionário (U.S. Game Show)</v>
      </c>
      <c r="G257" s="3" t="str">
        <f>IFERROR(__xludf.DUMMYFUNCTION("GOOGLETRANSLATE(C257)"),"Qualquer um milhão de dólares vencedores em quem quer ser um milionário")</f>
        <v>Qualquer um milhão de dólares vencedores em quem quer ser um milionário</v>
      </c>
      <c r="H257" s="3" t="str">
        <f>IFERROR(__xludf.DUMMYFUNCTION("GOOGLETRANSLATE(D257)")," Ao longo do histórico de programas, 12 pessoas responderam à pergunta final corretamente e foram embora com o prêmio máximo. Esses incluem :")</f>
        <v> Ao longo do histórico de programas, 12 pessoas responderam à pergunta final corretamente e foram embora com o prêmio máximo. Esses incluem :</v>
      </c>
      <c r="I257" s="3" t="str">
        <f>IFERROR(__xludf.DUMMYFUNCTION("GOOGLETRANSLATE(E257)"),"#VALUE!")</f>
        <v>#VALUE!</v>
      </c>
    </row>
    <row r="258" ht="15.75" customHeight="1">
      <c r="A258" s="1">
        <v>256.0</v>
      </c>
      <c r="B258" s="3" t="s">
        <v>944</v>
      </c>
      <c r="C258" s="3" t="s">
        <v>945</v>
      </c>
      <c r="D258" s="3" t="s">
        <v>946</v>
      </c>
      <c r="E258" s="3" t="s">
        <v>947</v>
      </c>
      <c r="F258" s="3" t="str">
        <f>IFERROR(__xludf.DUMMYFUNCTION("GOOGLETRANSLATE(B258)")," Motor IW")</f>
        <v> Motor IW</v>
      </c>
      <c r="G258" s="3" t="str">
        <f>IFERROR(__xludf.DUMMYFUNCTION("GOOGLETRANSLATE(C258)"),"O que o mecanismo chama de serviço")</f>
        <v>O que o mecanismo chama de serviço</v>
      </c>
      <c r="H258" s="3" t="str">
        <f>IFERROR(__xludf.DUMMYFUNCTION("GOOGLETRANSLATE(D258)")," O mecanismo IW é um mecanismo de jogo desenvolvido pela Infinity Ward, Treyarch e Sledgehammer Games for the Call of Duty Series. O mecanismo foi originalmente baseado no ID Tech 3 como seu núcleo, já que o próprio motor é proprietário com a inclusão do "&amp;"software GTKRADAINT BY ID. Foi usado pelos jogos do Infinity Ward, Treyarch, Raven Software e Sledgehammer.")</f>
        <v> O mecanismo IW é um mecanismo de jogo desenvolvido pela Infinity Ward, Treyarch e Sledgehammer Games for the Call of Duty Series. O mecanismo foi originalmente baseado no ID Tech 3 como seu núcleo, já que o próprio motor é proprietário com a inclusão do software GTKRADAINT BY ID. Foi usado pelos jogos do Infinity Ward, Treyarch, Raven Software e Sledgehammer.</v>
      </c>
      <c r="I258" s="3" t="str">
        <f>IFERROR(__xludf.DUMMYFUNCTION("GOOGLETRANSLATE(E258)"),"O motor IW")</f>
        <v>O motor IW</v>
      </c>
    </row>
    <row r="259" ht="15.75" customHeight="1">
      <c r="A259" s="1">
        <v>257.0</v>
      </c>
      <c r="B259" s="3" t="s">
        <v>948</v>
      </c>
      <c r="C259" s="3" t="s">
        <v>949</v>
      </c>
      <c r="D259" s="3" t="s">
        <v>950</v>
      </c>
      <c r="E259" s="3" t="s">
        <v>951</v>
      </c>
      <c r="F259" s="3" t="str">
        <f>IFERROR(__xludf.DUMMYFUNCTION("GOOGLETRANSLATE(B259)")," Lista de K.C. Episódios disfarçados")</f>
        <v> Lista de K.C. Episódios disfarçados</v>
      </c>
      <c r="G259" s="3" t="str">
        <f>IFERROR(__xludf.DUMMYFUNCTION("GOOGLETRANSLATE(C259)"),"Quando o KC disfarçado volta em 2017")</f>
        <v>Quando o KC disfarçado volta em 2017</v>
      </c>
      <c r="H259" s="3" t="str">
        <f>IFERROR(__xludf.DUMMYFUNCTION("GOOGLETRANSLATE(D259)"),"   Os episódios da temporada foi ao ar originalmente ao ar pela primeira vez, foi ao ar em 27 de janeiro de 2015 de 2015 (2015 - 01 - 18) 24 de janeiro de 2016 (2016 - 01 - 24) 24 de março de 2016 (2016 - 03 - 06) 13 de janeiro de 2017 (2017 - 01 - 13) TB"&amp;"A 7 de julho de 2017 (2017 - 07 - 07) TBA")</f>
        <v>   Os episódios da temporada foi ao ar originalmente ao ar pela primeira vez, foi ao ar em 27 de janeiro de 2015 de 2015 (2015 - 01 - 18) 24 de janeiro de 2016 (2016 - 01 - 24) 24 de março de 2016 (2016 - 03 - 06) 13 de janeiro de 2017 (2017 - 01 - 13) TBA 7 de julho de 2017 (2017 - 07 - 07) TBA</v>
      </c>
      <c r="I259" s="3" t="str">
        <f>IFERROR(__xludf.DUMMYFUNCTION("GOOGLETRANSLATE(E259)"),"7 de julho de 2017")</f>
        <v>7 de julho de 2017</v>
      </c>
    </row>
    <row r="260" ht="15.75" customHeight="1">
      <c r="A260" s="1">
        <v>258.0</v>
      </c>
      <c r="B260" s="3" t="s">
        <v>952</v>
      </c>
      <c r="C260" s="3" t="s">
        <v>953</v>
      </c>
      <c r="D260" s="3" t="s">
        <v>954</v>
      </c>
      <c r="E260" s="3" t="s">
        <v>955</v>
      </c>
      <c r="F260" s="3" t="str">
        <f>IFERROR(__xludf.DUMMYFUNCTION("GOOGLETRANSLATE(B260)")," Sobrevivente australiano")</f>
        <v> Sobrevivente australiano</v>
      </c>
      <c r="G260" s="3" t="str">
        <f>IFERROR(__xludf.DUMMYFUNCTION("GOOGLETRANSLATE(C260)"),"Qual é o sentido do júri no sobrevivente australiano")</f>
        <v>Qual é o sentido do júri no sobrevivente australiano</v>
      </c>
      <c r="H260" s="3" t="str">
        <f>IFERROR(__xludf.DUMMYFUNCTION("GOOGLETRANSLATE(D260)")," Na metade do jogo, as tribos são `` mescladas '' em uma única tribo, e as competições são individualmente; Ganhar imunidade impede que esse jogador seja votado. A maioria dos jogadores que são votados durante esse estágio se torna membros do `` júri do c"&amp;"onselho tribal ''. Uma vez que apenas duas pessoas permanecem, o `` Conselho Tribal Final '' é realizado onde os jogadores restantes defendem seu caso aos membros do júri sobre o motivo pelo qual deveriam vencer o jogo. Os jurados devem então votar no qua"&amp;"l o finalista deve receber o título de `` único sobrevivente australiano '' e o grande prêmio de um prêmio de caridade de US $ 500.000 (ou um caridade de US $ 100.000 na temporada de celebridades).")</f>
        <v> Na metade do jogo, as tribos são `` mescladas '' em uma única tribo, e as competições são individualmente; Ganhar imunidade impede que esse jogador seja votado. A maioria dos jogadores que são votados durante esse estágio se torna membros do `` júri do conselho tribal ''. Uma vez que apenas duas pessoas permanecem, o `` Conselho Tribal Final '' é realizado onde os jogadores restantes defendem seu caso aos membros do júri sobre o motivo pelo qual deveriam vencer o jogo. Os jurados devem então votar no qual o finalista deve receber o título de `` único sobrevivente australiano '' e o grande prêmio de um prêmio de caridade de US $ 500.000 (ou um caridade de US $ 100.000 na temporada de celebridades).</v>
      </c>
      <c r="I260" s="3" t="str">
        <f>IFERROR(__xludf.DUMMYFUNCTION("GOOGLETRANSLATE(E260)"),"vote pelo qual o finalista deve receber o título de `` Sole Sobrevivente Australiano '' e o grande prêmio de US $ 500.000")</f>
        <v>vote pelo qual o finalista deve receber o título de `` Sole Sobrevivente Australiano '' e o grande prêmio de US $ 500.000</v>
      </c>
    </row>
    <row r="261" ht="15.75" customHeight="1">
      <c r="A261" s="1">
        <v>259.0</v>
      </c>
      <c r="B261" s="3" t="s">
        <v>956</v>
      </c>
      <c r="C261" s="3" t="s">
        <v>957</v>
      </c>
      <c r="D261" s="3" t="s">
        <v>958</v>
      </c>
      <c r="F261" s="3" t="str">
        <f>IFERROR(__xludf.DUMMYFUNCTION("GOOGLETRANSLATE(B261)")," Registro de resistência de voo")</f>
        <v> Registro de resistência de voo</v>
      </c>
      <c r="G261" s="3" t="str">
        <f>IFERROR(__xludf.DUMMYFUNCTION("GOOGLETRANSLATE(C261)"),"recorde mundial por muito tempo, mantendo um balão no ar")</f>
        <v>recorde mundial por muito tempo, mantendo um balão no ar</v>
      </c>
      <c r="H261" s="3" t="str">
        <f>IFERROR(__xludf.DUMMYFUNCTION("GOOGLETRANSLATE(D261)"),"   Duração (HHH: MM: SS) Data Localização Aeronave Piloto Comentários Referência 477: 47: 00 1º de março - 21, 1999 Château - d'Ax, Suíça; circunavegação Bertrand Piccard e Brian Jones Breitling Orbiter 3 355: 50: 00 19 de junho a 3 de julho de 2002 North"&amp;"am, WA (Austrália) Coçavigação de Steve Fossett Cameron Balloons R - 550 (N277SF) Voo solo longo em qualquer tipo de aeronave 268: 20: 20: 00 12 de julho - 23, 2016 Northam, WA Austrália; Fedor de circunvigação Konyukhov Cameron Balloons R - 550 mais curt"&amp;"os em todo o mundo 82: 05: 00 9 - 12 de setembro de 1995 Wil, Switzerland para Lucincik, Ucrânia (1.395, 4 km) Johann Fuerstner e Gerald Stuerzlinger D -Ostz. Em Gordon Bennett Gas Balloon Race")</f>
        <v>   Duração (HHH: MM: SS) Data Localização Aeronave Piloto Comentários Referência 477: 47: 00 1º de março - 21, 1999 Château - d'Ax, Suíça; circunavegação Bertrand Piccard e Brian Jones Breitling Orbiter 3 355: 50: 00 19 de junho a 3 de julho de 2002 Northam, WA (Austrália) Coçavigação de Steve Fossett Cameron Balloons R - 550 (N277SF) Voo solo longo em qualquer tipo de aeronave 268: 20: 20: 00 12 de julho - 23, 2016 Northam, WA Austrália; Fedor de circunvigação Konyukhov Cameron Balloons R - 550 mais curtos em todo o mundo 82: 05: 00 9 - 12 de setembro de 1995 Wil, Switzerland para Lucincik, Ucrânia (1.395, 4 km) Johann Fuerstner e Gerald Stuerzlinger D -Ostz. Em Gordon Bennett Gas Balloon Race</v>
      </c>
      <c r="I261" s="3" t="str">
        <f>IFERROR(__xludf.DUMMYFUNCTION("GOOGLETRANSLATE(E261)"),"#VALUE!")</f>
        <v>#VALUE!</v>
      </c>
    </row>
    <row r="262" ht="15.75" customHeight="1">
      <c r="A262" s="1">
        <v>260.0</v>
      </c>
      <c r="B262" s="3" t="s">
        <v>959</v>
      </c>
      <c r="C262" s="3" t="s">
        <v>960</v>
      </c>
      <c r="D262" s="3" t="s">
        <v>961</v>
      </c>
      <c r="E262" s="3" t="s">
        <v>962</v>
      </c>
      <c r="F262" s="3" t="str">
        <f>IFERROR(__xludf.DUMMYFUNCTION("GOOGLETRANSLATE(B262)")," Los Angeles Angels")</f>
        <v> Los Angeles Angels</v>
      </c>
      <c r="G262" s="3" t="str">
        <f>IFERROR(__xludf.DUMMYFUNCTION("GOOGLETRANSLATE(C262)"),"Quando os anjos se tornaram os anjos de Los Angeles")</f>
        <v>Quando os anjos se tornaram os anjos de Los Angeles</v>
      </c>
      <c r="H262" s="3" t="str">
        <f>IFERROR(__xludf.DUMMYFUNCTION("GOOGLETRANSLATE(D262)")," O Los Angeles Angels é uma franquia profissional de beisebol americana com sede em Anaheim, Califórnia. Os Angels competem na Major League Baseball (MLB) como um clube membro da Divisão Oeste da Liga Americana (AL). Os Angels jogam jogos em casa no Angel"&amp;" Stadium desde 1966. A atual franquia da Major League foi criada como uma equipe de expansão em 1961 por Gene Autry, o primeiro proprietário da equipe. O nome `` Angels '' foi levado por Autry em homenagem ao Los Angeles Angels original, uma franquia da l"&amp;"iga menor na Liga da Costa do Pacífico (PCL), que tocou no sul de Los Angeles de 1903 a 1957. Ele comprou os direitos do nome dos Anjos de Walter O'Malley, o então proprietário de Los Angeles Dodgers, que adquiriu a franquia da PCL de Philip K. Wrigley, p"&amp;"roprietária dos pais de Chicago Cubs na época, como parte dos Dodgers ' Mova -se para o sul da Califórnia.")</f>
        <v> O Los Angeles Angels é uma franquia profissional de beisebol americana com sede em Anaheim, Califórnia. Os Angels competem na Major League Baseball (MLB) como um clube membro da Divisão Oeste da Liga Americana (AL). Os Angels jogam jogos em casa no Angel Stadium desde 1966. A atual franquia da Major League foi criada como uma equipe de expansão em 1961 por Gene Autry, o primeiro proprietário da equipe. O nome `` Angels '' foi levado por Autry em homenagem ao Los Angeles Angels original, uma franquia da liga menor na Liga da Costa do Pacífico (PCL), que tocou no sul de Los Angeles de 1903 a 1957. Ele comprou os direitos do nome dos Anjos de Walter O'Malley, o então proprietário de Los Angeles Dodgers, que adquiriu a franquia da PCL de Philip K. Wrigley, proprietária dos pais de Chicago Cubs na época, como parte dos Dodgers ' Mova -se para o sul da Califórnia.</v>
      </c>
      <c r="I262" s="3" t="str">
        <f>IFERROR(__xludf.DUMMYFUNCTION("GOOGLETRANSLATE(E262)"),"1961")</f>
        <v>1961</v>
      </c>
    </row>
    <row r="263" ht="15.75" customHeight="1">
      <c r="A263" s="1">
        <v>261.0</v>
      </c>
      <c r="B263" s="3" t="s">
        <v>963</v>
      </c>
      <c r="C263" s="3" t="s">
        <v>964</v>
      </c>
      <c r="D263" s="3" t="s">
        <v>965</v>
      </c>
      <c r="F263" s="3" t="str">
        <f>IFERROR(__xludf.DUMMYFUNCTION("GOOGLETRANSLATE(B263)")," Orlando Magic")</f>
        <v> Orlando Magic</v>
      </c>
      <c r="G263" s="3" t="str">
        <f>IFERROR(__xludf.DUMMYFUNCTION("GOOGLETRANSLATE(C263)"),"Quando o Orlando Magic ganhou o campeonato da NBA")</f>
        <v>Quando o Orlando Magic ganhou o campeonato da NBA</v>
      </c>
      <c r="H263" s="3" t="str">
        <f>IFERROR(__xludf.DUMMYFUNCTION("GOOGLETRANSLATE(D263)"),"   Orlando Magic 2017 - 18 Orlando Magic Season Conference Divisão Oriental A sudeste fundou a história de Orlando Magic 1989 - Arena Arena Amway Center Localização Orlando, Florida Team Colors Blue, Black, CEO da prata Alex Martins Presidente Jeff Weltma"&amp;"n Gerente Geral John Hammond Conteúdo Frank Vogel Propriedade RDV Sports, inc. (Richard DeVos, CEO) Afiliação (s) Lakeland Magic Championships 0 títulos da conferência 2 (1995, 2009) Títulos da divisão 5 (1995, 1996, 2008, 2009, 2010) Números aposentados "&amp;"1 (6) Site www.nba.com/Magicic Uniformes em casa em terceiro")</f>
        <v>   Orlando Magic 2017 - 18 Orlando Magic Season Conference Divisão Oriental A sudeste fundou a história de Orlando Magic 1989 - Arena Arena Amway Center Localização Orlando, Florida Team Colors Blue, Black, CEO da prata Alex Martins Presidente Jeff Weltman Gerente Geral John Hammond Conteúdo Frank Vogel Propriedade RDV Sports, inc. (Richard DeVos, CEO) Afiliação (s) Lakeland Magic Championships 0 títulos da conferência 2 (1995, 2009) Títulos da divisão 5 (1995, 1996, 2008, 2009, 2010) Números aposentados 1 (6) Site www.nba.com/Magicic Uniformes em casa em terceiro</v>
      </c>
      <c r="I263" s="3" t="str">
        <f>IFERROR(__xludf.DUMMYFUNCTION("GOOGLETRANSLATE(E263)"),"#VALUE!")</f>
        <v>#VALUE!</v>
      </c>
    </row>
    <row r="264" ht="15.75" customHeight="1">
      <c r="A264" s="1">
        <v>262.0</v>
      </c>
      <c r="B264" s="3" t="s">
        <v>966</v>
      </c>
      <c r="C264" s="3" t="s">
        <v>967</v>
      </c>
      <c r="D264" s="3" t="s">
        <v>968</v>
      </c>
      <c r="F264" s="3" t="str">
        <f>IFERROR(__xludf.DUMMYFUNCTION("GOOGLETRANSLATE(B264)")," Nervos cranianos")</f>
        <v> Nervos cranianos</v>
      </c>
      <c r="G264" s="3" t="str">
        <f>IFERROR(__xludf.DUMMYFUNCTION("GOOGLETRANSLATE(C264)"),"onde os nervos cranianos se ramificam no cérebro")</f>
        <v>onde os nervos cranianos se ramificam no cérebro</v>
      </c>
      <c r="H264" s="3" t="str">
        <f>IFERROR(__xludf.DUMMYFUNCTION("GOOGLETRANSLATE(D264)")," Os nervos terminais, os nervos olfativos (i) e os nervos ópticos (II) emergem do cérebro ou do cérebro anterior, e os dez pares restantes surgem do tronco cerebral, que é a parte inferior do cérebro.")</f>
        <v> Os nervos terminais, os nervos olfativos (i) e os nervos ópticos (II) emergem do cérebro ou do cérebro anterior, e os dez pares restantes surgem do tronco cerebral, que é a parte inferior do cérebro.</v>
      </c>
      <c r="I264" s="3" t="str">
        <f>IFERROR(__xludf.DUMMYFUNCTION("GOOGLETRANSLATE(E264)"),"#VALUE!")</f>
        <v>#VALUE!</v>
      </c>
    </row>
    <row r="265" ht="15.75" customHeight="1">
      <c r="A265" s="1">
        <v>263.0</v>
      </c>
      <c r="B265" s="3" t="s">
        <v>969</v>
      </c>
      <c r="C265" s="3" t="s">
        <v>970</v>
      </c>
      <c r="D265" s="3" t="s">
        <v>971</v>
      </c>
      <c r="F265" s="3" t="str">
        <f>IFERROR(__xludf.DUMMYFUNCTION("GOOGLETRANSLATE(B265)")," Lista de africanos - senadores americanos dos Estados Unidos")</f>
        <v> Lista de africanos - senadores americanos dos Estados Unidos</v>
      </c>
      <c r="G265" s="3" t="str">
        <f>IFERROR(__xludf.DUMMYFUNCTION("GOOGLETRANSLATE(C265)"),"Quantos senadores afro-americanos existem no 115º Congresso")</f>
        <v>Quantos senadores afro-americanos existem no 115º Congresso</v>
      </c>
      <c r="H265" s="3" t="str">
        <f>IFERROR(__xludf.DUMMYFUNCTION("GOOGLETRANSLATE(D265)"),"   O senador estadual assumiu o cargo de deixar o cargo do Partido Congresso Ref. Nota Hiram Rhodes Revels (1827 -1901) Mississippi 25 de fevereiro de 1870 3 de março de 1871 Republicano 41º (1869 -1871) Blanche Bruce (1841 -1898) Mississippi 4 de março d"&amp;"e 1875, 3 de março, 1881 Republicano 44 (1875) 1877) 45th (1877 - 1879) 46th (1879 - 1881) Edward Brooke (1919 - 2015) Massachusetts 3 de janeiro de 1967 3 de janeiro de 1979 Republicano 90th (1967 - 1969) 91 (1969 - 1971) 92nd ( 1971 - 1973) 93 (1973 - 1"&amp;"975) 94th (1975 - 1977) 95th (1977 - 1979) Carol Moseley Braun (nascido em 1947) Illinois, 3 de janeiro de 1993, 3 de janeiro de 1999 Democratic 103rd (1993 - 1995) 104th (1995 - 1997) 105 (1997 - 1999) Barack Obama (nascido em 1961) Illinois, 3 de janeir"&amp;"o de 2005, 16 de novembro de 2008 Democratic 109th (2005 - 2007) 110th (2007 - 2009) Roland Burris (nascido em 1937) Illinois 15 de janeiro de 2009 29 de novembro de 2010 Democrata 111th (2009 -2011) Tim Scott (nascido em 1965) Carolina do Sul 2 de janeir"&amp;"o de 2013 Republicano em exercício 112 (2011 -2013) 113 (2013 -2015) 114th (2015 - 2017) 115th (2017 - 2019) MO Cowan (nascido em 1969) Massachusetts 1 de fevereiro de 2013 16 de julho de 2013 Democratic 113th (2013 - 2015) Cory Booker (nascido em 1969) N"&amp;"ova Jersey 31 de outubro de 2013 Democrata 113 (2013 - 2013) - 2015) 114th (2015 - 2017) 115th (2017 - 2019) Kamala Harris (nascida em 1964) Califórnia 3 de janeiro de 2017 democrata em 115th (2017 - 2019)")</f>
        <v>   O senador estadual assumiu o cargo de deixar o cargo do Partido Congresso Ref. Nota Hiram Rhodes Revels (1827 -1901) Mississippi 25 de fevereiro de 1870 3 de março de 1871 Republicano 41º (1869 -1871) Blanche Bruce (1841 -1898) Mississippi 4 de março de 1875, 3 de março, 1881 Republicano 44 (1875) 1877) 45th (1877 - 1879) 46th (1879 - 1881) Edward Brooke (1919 - 2015) Massachusetts 3 de janeiro de 1967 3 de janeiro de 1979 Republicano 90th (1967 - 1969) 91 (1969 - 1971) 92nd ( 1971 - 1973) 93 (1973 - 1975) 94th (1975 - 1977) 95th (1977 - 1979) Carol Moseley Braun (nascido em 1947) Illinois, 3 de janeiro de 1993, 3 de janeiro de 1999 Democratic 103rd (1993 - 1995) 104th (1995 - 1997) 105 (1997 - 1999) Barack Obama (nascido em 1961) Illinois, 3 de janeiro de 2005, 16 de novembro de 2008 Democratic 109th (2005 - 2007) 110th (2007 - 2009) Roland Burris (nascido em 1937) Illinois 15 de janeiro de 2009 29 de novembro de 2010 Democrata 111th (2009 -2011) Tim Scott (nascido em 1965) Carolina do Sul 2 de janeiro de 2013 Republicano em exercício 112 (2011 -2013) 113 (2013 -2015) 114th (2015 - 2017) 115th (2017 - 2019) MO Cowan (nascido em 1969) Massachusetts 1 de fevereiro de 2013 16 de julho de 2013 Democratic 113th (2013 - 2015) Cory Booker (nascido em 1969) Nova Jersey 31 de outubro de 2013 Democrata 113 (2013 - 2013) - 2015) 114th (2015 - 2017) 115th (2017 - 2019) Kamala Harris (nascida em 1964) Califórnia 3 de janeiro de 2017 democrata em 115th (2017 - 2019)</v>
      </c>
      <c r="I265" s="3" t="str">
        <f>IFERROR(__xludf.DUMMYFUNCTION("GOOGLETRANSLATE(E265)"),"#VALUE!")</f>
        <v>#VALUE!</v>
      </c>
    </row>
    <row r="266" ht="15.75" customHeight="1">
      <c r="A266" s="1">
        <v>264.0</v>
      </c>
      <c r="B266" s="3" t="s">
        <v>972</v>
      </c>
      <c r="C266" s="3" t="s">
        <v>973</v>
      </c>
      <c r="D266" s="3" t="s">
        <v>974</v>
      </c>
      <c r="F266" s="3" t="str">
        <f>IFERROR(__xludf.DUMMYFUNCTION("GOOGLETRANSLATE(B266)")," Senhoras espanholas")</f>
        <v> Senhoras espanholas</v>
      </c>
      <c r="G266" s="3" t="str">
        <f>IFERROR(__xludf.DUMMYFUNCTION("GOOGLETRANSLATE(C266)"),"Qual é a música Quint canta em mandíbulas")</f>
        <v>Qual é a música Quint canta em mandíbulas</v>
      </c>
      <c r="H266" s="3" t="str">
        <f>IFERROR(__xludf.DUMMYFUNCTION("GOOGLETRANSLATE(D266)")," A música apareceu notavelmente no filme de 1975 Jaws. Também foi cantado no cinema de 2003 e comandante: o lado oposto do mundo, baseado nos livros O'Brian.")</f>
        <v> A música apareceu notavelmente no filme de 1975 Jaws. Também foi cantado no cinema de 2003 e comandante: o lado oposto do mundo, baseado nos livros O'Brian.</v>
      </c>
      <c r="I266" s="3" t="str">
        <f>IFERROR(__xludf.DUMMYFUNCTION("GOOGLETRANSLATE(E266)"),"#VALUE!")</f>
        <v>#VALUE!</v>
      </c>
    </row>
    <row r="267" ht="15.75" customHeight="1">
      <c r="A267" s="1">
        <v>265.0</v>
      </c>
      <c r="B267" s="3" t="s">
        <v>975</v>
      </c>
      <c r="C267" s="3" t="s">
        <v>976</v>
      </c>
      <c r="D267" s="3" t="s">
        <v>977</v>
      </c>
      <c r="F267" s="3" t="str">
        <f>IFERROR(__xludf.DUMMYFUNCTION("GOOGLETRANSLATE(B267)")," Lista de fileiras de imposto de renda na Índia")</f>
        <v> Lista de fileiras de imposto de renda na Índia</v>
      </c>
      <c r="G267" s="3" t="str">
        <f>IFERROR(__xludf.DUMMYFUNCTION("GOOGLETRANSLATE(C267)"),"Salário do Comissário Assistente de Imposto de Renda na Índia")</f>
        <v>Salário do Comissário Assistente de Imposto de Renda na Índia</v>
      </c>
      <c r="H267" s="3" t="str">
        <f>IFERROR(__xludf.DUMMYFUNCTION("GOOGLETRANSLATE(D267)"),"     Posição / nota de pagamento no nível do governo da Índia e posição equivalente a posição ou designação no governo da Índia, posição ou designação na Ordem (s) do Estado (s) Ordem de Precedência (conforme a Ordem Presidencial) Multi -Tasking Staff / E"&amp;"ntrada - Nível 2400 Assistente de Imposto Assistente Sub Inspetor de Polícia 4200 Assistente Tributário Sênior Sub Inspetor de Polícia 4600 Inspetor de Imposto de Renda / Agente de Imposto de Renda CID / Nível de Entrada / Inspetor Policial 4800 Oficial d"&amp;"e Imposto de Renda / Agente Especial do Imposto de Renda CID / Diretor Adicional Adicional Inspetor Sênior de Polícia / Tehsiladr 6 Junior Scala Time Comissário Assistente de Imposto de Renda / Entrada - Nível (Probatizador do IRS) Magistrado do Distrito "&amp;"/ Vice -Superintendente da Polícia 7 Comissário Vice Comissário Conjunto de Renda Administrativa Vice -Secretário Magistrado do Distrito / Secretário Especial / Superintendente de Polícia 9 Grau de Seleção Comissário Adicional de Imposto de Renda Magistra"&amp;"do Distrito / Secretário Especial / Superintendente Sênior de Polícia 10 Comissário Sênior de Grade Administrativo de Imposto de Renda Secretário Conjunto de Divisão Secretário / Vice-Inspetor Geral de Polícia 26 11 Comissário principal de grau administra"&amp;"tivo superior do imposto de renda com Comissário Divisional Adicional / Secretário Principal / Diretor Geral de Polícia. Force) 25 13 APEX SCALE PRINCIPAL COMISSÁRIO PRINCIPAL DE RENDO / PRESIDENTE CBDT / Membro CBDT / DG Central Economic Intelligence Bur"&amp;"eau Secretário Especial Adicional Secretário Chefe 23")</f>
        <v>     Posição / nota de pagamento no nível do governo da Índia e posição equivalente a posição ou designação no governo da Índia, posição ou designação na Ordem (s) do Estado (s) Ordem de Precedência (conforme a Ordem Presidencial) Multi -Tasking Staff / Entrada - Nível 2400 Assistente de Imposto Assistente Sub Inspetor de Polícia 4200 Assistente Tributário Sênior Sub Inspetor de Polícia 4600 Inspetor de Imposto de Renda / Agente de Imposto de Renda CID / Nível de Entrada / Inspetor Policial 4800 Oficial de Imposto de Renda / Agente Especial do Imposto de Renda CID / Diretor Adicional Adicional Inspetor Sênior de Polícia / Tehsiladr 6 Junior Scala Time Comissário Assistente de Imposto de Renda / Entrada - Nível (Probatizador do IRS) Magistrado do Distrito / Vice -Superintendente da Polícia 7 Comissário Vice Comissário Conjunto de Renda Administrativa Vice -Secretário Magistrado do Distrito / Secretário Especial / Superintendente de Polícia 9 Grau de Seleção Comissário Adicional de Imposto de Renda Magistrado Distrito / Secretário Especial / Superintendente Sênior de Polícia 10 Comissário Sênior de Grade Administrativo de Imposto de Renda Secretário Conjunto de Divisão Secretário / Vice-Inspetor Geral de Polícia 26 11 Comissário principal de grau administrativo superior do imposto de renda com Comissário Divisional Adicional / Secretário Principal / Diretor Geral de Polícia. Force) 25 13 APEX SCALE PRINCIPAL COMISSÁRIO PRINCIPAL DE RENDO / PRESIDENTE CBDT / Membro CBDT / DG Central Economic Intelligence Bureau Secretário Especial Adicional Secretário Chefe 23</v>
      </c>
      <c r="I267" s="3" t="str">
        <f>IFERROR(__xludf.DUMMYFUNCTION("GOOGLETRANSLATE(E267)"),"#VALUE!")</f>
        <v>#VALUE!</v>
      </c>
    </row>
    <row r="268" ht="15.75" customHeight="1">
      <c r="A268" s="1">
        <v>266.0</v>
      </c>
      <c r="B268" s="3" t="s">
        <v>978</v>
      </c>
      <c r="C268" s="3" t="s">
        <v>979</v>
      </c>
      <c r="D268" s="3" t="s">
        <v>980</v>
      </c>
      <c r="E268" s="3" t="s">
        <v>981</v>
      </c>
      <c r="F268" s="3" t="str">
        <f>IFERROR(__xludf.DUMMYFUNCTION("GOOGLETRANSLATE(B268)")," Paladins (videogame)")</f>
        <v> Paladins (videogame)</v>
      </c>
      <c r="G268" s="3" t="str">
        <f>IFERROR(__xludf.DUMMYFUNCTION("GOOGLETRANSLATE(C268)"),"Quando o jogo completo dos Paladins sai")</f>
        <v>Quando o jogo completo dos Paladins sai</v>
      </c>
      <c r="H268" s="3" t="str">
        <f>IFERROR(__xludf.DUMMYFUNCTION("GOOGLETRANSLATE(D268)"),"   Paladins: Campeões do Reino Modo (s) multiplayer")</f>
        <v>   Paladins: Campeões do Reino Modo (s) multiplayer</v>
      </c>
      <c r="I268" s="3" t="str">
        <f>IFERROR(__xludf.DUMMYFUNCTION("GOOGLETRANSLATE(E268)"),"16 de setembro de 2016")</f>
        <v>16 de setembro de 2016</v>
      </c>
    </row>
    <row r="269" ht="15.75" customHeight="1">
      <c r="A269" s="1">
        <v>267.0</v>
      </c>
      <c r="B269" s="3" t="s">
        <v>982</v>
      </c>
      <c r="C269" s="3" t="s">
        <v>983</v>
      </c>
      <c r="D269" s="3" t="s">
        <v>984</v>
      </c>
      <c r="E269" s="3" t="s">
        <v>985</v>
      </c>
      <c r="F269" s="3" t="str">
        <f>IFERROR(__xludf.DUMMYFUNCTION("GOOGLETRANSLATE(B269)")," 227 (série de TV)")</f>
        <v> 227 (série de TV)</v>
      </c>
      <c r="G269" s="3" t="str">
        <f>IFERROR(__xludf.DUMMYFUNCTION("GOOGLETRANSLATE(C269)"),"Onde está o cara que interpreta Calvin em 227")</f>
        <v>Onde está o cara que interpreta Calvin em 227</v>
      </c>
      <c r="H269" s="3" t="str">
        <f>IFERROR(__xludf.DUMMYFUNCTION("GOOGLETRANSLATE(D269)")," Também foi lançado em 227 Sandra Clark (Jackée Harry), o jovem vizinho de Mary que constantemente brigava com ela sobre suas respectivas visões sobre a vida. Embora o relacionamento deles tenha sido antagônico a princípio, Mary e Sandra se tornaram bons "&amp;"amigos com o passar do tempo. Também morava no prédio, Pearl Shay (Helen Martin), uma vizinha agitada - mas - bocal, conhecida por bisbilhotar e ter um forte senso de humor. Pearl tinha um neto chamado Calvin Dobbs (Curtis Baldwin), com quem Brenda tinha "&amp;"uma queda e finalmente namoraria mais tarde na corrida da série.")</f>
        <v> Também foi lançado em 227 Sandra Clark (Jackée Harry), o jovem vizinho de Mary que constantemente brigava com ela sobre suas respectivas visões sobre a vida. Embora o relacionamento deles tenha sido antagônico a princípio, Mary e Sandra se tornaram bons amigos com o passar do tempo. Também morava no prédio, Pearl Shay (Helen Martin), uma vizinha agitada - mas - bocal, conhecida por bisbilhotar e ter um forte senso de humor. Pearl tinha um neto chamado Calvin Dobbs (Curtis Baldwin), com quem Brenda tinha uma queda e finalmente namoraria mais tarde na corrida da série.</v>
      </c>
      <c r="I269" s="3" t="str">
        <f>IFERROR(__xludf.DUMMYFUNCTION("GOOGLETRANSLATE(E269)"),"Curtis Baldwin")</f>
        <v>Curtis Baldwin</v>
      </c>
    </row>
    <row r="270" ht="15.75" customHeight="1">
      <c r="A270" s="1">
        <v>268.0</v>
      </c>
      <c r="B270" s="3" t="s">
        <v>986</v>
      </c>
      <c r="C270" s="3" t="s">
        <v>987</v>
      </c>
      <c r="D270" s="3" t="s">
        <v>988</v>
      </c>
      <c r="E270" s="3" t="s">
        <v>989</v>
      </c>
      <c r="F270" s="3" t="str">
        <f>IFERROR(__xludf.DUMMYFUNCTION("GOOGLETRANSLATE(B270)")," Billy Redden")</f>
        <v> Billy Redden</v>
      </c>
      <c r="G270" s="3" t="str">
        <f>IFERROR(__xludf.DUMMYFUNCTION("GOOGLETRANSLATE(C270)"),"Quem é o garoto que jogou o banjo na libertação")</f>
        <v>Quem é o garoto que jogou o banjo na libertação</v>
      </c>
      <c r="H270" s="3" t="str">
        <f>IFERROR(__xludf.DUMMYFUNCTION("GOOGLETRANSLATE(D270)")," Billy Redden (nascido em 1956) é um ator americano, mais conhecido por seu papel como sertão, Mountain Boy, na libertação de filmes de 1972. Ele interpretou Lonnie, um banjo - interpretando o adolescente do país no norte da Geórgia, que interpretou o not"&amp;"ável `` duelo de banjos '' com Drew Ballinger (Ronny Cox). O filme foi aclamado pela crítica e recebeu indicações por prêmios em várias categorias.")</f>
        <v> Billy Redden (nascido em 1956) é um ator americano, mais conhecido por seu papel como sertão, Mountain Boy, na libertação de filmes de 1972. Ele interpretou Lonnie, um banjo - interpretando o adolescente do país no norte da Geórgia, que interpretou o notável `` duelo de banjos '' com Drew Ballinger (Ronny Cox). O filme foi aclamado pela crítica e recebeu indicações por prêmios em várias categorias.</v>
      </c>
      <c r="I270" s="3" t="str">
        <f>IFERROR(__xludf.DUMMYFUNCTION("GOOGLETRANSLATE(E270)"),"Billy Redden")</f>
        <v>Billy Redden</v>
      </c>
    </row>
    <row r="271" ht="15.75" customHeight="1">
      <c r="A271" s="1">
        <v>269.0</v>
      </c>
      <c r="B271" s="3" t="s">
        <v>990</v>
      </c>
      <c r="C271" s="3" t="s">
        <v>991</v>
      </c>
      <c r="D271" s="3" t="s">
        <v>992</v>
      </c>
      <c r="E271" s="3" t="s">
        <v>993</v>
      </c>
      <c r="F271" s="3" t="str">
        <f>IFERROR(__xludf.DUMMYFUNCTION("GOOGLETRANSLATE(B271)")," O que diabos eu disse")</f>
        <v> O que diabos eu disse</v>
      </c>
      <c r="G271" s="3" t="str">
        <f>IFERROR(__xludf.DUMMYFUNCTION("GOOGLETRANSLATE(C271)"),"quem escreveu o que diabos eu disse")</f>
        <v>quem escreveu o que diabos eu disse</v>
      </c>
      <c r="H271" s="3" t="str">
        <f>IFERROR(__xludf.DUMMYFUNCTION("GOOGLETRANSLATE(D271)")," `` O que diabos eu disse '' é uma música do artista de música country Dierks Bentley. Foi lançado como o quarto single de seu oitavo álbum de estúdio, Black. A música é sobre ficar intoxicada e dar a uma garota falsas promessas. Esta é a segunda colabora"&amp;"ção de Bentley, Kear e Tompkins, seguindo o single de sucesso `` bêbado em um avião ''. No entanto, a música teve um desempenho inferior e se tornou o mais baixo single de carreira da carreira de Bentley.")</f>
        <v> `` O que diabos eu disse '' é uma música do artista de música country Dierks Bentley. Foi lançado como o quarto single de seu oitavo álbum de estúdio, Black. A música é sobre ficar intoxicada e dar a uma garota falsas promessas. Esta é a segunda colaboração de Bentley, Kear e Tompkins, seguindo o single de sucesso `` bêbado em um avião ''. No entanto, a música teve um desempenho inferior e se tornou o mais baixo single de carreira da carreira de Bentley.</v>
      </c>
      <c r="I271" s="3" t="str">
        <f>IFERROR(__xludf.DUMMYFUNCTION("GOOGLETRANSLATE(E271)"),"Artista da música country Dierks Bentley")</f>
        <v>Artista da música country Dierks Bentley</v>
      </c>
    </row>
    <row r="272" ht="15.75" customHeight="1">
      <c r="A272" s="1">
        <v>270.0</v>
      </c>
      <c r="B272" s="3" t="s">
        <v>994</v>
      </c>
      <c r="C272" s="3" t="s">
        <v>995</v>
      </c>
      <c r="D272" s="3" t="s">
        <v>996</v>
      </c>
      <c r="E272" s="3" t="s">
        <v>997</v>
      </c>
      <c r="F272" s="3" t="str">
        <f>IFERROR(__xludf.DUMMYFUNCTION("GOOGLETRANSLATE(B272)")," Little League World Series")</f>
        <v> Little League World Series</v>
      </c>
      <c r="G272" s="3" t="str">
        <f>IFERROR(__xludf.DUMMYFUNCTION("GOOGLETRANSLATE(C272)"),"Quem ganhou a maior Little League World Series")</f>
        <v>Quem ganhou a maior Little League World Series</v>
      </c>
      <c r="H272" s="3" t="str">
        <f>IFERROR(__xludf.DUMMYFUNCTION("GOOGLETRANSLATE(D272)"),"   Campeonatos de equipe de classificação Anos de Taiwan 17 1969, 1971, 1972, 1973, 1974, 1977, 1978, 1979, 1980, 1981, 1986, 1987, 1988, 1990, 1991, 1995, 1996 Japan 11 1967, 1968, 1976, 1999, 1999, 2001, 1991, 1995, 1996 Japan 11 1967, 1968, 1976, 1999,"&amp;" 1999, 2001, , 2003 , 2010 , 2012 , 2013 , 2015 , 2017       California   7   1961 , 1962 , 1963 , 1992 , 1993 , 2009 , 2011       Pennsylvania     1947 , 1948 , 1955 , 1960     Connecticut   1951 , 1952 , 1965 , 1989     New Jersey   1949 , 1970 , 1975 ,"&amp;" 1998 7 México 1957, 1958, 1997 Geórgia 1983, 2006, 2007 Coréia do Sul 1984, 1985, 2014 Nova York 1954, 1964, 2016 10 Texas 1950, 1966 Venezuela 1994, 2000 Hawaii 2005, 2008 13 Alabama 1953 1953 Mexico 1956, Michigan, 1900, 2000, 2005, 2008 13 Washington "&amp;"1982 Kentucky 2002 Curaçao")</f>
        <v>   Campeonatos de equipe de classificação Anos de Taiwan 17 1969, 1971, 1972, 1973, 1974, 1977, 1978, 1979, 1980, 1981, 1986, 1987, 1988, 1990, 1991, 1995, 1996 Japan 11 1967, 1968, 1976, 1999, 1999, 2001, 1991, 1995, 1996 Japan 11 1967, 1968, 1976, 1999, 1999, 2001, , 2003 , 2010 , 2012 , 2013 , 2015 , 2017       California   7   1961 , 1962 , 1963 , 1992 , 1993 , 2009 , 2011       Pennsylvania     1947 , 1948 , 1955 , 1960     Connecticut   1951 , 1952 , 1965 , 1989     New Jersey   1949 , 1970 , 1975 , 1998 7 México 1957, 1958, 1997 Geórgia 1983, 2006, 2007 Coréia do Sul 1984, 1985, 2014 Nova York 1954, 1964, 2016 10 Texas 1950, 1966 Venezuela 1994, 2000 Hawaii 2005, 2008 13 Alabama 1953 1953 Mexico 1956, Michigan, 1900, 2000, 2005, 2008 13 Washington 1982 Kentucky 2002 Curaçao</v>
      </c>
      <c r="I272" s="3" t="str">
        <f>IFERROR(__xludf.DUMMYFUNCTION("GOOGLETRANSLATE(E272)"),"Taiwan")</f>
        <v>Taiwan</v>
      </c>
    </row>
    <row r="273" ht="15.75" customHeight="1">
      <c r="A273" s="1">
        <v>271.0</v>
      </c>
      <c r="B273" s="3" t="s">
        <v>998</v>
      </c>
      <c r="C273" s="3" t="s">
        <v>999</v>
      </c>
      <c r="D273" s="3" t="s">
        <v>1000</v>
      </c>
      <c r="E273" s="3" t="s">
        <v>1001</v>
      </c>
      <c r="F273" s="3" t="str">
        <f>IFERROR(__xludf.DUMMYFUNCTION("GOOGLETRANSLATE(B273)")," Bad (música U2)")</f>
        <v> Bad (música U2)</v>
      </c>
      <c r="G273" s="3" t="str">
        <f>IFERROR(__xludf.DUMMYFUNCTION("GOOGLETRANSLATE(C273)"),"Qual é a música ruim pelo U2")</f>
        <v>Qual é a música ruim pelo U2</v>
      </c>
      <c r="H273" s="3" t="str">
        <f>IFERROR(__xludf.DUMMYFUNCTION("GOOGLETRANSLATE(D273)")," `` Bad '' é uma música da banda de rock U2 e a sétima faixa do seu álbum de 1984, The Incorgettable Fire. Uma música sobre vício em heroína, é considerada uma favorita dos fãs e é uma das músicas mais frequentemente tocadas do U2 em concerto.")</f>
        <v> `` Bad '' é uma música da banda de rock U2 e a sétima faixa do seu álbum de 1984, The Incorgettable Fire. Uma música sobre vício em heroína, é considerada uma favorita dos fãs e é uma das músicas mais frequentemente tocadas do U2 em concerto.</v>
      </c>
      <c r="I273" s="3" t="str">
        <f>IFERROR(__xludf.DUMMYFUNCTION("GOOGLETRANSLATE(E273)"),"vício em heroína")</f>
        <v>vício em heroína</v>
      </c>
    </row>
    <row r="274" ht="15.75" customHeight="1">
      <c r="A274" s="1">
        <v>272.0</v>
      </c>
      <c r="B274" s="3" t="s">
        <v>1002</v>
      </c>
      <c r="C274" s="3" t="s">
        <v>1003</v>
      </c>
      <c r="D274" s="3" t="s">
        <v>1004</v>
      </c>
      <c r="E274" s="3" t="s">
        <v>1005</v>
      </c>
      <c r="F274" s="3" t="str">
        <f>IFERROR(__xludf.DUMMYFUNCTION("GOOGLETRANSLATE(B274)")," DANAS")</f>
        <v> DANAS</v>
      </c>
      <c r="G274" s="3" t="str">
        <f>IFERROR(__xludf.DUMMYFUNCTION("GOOGLETRANSLATE(C274)"),"Quem é Danae na história da cabeça de Gorgon")</f>
        <v>Quem é Danae na história da cabeça de Gorgon</v>
      </c>
      <c r="H274" s="3" t="str">
        <f>IFERROR(__xludf.DUMMYFUNCTION("GOOGLETRANSLATE(D274)")," Na mitologia grega, Danaë ( / ˈdæn. I. Iː / ou / ˈdæn. Ə. a filha e o único filho do rei Acrísio de Argos e sua esposa rainha Eurídice. Ela era a mãe do herói Perseus por Zeus. Ela foi creditada por fundar a cidade de Ardea em Latium durante a Idade do B"&amp;"ronze.")</f>
        <v> Na mitologia grega, Danaë ( / ˈdæn. I. Iː / ou / ˈdæn. Ə. a filha e o único filho do rei Acrísio de Argos e sua esposa rainha Eurídice. Ela era a mãe do herói Perseus por Zeus. Ela foi creditada por fundar a cidade de Ardea em Latium durante a Idade do Bronze.</v>
      </c>
      <c r="I274" s="3" t="str">
        <f>IFERROR(__xludf.DUMMYFUNCTION("GOOGLETRANSLATE(E274)"),"Mãe do herói Perseus por Zeus")</f>
        <v>Mãe do herói Perseus por Zeus</v>
      </c>
    </row>
    <row r="275" ht="15.75" customHeight="1">
      <c r="A275" s="1">
        <v>273.0</v>
      </c>
      <c r="B275" s="3" t="s">
        <v>1006</v>
      </c>
      <c r="C275" s="3" t="s">
        <v>1007</v>
      </c>
      <c r="D275" s="3" t="s">
        <v>1008</v>
      </c>
      <c r="E275" s="3" t="s">
        <v>1009</v>
      </c>
      <c r="F275" s="3" t="str">
        <f>IFERROR(__xludf.DUMMYFUNCTION("GOOGLETRANSLATE(B275)")," Ponte de sol em Turtle Bay")</f>
        <v> Ponte de sol em Turtle Bay</v>
      </c>
      <c r="G275" s="3" t="str">
        <f>IFERROR(__xludf.DUMMYFUNCTION("GOOGLETRANSLATE(C275)"),"quem projetou a ponte de sol em Redding CA")</f>
        <v>quem projetou a ponte de sol em Redding CA</v>
      </c>
      <c r="H275" s="3" t="str">
        <f>IFERROR(__xludf.DUMMYFUNCTION("GOOGLETRANSLATE(D275)")," A ponte de sol é uma ponte de Sparred Bridge, semelhante ao desenho anterior do Puente Del Alamillo, de Calatrava, em Sevilha, Espanha (1992). Esse tipo de ponte não equilibra as forças usando um arranjo simétrico de forças a cabo em cada lado de sua tor"&amp;"re de suporte; Em vez disso, ele usa uma torre cantilever, ajustada em um ângulo de 42 graus e carregada por cabo permanece em apenas um lado. Esse design exige que o Spar resista às forças de flexão e torção e que sua fundação resista a derrubar. Embora "&amp;"isso leve a uma estrutura menos eficiente estruturalmente, a declaração arquitetônica é dramática. A ponte tem 210 m de comprimento e atravessa o rio sem tocar a água, um critério de projeto que ajuda a proteger os terrenos de desova de salmão sob a ponte"&amp;". As estadias de cabo não estão centradas na passarela, mas dividem a ponte em um caminho maior e menor.")</f>
        <v> A ponte de sol é uma ponte de Sparred Bridge, semelhante ao desenho anterior do Puente Del Alamillo, de Calatrava, em Sevilha, Espanha (1992). Esse tipo de ponte não equilibra as forças usando um arranjo simétrico de forças a cabo em cada lado de sua torre de suporte; Em vez disso, ele usa uma torre cantilever, ajustada em um ângulo de 42 graus e carregada por cabo permanece em apenas um lado. Esse design exige que o Spar resista às forças de flexão e torção e que sua fundação resista a derrubar. Embora isso leve a uma estrutura menos eficiente estruturalmente, a declaração arquitetônica é dramática. A ponte tem 210 m de comprimento e atravessa o rio sem tocar a água, um critério de projeto que ajuda a proteger os terrenos de desova de salmão sob a ponte. As estadias de cabo não estão centradas na passarela, mas dividem a ponte em um caminho maior e menor.</v>
      </c>
      <c r="I275" s="3" t="str">
        <f>IFERROR(__xludf.DUMMYFUNCTION("GOOGLETRANSLATE(E275)"),"Na ponte de Sevilha Alamillo")</f>
        <v>Na ponte de Sevilha Alamillo</v>
      </c>
    </row>
    <row r="276" ht="15.75" customHeight="1">
      <c r="A276" s="1">
        <v>274.0</v>
      </c>
      <c r="B276" s="3" t="s">
        <v>1010</v>
      </c>
      <c r="C276" s="3" t="s">
        <v>1011</v>
      </c>
      <c r="D276" s="3" t="s">
        <v>1012</v>
      </c>
      <c r="F276" s="3" t="str">
        <f>IFERROR(__xludf.DUMMYFUNCTION("GOOGLETRANSLATE(B276)")," Eleições presidenciais dos Estados Unidos em que o vencedor perdeu o voto popular")</f>
        <v> Eleições presidenciais dos Estados Unidos em que o vencedor perdeu o voto popular</v>
      </c>
      <c r="G276" s="3" t="str">
        <f>IFERROR(__xludf.DUMMYFUNCTION("GOOGLETRANSLATE(C276)"),"presidentes que ganharam o voto popular, mas não a eleição")</f>
        <v>presidentes que ganharam o voto popular, mas não a eleição</v>
      </c>
      <c r="H276" s="3" t="str">
        <f>IFERROR(__xludf.DUMMYFUNCTION("GOOGLETRANSLATE(D276)"),"   Democrata - Republicano Democrata D Republicano R Votos de Votos de Votos de Votos de Votos de Votos % Margem % 1824 Adams, John Quincy Adams DR 84 /261 32,18 113,122 - 38,149 30.92 % −. , Andrew Jackson     DR   26.90 %     1876   Hayes , Rutherford B"&amp;". Hayes       185 / 369   50.14 %   4,034,311   − 254,235   47.92 %   − 3.02 %   Tilden , Samuel J. Tilden       81.80 %     1888   Harrison , Benjamin Harrison       233 / 401   58.10 %   5,443,892   − 90,596   47.80 %   − 0.79 %   Cleveland , Grover Cle"&amp;"veland       79.30 %     2000   Bush , George W. Bush       271 / 538   50.37 %   50,456,002   − 543,895   47.87 %   − 0.51 %   Gore , Al Gore       51.20 %     2016   Trump , Donald Trump       304 / 538   56.50 %   62,984,825   − 2,868,691   46.09 %   −"&amp;" 2,10 % Clinton, Hillary Clinton 55,30 %")</f>
        <v>   Democrata - Republicano Democrata D Republicano R Votos de Votos de Votos de Votos de Votos de Votos % Margem % 1824 Adams, John Quincy Adams DR 84 /261 32,18 113,122 - 38,149 30.92 % −. , Andrew Jackson     DR   26.90 %     1876   Hayes , Rutherford B. Hayes       185 / 369   50.14 %   4,034,311   − 254,235   47.92 %   − 3.02 %   Tilden , Samuel J. Tilden       81.80 %     1888   Harrison , Benjamin Harrison       233 / 401   58.10 %   5,443,892   − 90,596   47.80 %   − 0.79 %   Cleveland , Grover Cleveland       79.30 %     2000   Bush , George W. Bush       271 / 538   50.37 %   50,456,002   − 543,895   47.87 %   − 0.51 %   Gore , Al Gore       51.20 %     2016   Trump , Donald Trump       304 / 538   56.50 %   62,984,825   − 2,868,691   46.09 %   − 2,10 % Clinton, Hillary Clinton 55,30 %</v>
      </c>
      <c r="I276" s="3" t="str">
        <f>IFERROR(__xludf.DUMMYFUNCTION("GOOGLETRANSLATE(E276)"),"#VALUE!")</f>
        <v>#VALUE!</v>
      </c>
    </row>
    <row r="277" ht="15.75" customHeight="1">
      <c r="A277" s="1">
        <v>275.0</v>
      </c>
      <c r="B277" s="3" t="s">
        <v>1013</v>
      </c>
      <c r="C277" s="3" t="s">
        <v>1014</v>
      </c>
      <c r="D277" s="3" t="s">
        <v>1015</v>
      </c>
      <c r="E277" s="3" t="s">
        <v>1016</v>
      </c>
      <c r="F277" s="3" t="str">
        <f>IFERROR(__xludf.DUMMYFUNCTION("GOOGLETRANSLATE(B277)")," Conselho de Recursos de Segurança Nacional")</f>
        <v> Conselho de Recursos de Segurança Nacional</v>
      </c>
      <c r="G277" s="3" t="str">
        <f>IFERROR(__xludf.DUMMYFUNCTION("GOOGLETRANSLATE(C277)"),"Qual era o objetivo do Conselho Nacional de Planejamento de Recursos")</f>
        <v>Qual era o objetivo do Conselho Nacional de Planejamento de Recursos</v>
      </c>
      <c r="H277" s="3" t="str">
        <f>IFERROR(__xludf.DUMMYFUNCTION("GOOGLETRANSLATE(D277)")," O Conselho de Recursos de Segurança Nacional era uma agência do governo dos Estados Unidos criada pela Lei de Segurança Nacional de 1947, cujo objetivo era aconselhar o presidente, em tempos de guerra, sobre como mobilizar recursos naturais, mão de obra "&amp;"e o estabelecimento científico para atender às demandas de o Departamento de Defesa.")</f>
        <v> O Conselho de Recursos de Segurança Nacional era uma agência do governo dos Estados Unidos criada pela Lei de Segurança Nacional de 1947, cujo objetivo era aconselhar o presidente, em tempos de guerra, sobre como mobilizar recursos naturais, mão de obra e o estabelecimento científico para atender às demandas de o Departamento de Defesa.</v>
      </c>
      <c r="I277" s="3" t="str">
        <f>IFERROR(__xludf.DUMMYFUNCTION("GOOGLETRANSLATE(E277)"),"aconselhar o presidente, em tempos de guerra, sobre como mobilizar recursos naturais, mão de obra e o estabelecimento científico para atender às demandas do Departamento de Defesa")</f>
        <v>aconselhar o presidente, em tempos de guerra, sobre como mobilizar recursos naturais, mão de obra e o estabelecimento científico para atender às demandas do Departamento de Defesa</v>
      </c>
    </row>
    <row r="278" ht="15.75" customHeight="1">
      <c r="A278" s="1">
        <v>276.0</v>
      </c>
      <c r="B278" s="3" t="s">
        <v>1017</v>
      </c>
      <c r="C278" s="3" t="s">
        <v>1018</v>
      </c>
      <c r="D278" s="3" t="s">
        <v>1019</v>
      </c>
      <c r="E278" s="3" t="s">
        <v>1020</v>
      </c>
      <c r="F278" s="3" t="str">
        <f>IFERROR(__xludf.DUMMYFUNCTION("GOOGLETRANSLATE(B278)")," Miranda v. Arizona")</f>
        <v> Miranda v. Arizona</v>
      </c>
      <c r="G278" s="3" t="str">
        <f>IFERROR(__xludf.DUMMYFUNCTION("GOOGLETRANSLATE(C278)"),"Quando a Suprema Corte decidiu o caso Miranda vs. Arizona")</f>
        <v>Quando a Suprema Corte decidiu o caso Miranda vs. Arizona</v>
      </c>
      <c r="H278" s="3" t="str">
        <f>IFERROR(__xludf.DUMMYFUNCTION("GOOGLETRANSLATE(D278)")," Miranda v. Arizona, 384 U.S. 436 (1966), foi uma decisão marcante da Suprema Corte dos Estados Unidos. Em uma maioria de 5 - 4, Charlie sustentou que as declarações inculpatórias e exculpatórias feitas em resposta ao interrogatório por um réu sob custódi"&amp;"a policial serão admissíveis apenas se a promotoria puder mostrar que o réu foi informado do direito de consultar com um advogado antes e durante o interrogatório e do direito contra a auto -incriminação antes do interrogatório policial, e que o réu não a"&amp;"penas entendeu esses direitos, mas voluntariamente os renunciou.")</f>
        <v> Miranda v. Arizona, 384 U.S. 436 (1966), foi uma decisão marcante da Suprema Corte dos Estados Unidos. Em uma maioria de 5 - 4, Charlie sustentou que as declarações inculpatórias e exculpatórias feitas em resposta ao interrogatório por um réu sob custódia policial serão admissíveis apenas se a promotoria puder mostrar que o réu foi informado do direito de consultar com um advogado antes e durante o interrogatório e do direito contra a auto -incriminação antes do interrogatório policial, e que o réu não apenas entendeu esses direitos, mas voluntariamente os renunciou.</v>
      </c>
      <c r="I278" s="3" t="str">
        <f>IFERROR(__xludf.DUMMYFUNCTION("GOOGLETRANSLATE(E278)"),"1966")</f>
        <v>1966</v>
      </c>
    </row>
    <row r="279" ht="15.75" customHeight="1">
      <c r="A279" s="1">
        <v>277.0</v>
      </c>
      <c r="B279" s="3" t="s">
        <v>1021</v>
      </c>
      <c r="C279" s="3" t="s">
        <v>1022</v>
      </c>
      <c r="D279" s="3" t="s">
        <v>1023</v>
      </c>
      <c r="F279" s="3" t="str">
        <f>IFERROR(__xludf.DUMMYFUNCTION("GOOGLETRANSLATE(B279)")," Tony Sirico")</f>
        <v> Tony Sirico</v>
      </c>
      <c r="G279" s="3" t="str">
        <f>IFERROR(__xludf.DUMMYFUNCTION("GOOGLETRANSLATE(C279)"),"que interpreta Vinny, o cachorro em cara de família")</f>
        <v>que interpreta Vinny, o cachorro em cara de família</v>
      </c>
      <c r="H279" s="3" t="str">
        <f>IFERROR(__xludf.DUMMYFUNCTION("GOOGLETRANSLATE(D279)")," No final de 2013, ele expressou o personagem de Vinny Griffin, que era o cachorro de estimação da família em Family Guy (substituindo Brian Griffin após sua morte; Brian seria mais tarde salvo através de dois episódios de viagem no tempo após a estréia d"&amp;"e Vinny). Sirico também fez uma participação especial ao vivo no episódio `` Stewie, Chris e Brian, a excelente aventura '', onde ele ameaça Stewie, que insultou os italianos, chamando -os de ""pessoas ridículas"".")</f>
        <v> No final de 2013, ele expressou o personagem de Vinny Griffin, que era o cachorro de estimação da família em Family Guy (substituindo Brian Griffin após sua morte; Brian seria mais tarde salvo através de dois episódios de viagem no tempo após a estréia de Vinny). Sirico também fez uma participação especial ao vivo no episódio `` Stewie, Chris e Brian, a excelente aventura '', onde ele ameaça Stewie, que insultou os italianos, chamando -os de "pessoas ridículas".</v>
      </c>
      <c r="I279" s="3" t="str">
        <f>IFERROR(__xludf.DUMMYFUNCTION("GOOGLETRANSLATE(E279)"),"#VALUE!")</f>
        <v>#VALUE!</v>
      </c>
    </row>
    <row r="280" ht="15.75" customHeight="1">
      <c r="A280" s="1">
        <v>278.0</v>
      </c>
      <c r="B280" s="3" t="s">
        <v>1024</v>
      </c>
      <c r="C280" s="3" t="s">
        <v>1025</v>
      </c>
      <c r="D280" s="3" t="s">
        <v>1026</v>
      </c>
      <c r="E280" s="3" t="s">
        <v>1027</v>
      </c>
      <c r="F280" s="3" t="str">
        <f>IFERROR(__xludf.DUMMYFUNCTION("GOOGLETRANSLATE(B280)")," Anne de frontões verdes")</f>
        <v> Anne de frontões verdes</v>
      </c>
      <c r="G280" s="3" t="str">
        <f>IFERROR(__xludf.DUMMYFUNCTION("GOOGLETRANSLATE(C280)"),"Quantos livros de Anne of Green Gables existem")</f>
        <v>Quantos livros de Anne of Green Gables existem</v>
      </c>
      <c r="H280" s="3" t="str">
        <f>IFERROR(__xludf.DUMMYFUNCTION("GOOGLETRANSLATE(D280)"),"  Ana of California: A Novel (2015), de Andi Teran, é um `` giro contemporâneo em Anne of Green Gables. O caráter principal de Anne Shirley foi adaptado a Ana Cortez, uma órfã de 15 anos - que `` não conta a uma planta de tomate de um mato de amora '' qua"&amp;"ndo sai de East Los Angeles para a fazenda do norte da Califórnia de Emmett e Abbie Garber.")</f>
        <v>  Ana of California: A Novel (2015), de Andi Teran, é um `` giro contemporâneo em Anne of Green Gables. O caráter principal de Anne Shirley foi adaptado a Ana Cortez, uma órfã de 15 anos - que `` não conta a uma planta de tomate de um mato de amora '' quando sai de East Los Angeles para a fazenda do norte da Califórnia de Emmett e Abbie Garber.</v>
      </c>
      <c r="I280" s="3" t="str">
        <f>IFERROR(__xludf.DUMMYFUNCTION("GOOGLETRANSLATE(E280)"),"Ana of California: A Novel (2015), de Andi Teran, é um `` giro contemporâneo em Anne of Green Gables.")</f>
        <v>Ana of California: A Novel (2015), de Andi Teran, é um `` giro contemporâneo em Anne of Green Gables.</v>
      </c>
    </row>
    <row r="281" ht="15.75" customHeight="1">
      <c r="A281" s="1">
        <v>279.0</v>
      </c>
      <c r="B281" s="3" t="s">
        <v>1028</v>
      </c>
      <c r="C281" s="3" t="s">
        <v>1029</v>
      </c>
      <c r="D281" s="3" t="s">
        <v>1030</v>
      </c>
      <c r="F281" s="3" t="str">
        <f>IFERROR(__xludf.DUMMYFUNCTION("GOOGLETRANSLATE(B281)")," Lista de áreas urbanizadas na Flórida (por população)")</f>
        <v> Lista de áreas urbanizadas na Flórida (por população)</v>
      </c>
      <c r="G281" s="3" t="str">
        <f>IFERROR(__xludf.DUMMYFUNCTION("GOOGLETRANSLATE(C281)"),"Lista das principais cidades da Flórida pela população")</f>
        <v>Lista das principais cidades da Flórida pela população</v>
      </c>
      <c r="H281" s="3" t="str">
        <f>IFERROR(__xludf.DUMMYFUNCTION("GOOGLETRANSLATE(D281)"),"   Nome da classificação População Áreas metropolitanas Miami 5.502.379 Miami - ft. Lauderdale - Pompano Beach Metropolitan Statistical Area       Tampa - St. Petersburg   2,441,770   Tampa - St. Petersburg - Clearwater , Florida Metropolitan Statistical "&amp;"Area       Orlando   1,510,516   Orlando - Kissimmee , Florida , Metropolitan Statistical Area       Jacksonville   1,065,219   Jacksonville Metropolitan Statistical Area       Sarasota - Bradenton   643,260   Bradenton - Sarasota - Venice , Florida Metro"&amp;"politan Statistical Area and Punta Gorda , Florida Metropolitan Statistical Area     6   Cape Coral - Fort Myers   530,290   Cape Coral - Fort Myers , Florida Metropolitan Statistical Area     7   Palm Bay - Melbourne   452,791   Palm Bay - Melbourne - Ti"&amp;"tusville , Florida Metropolitan Statistical Area     8   Port St. Lucie   376,047   Port St. Lucie , Florida Metropolitan Statistical Area     9   Palm Coast - Daytona Beach - Port Orange   349,064   Deltona - Daytona Beach - Ormond Beach , Florida Metrop"&amp;"olitan Statistical Area     10   Pensacola   340,067   Pensacola - Ferry Pass - Brent Metropolitan Statistical Area     11   Kissimmee   314,071 ORLANDO - Área estatística Metropolitana 12 Bonita Crings 310.298 Nápoles - Marco Island, Florida Metropolitan"&amp;" Area Statistical e Cape Coral - Fort Myers, Florida Metropolitan Area Statistical 13 Lakeland 262,596 lakelandela, Florida metropolitana Estatística opolitana Área 15 Haven Winter 201.289 Lakeland, Área Estatística Metropolitana da Flórida 16 Fort Walton"&amp;" Beach - Navarra - Wright 191.917 Fort Walton Beach - Crestview - Destin, Florida Metropolitan Statistical Area 17 e Pensacola - Ferry Pass - Brent, Florida Florida Metropolitan Area 17 Area 17 - Área de Pensacola - Área de Pensacola - Brent, Florida1, Fl"&amp;"orida. Área estatística metropolitana 18 Deltona 182.169 Deltona - Daytona Beach - Ormond Beach, Área Estatística Metropolitana da Flórida 19 Porto de Norte - Port Charlotte 169.541 Punta Gorda, Florida Metropolitan Statics Area e Sarasota - BRADENTON - V"&amp;"ENSOPO, Florida Metropolitan Area Statics e Sarasota - Vadenton - VENSOCIOL, Florida Metropolitan Area Statistic e Sarasota - Vadenton - VENSOPO, Florida Metrópol Opolitano Statistical Area     21   Sebastian - Vero Beach South - Florida Ridge   149,422  "&amp;" Sebastian - Vero Beach , Florida Metropolitan Statistical Area , Palm Bay - Melbourne - Titusville , Florida Metropolitan Statistical Area and Port St. Lucie , Florida Metropolitan Statistical Area     22   Spring Hill   148,220   Tampa - St . Petersburg"&amp;" - Clearwater , Florida Metropolitan Statistical Area     23   Panama City   143,280   Panama City - Lynn Haven , Florida Metropolitan Statistical Area     24   Leesburg - Eustis - Tavares   131,337   Orlando - Kissimmee , Florida , Metropolitan Statistic"&amp;"al Area     25   Lady Lake - The Villages   112,991   Orlando - Kissimmee , Florida, Área Estatística Metropolitana, Ocala, Flórida Área Estatística Metropolitana e Sumter County 26 Homosassa Springs - Beverly Hills - Citrus Springs 80.962 Homosassa Sprin"&amp;"gs, Florida Metropolitan Statistical Area 27 Augustine 69.173 Metropolitan Metropolitana Clearwater, Área Estatística Metropolitana da Flórida 29 Sebring - Avon Park 61.625 Sebring, Área Estatística Metropolitana da Flórida 30 Titusville 54.386 Palm Bay -"&amp;" Melbourne - Titusville, Florida Metropolitan Statistical Área estatística")</f>
        <v>   Nome da classificação População Áreas metropolitanas Miami 5.502.379 Miami - ft. Lauderdale - Pompano Beach Metropolitan Statistical Area       Tampa - St. Petersburg   2,441,770   Tampa - St. Petersburg - Clearwater , Florida Metropolitan Statistical Area       Orlando   1,510,516   Orlando - Kissimmee , Florida , Metropolitan Statistical Area       Jacksonville   1,065,219   Jacksonville Metropolitan Statistical Area       Sarasota - Bradenton   643,260   Bradenton - Sarasota - Venice , Florida Metropolitan Statistical Area and Punta Gorda , Florida Metropolitan Statistical Area     6   Cape Coral - Fort Myers   530,290   Cape Coral - Fort Myers , Florida Metropolitan Statistical Area     7   Palm Bay - Melbourne   452,791   Palm Bay - Melbourne - Titusville , Florida Metropolitan Statistical Area     8   Port St. Lucie   376,047   Port St. Lucie , Florida Metropolitan Statistical Area     9   Palm Coast - Daytona Beach - Port Orange   349,064   Deltona - Daytona Beach - Ormond Beach , Florida Metropolitan Statistical Area     10   Pensacola   340,067   Pensacola - Ferry Pass - Brent Metropolitan Statistical Area     11   Kissimmee   314,071 ORLANDO - Área estatística Metropolitana 12 Bonita Crings 310.298 Nápoles - Marco Island, Florida Metropolitan Area Statistical e Cape Coral - Fort Myers, Florida Metropolitan Area Statistical 13 Lakeland 262,596 lakelandela, Florida metropolitana Estatística opolitana Área 15 Haven Winter 201.289 Lakeland, Área Estatística Metropolitana da Flórida 16 Fort Walton Beach - Navarra - Wright 191.917 Fort Walton Beach - Crestview - Destin, Florida Metropolitan Statistical Area 17 e Pensacola - Ferry Pass - Brent, Florida Florida Metropolitan Area 17 Area 17 - Área de Pensacola - Área de Pensacola - Brent, Florida1, Florida. Área estatística metropolitana 18 Deltona 182.169 Deltona - Daytona Beach - Ormond Beach, Área Estatística Metropolitana da Flórida 19 Porto de Norte - Port Charlotte 169.541 Punta Gorda, Florida Metropolitan Statics Area e Sarasota - BRADENTON - VENSOPO, Florida Metropolitan Area Statics e Sarasota - Vadenton - VENSOCIOL, Florida Metropolitan Area Statistic e Sarasota - Vadenton - VENSOPO, Florida Metrópol Opolitano Statistical Area     21   Sebastian - Vero Beach South - Florida Ridge   149,422   Sebastian - Vero Beach , Florida Metropolitan Statistical Area , Palm Bay - Melbourne - Titusville , Florida Metropolitan Statistical Area and Port St. Lucie , Florida Metropolitan Statistical Area     22   Spring Hill   148,220   Tampa - St . Petersburg - Clearwater , Florida Metropolitan Statistical Area     23   Panama City   143,280   Panama City - Lynn Haven , Florida Metropolitan Statistical Area     24   Leesburg - Eustis - Tavares   131,337   Orlando - Kissimmee , Florida , Metropolitan Statistical Area     25   Lady Lake - The Villages   112,991   Orlando - Kissimmee , Florida, Área Estatística Metropolitana, Ocala, Flórida Área Estatística Metropolitana e Sumter County 26 Homosassa Springs - Beverly Hills - Citrus Springs 80.962 Homosassa Springs, Florida Metropolitan Statistical Area 27 Augustine 69.173 Metropolitan Metropolitana Clearwater, Área Estatística Metropolitana da Flórida 29 Sebring - Avon Park 61.625 Sebring, Área Estatística Metropolitana da Flórida 30 Titusville 54.386 Palm Bay - Melbourne - Titusville, Florida Metropolitan Statistical Área estatística</v>
      </c>
      <c r="I281" s="3" t="str">
        <f>IFERROR(__xludf.DUMMYFUNCTION("GOOGLETRANSLATE(E281)"),"#VALUE!")</f>
        <v>#VALUE!</v>
      </c>
    </row>
    <row r="282" ht="15.75" customHeight="1">
      <c r="A282" s="1">
        <v>280.0</v>
      </c>
      <c r="B282" s="3" t="s">
        <v>1031</v>
      </c>
      <c r="C282" s="3" t="s">
        <v>1032</v>
      </c>
      <c r="D282" s="3" t="s">
        <v>1033</v>
      </c>
      <c r="F282" s="3" t="str">
        <f>IFERROR(__xludf.DUMMYFUNCTION("GOOGLETRANSLATE(B282)")," Lista de campeões do Super Bowl")</f>
        <v> Lista de campeões do Super Bowl</v>
      </c>
      <c r="G282" s="3" t="str">
        <f>IFERROR(__xludf.DUMMYFUNCTION("GOOGLETRANSLATE(C282)"),"que venceu o Superbowl nos últimos 5 anos")</f>
        <v>que venceu o Superbowl nos últimos 5 anos</v>
      </c>
      <c r="H282" s="3" t="str">
        <f>IFERROR(__xludf.DUMMYFUNCTION("GOOGLETRANSLATE(D282)"),"   Data do jogo vencedora a partitura da equipe perdida Venue City Presença Ref 01! I 000000001967 - 01 - 15 - 0000 15 de janeiro de 1967 Green Bay Packers 01! Green Bay Packers (1, 1 - 0) 3510! 35 - 10 Kansas City Chiefs 01! Kansas City Chiefs (1, 0 - 1)"&amp;" Los Angeles Memorial Coliseum 01! Los Angeles Memorial Coliseum Los Angeles, Califórnia 01! Los Angeles, Califórnia 061946! 61.946 02! II 000000001968 - 01 - 14 - 0000 14 de janeiro de 1968 Green Bay Packers 02! Green Bay Packers (2, 2 - 0) 3314! 33 - 14"&amp;" Oakland Raiders 01! Oakland Raiders (1, 0 - 1) Miami Orange Bowl 01! Miami Orange Bowl Miami, Flórida 01! Miami, Flórida 075546! 75.546 03! Iii 000000001969 - 01 - 12 - 0000 12 de janeiro de 1969 New York Jets 01! New York Jets (1, 1 - 0) 1607! 16 - 7 In"&amp;"dianapolis Colts 01! Baltimore Colts (1, 0 - 1) Miami Orange Bowl 02! Miami Orange Bowl (2) Miami, Flórida 02! Miami, Flórida (2) 075389! 75.389 04! IV 000000001970 - 01 - 11 - 0000 11 de janeiro de 1970 Kansas City Chiefs 02! Kansas City Chiefs (2, 1 - 1"&amp;") 2307! 23 - 7 Minnesota Vikings 01! Minnesota Vikings (1, 0 - 1) TULANE PARTE 01! Tulane Stadium Nova Orleans, Louisiana 01! Nova Orleans, Louisiana 080562! 80.562 05! V 000000001971 - 01 - 17 - 0000 17 de janeiro de 1971 Indianapolis Colts 02! Baltimore"&amp;" Colts (2, 1 - 1) 1613! 16 - 13 Dallas Cowboys 01! Dallas Cowboys (1, 0 - 1) Miami Orange Bowl 03! Miami Orange Bowl (3) Miami, Flórida 03! Miami, Flórida (3) 079204! 79.204 06! VI 000000001972 - 01 - 16 - 0000 16 de janeiro de 1972 Dallas Cowboys 02! Dal"&amp;"las Cowboys (2, 1 - 1) 2403! 24 - 3 Miami Dolphins 01! Miami Dolphins (1, 0 - 1) TULANE PARTIOM 02! Tulane Stadium (2) Nova Orleans, Louisiana 02! Nova Orleans, Louisiana (2) 081023! 81.023 07! VII 000000001973 - 01 - 14 - 0000 14 de janeiro de 1973 Miami"&amp;" Dolphins 02! Miami Dolphins (2, 1 - 1) 1407! 14 - 7 Washington Redskins 01! Washington Redskins (1, 0 - 1) Los Angeles Memorial Coliseum 02! Los Angeles Memorial Coliseum (2) Los Angeles, Califórnia 02! Los Angeles, Califórnia (2) 090182! 90.182 08! VIII"&amp;" 000000001974 - 01 - 13 - 0000 13 de janeiro de 1974 Miami Dolphins 03! Miami Dolphins (3, 2 - 1) 2407! 24 - 7 Minnesota Vikings 02! Minnesota Vikings (2, 0 - 2) estádio de arroz 01! Rice Stadium Houston, Texas 01! Houston, Texas 071882! 71.882 09! IX 000"&amp;"000001975 - 01 - 12 - 0000 12 de janeiro de 1975 Pittsburgh Steelers 01! Pittsburgh Steelers (1, 1 - 0) 1606! 16 - 6 Minnesota Vikings 03! Minnesota Vikings (3, 0 - 3) Estádio Tulane 03! Tulane Stadium (3) Nova Orleans, Louisiana 03! Nova Orleans, Louisia"&amp;"na (3) 080997! 80.997 10! X 000000001976 - 01 - 18 - 0000 18 de janeiro de 1976 Pittsburgh Steelers 02! Pittsburgh Steelers (2, 2 - 0) 2117! 21 - 17 Dallas Cowboys 03! Dallas Cowboys (3, 1 - 2) Miami Orange Bowl 04! Miami Orange Bowl (4) Miami, Flórida 04"&amp;"! Miami, Flórida (4) 080187! 80.187 11! XI 000000001977 - 01 - 09 - 0000 9 de janeiro de 1977 Oakland Raiders 02! Oakland Raiders (2, 1 - 1) 3214! 32 - 14 Minnesota Vikings 04! Minnesota Vikings (4, 0 - 4) Rose Bowl 01! Rose Bowl Los Angeles, Califórnia 0"&amp;"3! Pasadena, Califórnia (3) 103438! 103.438 12! XII 000000001978 - 01 - 15 - 0000 15 de janeiro de 1978 Dallas Cowboys 04! Dallas Cowboys (4, 2 - 2) 2710! 27 - 10 Denver Broncos 01! Denver Broncos (1, 0 - 1) Louisiana Superdome 01! Louisiana Superdome Nov"&amp;"a Orleans, Louisiana 04! Nova Orleans, Louisiana (4) 076400! 76.400 13! XIII 000000001979 - 01 - 21 - 0000 21 de janeiro de 1979 Pittsburgh Steelers 03! Pittsburgh Steelers (3, 3 - 0) 3531! 35 - 31 Dallas Cowboys 05! Dallas Cowboys (5, 2 - 3) Miami Orange"&amp;" Bowl 05! Miami Orange Bowl (5) Miami, Flórida 05! Miami, Flórida (5) 079484! 79.484 14! XIV 000000001980 - 01 - 20 - 0000 20 de janeiro de 1980 Pittsburgh Steelers 04! Pittsburgh Steelers (4, 4 - 0) 3119! 31 - 19 Los Angeles Rams 01! Los Angeles Rams (1,"&amp;" 0 - 1) Rose Bowl 02! Rose Bowl (2) Los Angeles, Califórnia 04! Pasadena, Califórnia (4) 103985! 103.985 15! XV 000000001981 - 01 - 25 - 0000 25 de janeiro de 1981 Oakland Raiders 03! Oakland Raiders (3, 2 - 1) 2710! 27 - 10 Philadelphia Eagles 01! Philad"&amp;"elphia Eagles (1, 0 - 1) Louisiana Superdome 02! Louisiana Superdome (2) Nova Orleans, Louisiana 05! Nova Orleans, Louisiana (5) 076135! 76.135 16! XVI 000000001982 - 01 - 24 - 0000 24 de janeiro de 1982 San Francisco 49ers 01! San Francisco 49ers (1, 1 -"&amp;" 0) 2621! 26 - 21 Cincinnati Bengals 01! Cincinnati Bengals (1, 0 - 1) Pontiac Silverdome 01! Pontiac Silverdome Detroit, Michigan 01! Pontiac, Michigan 081270! 81.270 17! XVII 000000001983 - 01 - 30 - 0000 30 de janeiro de 1983 Washington Redskins 02! Wa"&amp;"shington Redskins (2, 1 - 1) 2717! 27 - 17 Miami Dolphins 04! Miami Dolphins (4, 2 - 2) Rose Bowl 03! Rose Bowl (3) Los Angeles, Califórnia 05! Pasadena, Califórnia (5) 103667! 103.667 18! XVIII 000000001984 - 01 - 22 - 0000 22 de janeiro de 1984 Oakland "&amp;"Raiders 04! Los Angeles Raiders (4, 3 - 1) 3809! 38 - 9 Washington Redskins 03! Washington Redskins (3, 1 - 2) Tampa Stadium 01! Tampa Stadium Tampa, Flórida 01! Tampa, Flórida 072920! 72.920 19! XIX 000000001985 - 01 - 20 - 0000 20 de janeiro de 1985 San"&amp;" Francisco 49ers 02! San Francisco 49ers (2, 2 - 0) 3816! 38 - 16 Miami Dolphins 05! Miami Dolphins (5, 2 - 3) estádio de Stanford 01! Stanford Stadium São Francisco, Califórnia 01! Stanford, Califórnia 084059! 84.059 20! XX 000000001986 - 01 - 26 - 0000 "&amp;"26 de janeiro de 1986 Chicago Bears 01! Chicago Bears (1, 1 - 0) 4610! 46 - 10 New England Patriots 01! New England Patriots (1, 0 - 1) Louisiana Superdome 03! Louisiana Superdome (3) Nova Orleans, Louisiana 06! Nova Orleans, Louisiana (6) 073818! 73.818 "&amp;"21! XXI 000000001987 - 01 - 25 - 0000 25 de janeiro de 1987 New York Giants 01! New York Giants (1, 1 - 0) 3920! 39 - 20 Denver Broncos 02! Denver Broncos (2, 0 - 2) Rose Bowl 04! Rose Bowl (4) Los Angeles, Califórnia 06! Pasadena, Califórnia (6) 101063! "&amp;"101.063 22! XXII 000000001988 - 01 - 31 - 0000 31 de janeiro de 1988 Washington Redskins 04! Washington Redskins (4, 2 - 2) 4210! 42 - 10 Denver Broncos 03! Denver Broncos (3, 0 - 3) Estádio Qualcomm 01! SAN DIEGO - Jack Murphy Stadium San Diego, Califórn"&amp;"ia 01! San Diego, Califórnia 073302! 73.302 23! Xxiii 000000001989 - 01 - 22 - 0000 22 de janeiro de 1989 San Francisco 49ers 03! San Francisco 49ers (3, 3 - 0) 2016! 20 - 16 Cincinnati Bengals 02! Cincinnati Bengals (2, 0 - 2) Estádio de Hard Rock 01! Jo"&amp;"e Robbie Stadium Miami, Flórida 06! Miami Gardens, Flórida (6) 075129! 75.129 24! XXIV 000000001990 - 01 - 28 - 0000 28 de janeiro de 1990 San Francisco 49ers 04! San Francisco 49ers (4, 4 - 0) 5510! 55 - 10 Denver Broncos 04! Denver Broncos (4, 0 - 4) Lo"&amp;"uisiana Superdome 04! Louisiana Superdome (4) Nova Orleans, Louisiana 07! Nova Orleans, Louisiana (7) 072919! 72.919 25! XXV 000000001991 - 01 - 27 - 0000 27 de janeiro de 1991 New York Giants 02! New York Giants (2, 2 - 0) 2019! 20 - 19 Buffalo Bills 01!"&amp;" Buffalo Bills (1, 0 - 1) Tampa Stadium 02! Tampa Stadium (2) Tampa, Flórida 02! Tampa, Flórida (2) 073813! 73.813 26! XXVI 000000001992 - 01 - 26 - 0000 26 de janeiro de 1992 Washington Redskins 05! Washington Redskins (5, 3 - 2) 3724! 37 - 24 Buffalo Bi"&amp;"lls 02! Buffalo Bills (2, 0 - 2) Metrodome 01! Metrodome Minneapolis, Minnesota 01! Minneapolis, Minnesota 063130! 63.130 27! XXVII 000000001993 - 01 - 31 - 0000 31 de janeiro de 1993 Dallas Cowboys 06! Dallas Cowboys (6, 3 - 3) 5217! 52 - 17 Buffalo Bill"&amp;"s 03! Buffalo Bills (3, 0 - 3) Rose Bowl 05! Rose Bowl (5) Los Angeles, Califórnia 07! Pasadena, Califórnia (7) 098374! 98.374 28! Xxviii 000000001994 - 01 - 30 - 0000 30 de janeiro de 1994 Dallas Cowboys 07! Dallas Cowboys (7, 4 - 3) 3013! 30 - 13 Buffal"&amp;"o Bills 04! Buffalo Bills (4, 0 - 4) Georgia Dome 01! Georgia Dome Atlanta, Geórgia 01! Atlanta, Georgia 072817! 72.817 29! XXIX 000000001995 - 01 - 29 - 0000 29 de janeiro de 1995 San Francisco 49ers 05! San Francisco 49ers (5, 5 - 0) 4926! 49 - 26 San D"&amp;"iego Chargers 01! San Diego Chargers (1, 0 - 1) Estádio de Hard Rock 02! Joe Robbie Stadium (2) Miami, Flórida 07! Miami Gardens, Flórida (7) 074107! 74.107 30! XXX 000000001996 - 01 - 28 - 0000 28 de janeiro de 1996 Dallas Cowboys 08! Dallas Cowboys (8, "&amp;"5 - 3) 2717! 27 - 17 Pittsburgh Steelers 05! Pittsburgh Steelers (5, 4 - 1) Sun Devil Stadium 01! Sun Devil Stadium Phoenix, Arizona 01! Tempe, Arizona 076347! 76.347 31! XXXI 000000001997 - 01 - 26 - 0000 26 de janeiro de 1997 Green Bay Packers 03! Green"&amp;" Bay Packers (3, 3 - 0) 3521! 35 - 21 New England Patriots 02! New England Patriots (2, 0 - 2) Louisiana Superdome 05! Louisiana Superdome (5) Nova Orleans, Louisiana 08! Nova Orleans, Louisiana (8) 072301! 72.301 32! Xxxii 000000001998 - 01 - 25 - 0000 2"&amp;"5 de janeiro de 1998 Denver Broncos 05! Denver Broncos (5, 1 - 4) 3124! 31 - 24 Green Bay Packers 04! Green Bay Packers (4, 3 - 1) Qualcomm Stadium 02! Qualcomm Stadium (2) San Diego, Califórnia 02! San Diego, Califórnia (2) 068912! 68.912 33! Xxxiii 0000"&amp;"00001999 - 01 - 31 - 0000 31 de janeiro de 1999 Denver Broncos 06! Denver Broncos (6, 2 - 4) 3419! 34 - 19 Atlanta Falcons 01! Atlanta Falcons (1, 0 - 1) Estádio de Hard Rock 03! Proty Player Stadium (3) Miami, Flórida 08! Miami Gardens, Flórida (8) 07480"&amp;"3! 74.803 34! Xxxiv 000000002000 - 01 - 30 - 0000 30 de janeiro de 2000 Los Angeles Rams 02! St. Louis Rams (2, 1 - 1) 2316! 23 - 16 Tennessee Titans 01! Tennessee Titans (1, 0 - 1) Georgia Dome 02! Dome da Geórgia (2) Atlanta, Geórgia 02! Atlanta, Geórgi"&amp;"a (2) 072625! 72.625 35! XXXV 000000002001 - 01 - 28 - 0000 28 de janeiro de 2001 Baltimore Ravens 01! Baltimore Ravens (1, 1 - 0) 3407! 34 - 7 New York Giants 03! New York Giants (3, 2 - 1) Raymond James Stadium 01! Raymond James Stadium Tampa, Flórida 0"&amp;"3! Tampa, Flórida (3) 071921! 71.921 36! XXXVI 000000002002 - 02 - 03 - 0000 3 de fevereiro de 2002 New England Patriots 03! New England Patriots (3, 1 - 2) 2017! 20 - 17 Los Angeles Rams 03! St. Louis Rams (3, 1 - 2) Louisiana Superdome 06! Louisiana Sup"&amp;"erdome (6) Nova Orleans, Louisiana 09! Nova Orleans, Louisiana (9) 072922! 72.922 37! Xxxvii 000000002003 - 01 - 26 - 0000 26 de janeiro de 2003 Tampa Bay Buccaneers 01! Tampa Bay Buccaneers (1, 1 - 0) 4821! 48 - 21 Oakland Raiders 05! Oakland Raiders (5,"&amp;" 3 - 2) Qualcomm Stadium 03! Qualcomm Stadium (3) San Diego, Califórnia 03! San Diego, Califórnia (3) 067603! 67.603 38! Xxxviii 000000002004 - 02 - 01 - 0000 1 de fevereiro de 2004 New England Patriots 04! New England Patriots (4, 2 - 2) 3229! 32 - 29 Ca"&amp;"rolina Panthers 01! Carolina Panthers (1, 0 - 1) estádio NRG 01! Reliant Stadium Houston, Texas 02! Houston, Texas (2) 071525! 71.525 39! XXXIX 000000002005 - 02 - 06 - 0000 6 de fevereiro de 2005 New England Patriots 05! New England Patriots (5, 3 - 2) 2"&amp;"421! 24 - 21 Philadelphia Eagles 02! Philadelphia Eagles (2, 0 - 2) Alltel Stadium 01! Altel Stadium Jacksonville, Flórida 01! Jacksonville, Flórida 078125! 78.125 40! XL 000000002006 - 02 - 05 - 0000 5 de fevereiro de 2006 Pittsburgh Steelers 06! Pittsbu"&amp;"rgh Steelers (6, 5 - 1) 2110! 21 - 10 Seattle Seahawks 01! Seattle Seahawks (1, 0 - 1) Ford Campo 01! Ford Field Detroit, Michigan 02! Detroit, Michigan (2) 068206! 68.206 41! XLI 000000002007 - 02 - 04 - 0000 4 de fevereiro de 2007 Indianapolis Colts 03!"&amp;" Indianapolis Colts (3, 2 - 1) 2917! 29 - 17 Chicago Bears 02! Chicago Bears (2, 1 - 1) Estádio de Hard Rock 04! Dolphin Stadium (4) Miami, Flórida 09! Miami Gardens, Flórida (9) 074512! 74.512 42! XLII 000000002008 - 02 - 03 - 0000 3 de fevereiro de 2008"&amp;" New York Giants 04! New York Giants (4, 3 - 1) 1714! 17 - 14 New England Patriots 06! New England Patriots (6, 3 - 3) University of Phoenix Stadium 01! Universidade de Phoenix Stadium Phoenix, Arizona 02! Glendale, Arizona (2) 071101! 71.101 43! XLIII 00"&amp;"0000002009 - 02 - 01 - 0000 1 de fevereiro de 2009 Pittsburgh Steelers 07! Pittsburgh Steelers (7, 6 - 1) 2723! 27 - 23 Arizona Cardinals 01! Arizona Cardinals (1, 0 - 1) Raymond James Stadium 02! Raymond James Stadium (2) Tampa, Flórida 04! Tampa, Flórid"&amp;"a (4) 070774! 70.774 44! XLIV 000000002010 - 02 - 07 - 0000 7 de fevereiro de 2010 New Orleans Saints 01! Santos de Nova Orleans (1, 1 - 0) 3117! 31 - 17 Indianapolis Colts 04! Indianapolis Colts (4, 2 - 2) estádio de hard rock 05! Sun Life Stadium (5) Mi"&amp;"ami, Flórida 10! Miami Gardens, Flórida (10) 074059! 74.059 45! XLV 000000002011 - 02 - 06 - 0000 6 de fevereiro de 2011 Green Bay Packers 05! Green Bay Packers (5, 4 - 1) 3125! 31 - 25 Pittsburgh Steelers 08! Pittsburgh Steelers (8, 6 - 2) Cowboys Stadiu"&amp;"m 01! Cowboys Stadium Arlington, Texas 01! Arlington, Texas 103219! 103.219 46! XLVI 000000002012 - 02 - 05 - 0000 5 de fevereiro de 2012 New York Giants 05! New York Giants (5, 4 - 1) 2117! 21 - 17 New England Patriots 07! New England Patriots (7, 3 - 4)"&amp;" Lucas Oil Stadium 01! Lucas Oil Stadium Indianapolis, Indiana 01! Indianapolis, Indiana 068658! 68.658 47! XLVII 000000002013 - 02 - 03 - 0000 3 de fevereiro de 2013 Baltimore Ravens 02! Baltimore Ravens (2, 2 - 0) 3431! 34 - 31 San Francisco 49ers 06! S"&amp;"an Francisco 49ers (6, 5 - 1) Louisiana Superdome 07! Mercedes - Benz Superdome (7) Nova Orleans, Louisiana 10! Nova Orleans, Louisiana (10) 071024! 71.024 48! XLVIII 000000002014 - 02 - 02 - 0000 2 de fevereiro de 2014 Seattle Seahawks 02! Seattle Seahaw"&amp;"ks (2, 1 - 1) 4308! 43 - 8 Denver Broncos 07! Denver Broncos (7, 2 - 5) MetLife Stadium 01! MetLife Stadium East Rutherford, Nova Jersey 01! East Rutherford, Nova Jersey 082529! 82.529 49! XLIX 000000002015 - 02 - 01 - 0000 1 de fevereiro de 2015 New Engl"&amp;"and Patriots 08! New England Patriots (8, 4 - 4) 2824! 28 - 24 Seattle Seahawks 03! Seattle Seahawks (3, 1 - 2) Estádio da Universidade de Phoenix 02! Stadium da Universidade de Phoenix (2) Phoenix, Arizona 03! Glendale, Arizona (3) 070288! 70.288 50! 50 "&amp;"000000002016 - 02 - 07 - 0000 7 de fevereiro de 2016 Denver Broncos 08! Denver Broncos (8, 3 - 5) 2410! 24 - 10 Carolina Panthers 02! Carolina Panthers (2, 0 - 2) estádio de Levi 01! Stadium de Levi São Francisco, Califórnia 02! Santa Clara, Califórnia (2"&amp;") 071088! 71.088 51! Li 000000002017 - 02 - 05 - 0000 5 de fevereiro de 2017 New England Patriots 09! New England Patriots (9, 5 - 4) 3428! 34 - 28 (OT) Atlanta Falcons 02! Atlanta Falcons (2, 0 - 2) estádio NRG 02! NRG Stadium (2) Houston, Texas 03! Hous"&amp;"ton, Texas (3) 070807! 70.807 52! Lii 000000002018 - 02 - 04 - 0000 4 de fevereiro de 2018 Philadelphia Eagles 03! Philadelphia Eagles (3, 1 - 2) 4133! 41 - 33 New England Patriots 10! New England Patriots (10, 5 - 5) estádio bancário dos EUA 01! U.S. Ban"&amp;"k Stadium Minneapolis, Minnesota 02! Minneapolis, Minnesota (2) 067612! 67.612 53! Liii 000000002019 - 02 - 03 - 0000 3 de fevereiro de 2019 x 2019! 2018 - 19 AFC Campeão em 2018 - 19 NFC Campeão 0019! - X 2019! Para ser determinado (TBD) Mercedes - Benz "&amp;"Stadium 01! Mercedes - Benz Stadium Atlanta, Geórgia 03! Atlanta, Geórgia (3) TBD 54! LIV 000000002020 - 02 - 02 - 0000 2 de fevereiro de 2020 x 2020! 2019 - 20 Campeão da NFC em 2019 - 20 Campeão da AFC 0020! - x 2020! Ser determinado Hard Rock Stadium 0"&amp;"6! Hard Rock Stadium (6) Miami, Flórida 11! Miami Gardens, Flórida (11) TBD 55! LV 000000002021 - 02 - 07 - 0000 7 de fevereiro de 2021 x 2020! 2020 - 21 Campeão da AFC em 2020 - 21 NFC Campeão 0021! - x 2021! Ser determinado Raymond James Stadium 03! Ray"&amp;"mond James Stadium (3) Tampa, Flórida 05! Tampa, Flórida (5) TBD 56! LVI 000000002022 - 02 - 06 - 0000 6 de fevereiro de 2022 x 2021! 2021 - 22 Campeão da NFC em 2021 - 22 Campeão da AFC 0022! - x 2022! Ser determinado City of Champions Stadium 01! Los An"&amp;"geles Stadium no Hollywood Park Los Angeles, Califórnia 08! Inglewood, Califórnia (8) TBD Data do jogo venceu a partitura da equipe perdida para a equipe da equipe da cidade")</f>
        <v>   Data do jogo vencedora a partitura da equipe perdida Venue City Presença Ref 01! I 000000001967 - 01 - 15 - 0000 15 de janeiro de 1967 Green Bay Packers 01! Green Bay Packers (1, 1 - 0) 3510! 35 - 10 Kansas City Chiefs 01! Kansas City Chiefs (1, 0 - 1) Los Angeles Memorial Coliseum 01! Los Angeles Memorial Coliseum Los Angeles, Califórnia 01! Los Angeles, Califórnia 061946! 61.946 02! II 000000001968 - 01 - 14 - 0000 14 de janeiro de 1968 Green Bay Packers 02! Green Bay Packers (2, 2 - 0) 3314! 33 - 14 Oakland Raiders 01! Oakland Raiders (1, 0 - 1) Miami Orange Bowl 01! Miami Orange Bowl Miami, Flórida 01! Miami, Flórida 075546! 75.546 03! Iii 000000001969 - 01 - 12 - 0000 12 de janeiro de 1969 New York Jets 01! New York Jets (1, 1 - 0) 1607! 16 - 7 Indianapolis Colts 01! Baltimore Colts (1, 0 - 1) Miami Orange Bowl 02! Miami Orange Bowl (2) Miami, Flórida 02! Miami, Flórida (2) 075389! 75.389 04! IV 000000001970 - 01 - 11 - 0000 11 de janeiro de 1970 Kansas City Chiefs 02! Kansas City Chiefs (2, 1 - 1) 2307! 23 - 7 Minnesota Vikings 01! Minnesota Vikings (1, 0 - 1) TULANE PARTE 01! Tulane Stadium Nova Orleans, Louisiana 01! Nova Orleans, Louisiana 080562! 80.562 05! V 000000001971 - 01 - 17 - 0000 17 de janeiro de 1971 Indianapolis Colts 02! Baltimore Colts (2, 1 - 1) 1613! 16 - 13 Dallas Cowboys 01! Dallas Cowboys (1, 0 - 1) Miami Orange Bowl 03! Miami Orange Bowl (3) Miami, Flórida 03! Miami, Flórida (3) 079204! 79.204 06! VI 000000001972 - 01 - 16 - 0000 16 de janeiro de 1972 Dallas Cowboys 02! Dallas Cowboys (2, 1 - 1) 2403! 24 - 3 Miami Dolphins 01! Miami Dolphins (1, 0 - 1) TULANE PARTIOM 02! Tulane Stadium (2) Nova Orleans, Louisiana 02! Nova Orleans, Louisiana (2) 081023! 81.023 07! VII 000000001973 - 01 - 14 - 0000 14 de janeiro de 1973 Miami Dolphins 02! Miami Dolphins (2, 1 - 1) 1407! 14 - 7 Washington Redskins 01! Washington Redskins (1, 0 - 1) Los Angeles Memorial Coliseum 02! Los Angeles Memorial Coliseum (2) Los Angeles, Califórnia 02! Los Angeles, Califórnia (2) 090182! 90.182 08! VIII 000000001974 - 01 - 13 - 0000 13 de janeiro de 1974 Miami Dolphins 03! Miami Dolphins (3, 2 - 1) 2407! 24 - 7 Minnesota Vikings 02! Minnesota Vikings (2, 0 - 2) estádio de arroz 01! Rice Stadium Houston, Texas 01! Houston, Texas 071882! 71.882 09! IX 000000001975 - 01 - 12 - 0000 12 de janeiro de 1975 Pittsburgh Steelers 01! Pittsburgh Steelers (1, 1 - 0) 1606! 16 - 6 Minnesota Vikings 03! Minnesota Vikings (3, 0 - 3) Estádio Tulane 03! Tulane Stadium (3) Nova Orleans, Louisiana 03! Nova Orleans, Louisiana (3) 080997! 80.997 10! X 000000001976 - 01 - 18 - 0000 18 de janeiro de 1976 Pittsburgh Steelers 02! Pittsburgh Steelers (2, 2 - 0) 2117! 21 - 17 Dallas Cowboys 03! Dallas Cowboys (3, 1 - 2) Miami Orange Bowl 04! Miami Orange Bowl (4) Miami, Flórida 04! Miami, Flórida (4) 080187! 80.187 11! XI 000000001977 - 01 - 09 - 0000 9 de janeiro de 1977 Oakland Raiders 02! Oakland Raiders (2, 1 - 1) 3214! 32 - 14 Minnesota Vikings 04! Minnesota Vikings (4, 0 - 4) Rose Bowl 01! Rose Bowl Los Angeles, Califórnia 03! Pasadena, Califórnia (3) 103438! 103.438 12! XII 000000001978 - 01 - 15 - 0000 15 de janeiro de 1978 Dallas Cowboys 04! Dallas Cowboys (4, 2 - 2) 2710! 27 - 10 Denver Broncos 01! Denver Broncos (1, 0 - 1) Louisiana Superdome 01! Louisiana Superdome Nova Orleans, Louisiana 04! Nova Orleans, Louisiana (4) 076400! 76.400 13! XIII 000000001979 - 01 - 21 - 0000 21 de janeiro de 1979 Pittsburgh Steelers 03! Pittsburgh Steelers (3, 3 - 0) 3531! 35 - 31 Dallas Cowboys 05! Dallas Cowboys (5, 2 - 3) Miami Orange Bowl 05! Miami Orange Bowl (5) Miami, Flórida 05! Miami, Flórida (5) 079484! 79.484 14! XIV 000000001980 - 01 - 20 - 0000 20 de janeiro de 1980 Pittsburgh Steelers 04! Pittsburgh Steelers (4, 4 - 0) 3119! 31 - 19 Los Angeles Rams 01! Los Angeles Rams (1, 0 - 1) Rose Bowl 02! Rose Bowl (2) Los Angeles, Califórnia 04! Pasadena, Califórnia (4) 103985! 103.985 15! XV 000000001981 - 01 - 25 - 0000 25 de janeiro de 1981 Oakland Raiders 03! Oakland Raiders (3, 2 - 1) 2710! 27 - 10 Philadelphia Eagles 01! Philadelphia Eagles (1, 0 - 1) Louisiana Superdome 02! Louisiana Superdome (2) Nova Orleans, Louisiana 05! Nova Orleans, Louisiana (5) 076135! 76.135 16! XVI 000000001982 - 01 - 24 - 0000 24 de janeiro de 1982 San Francisco 49ers 01! San Francisco 49ers (1, 1 - 0) 2621! 26 - 21 Cincinnati Bengals 01! Cincinnati Bengals (1, 0 - 1) Pontiac Silverdome 01! Pontiac Silverdome Detroit, Michigan 01! Pontiac, Michigan 081270! 81.270 17! XVII 000000001983 - 01 - 30 - 0000 30 de janeiro de 1983 Washington Redskins 02! Washington Redskins (2, 1 - 1) 2717! 27 - 17 Miami Dolphins 04! Miami Dolphins (4, 2 - 2) Rose Bowl 03! Rose Bowl (3) Los Angeles, Califórnia 05! Pasadena, Califórnia (5) 103667! 103.667 18! XVIII 000000001984 - 01 - 22 - 0000 22 de janeiro de 1984 Oakland Raiders 04! Los Angeles Raiders (4, 3 - 1) 3809! 38 - 9 Washington Redskins 03! Washington Redskins (3, 1 - 2) Tampa Stadium 01! Tampa Stadium Tampa, Flórida 01! Tampa, Flórida 072920! 72.920 19! XIX 000000001985 - 01 - 20 - 0000 20 de janeiro de 1985 San Francisco 49ers 02! San Francisco 49ers (2, 2 - 0) 3816! 38 - 16 Miami Dolphins 05! Miami Dolphins (5, 2 - 3) estádio de Stanford 01! Stanford Stadium São Francisco, Califórnia 01! Stanford, Califórnia 084059! 84.059 20! XX 000000001986 - 01 - 26 - 0000 26 de janeiro de 1986 Chicago Bears 01! Chicago Bears (1, 1 - 0) 4610! 46 - 10 New England Patriots 01! New England Patriots (1, 0 - 1) Louisiana Superdome 03! Louisiana Superdome (3) Nova Orleans, Louisiana 06! Nova Orleans, Louisiana (6) 073818! 73.818 21! XXI 000000001987 - 01 - 25 - 0000 25 de janeiro de 1987 New York Giants 01! New York Giants (1, 1 - 0) 3920! 39 - 20 Denver Broncos 02! Denver Broncos (2, 0 - 2) Rose Bowl 04! Rose Bowl (4) Los Angeles, Califórnia 06! Pasadena, Califórnia (6) 101063! 101.063 22! XXII 000000001988 - 01 - 31 - 0000 31 de janeiro de 1988 Washington Redskins 04! Washington Redskins (4, 2 - 2) 4210! 42 - 10 Denver Broncos 03! Denver Broncos (3, 0 - 3) Estádio Qualcomm 01! SAN DIEGO - Jack Murphy Stadium San Diego, Califórnia 01! San Diego, Califórnia 073302! 73.302 23! Xxiii 000000001989 - 01 - 22 - 0000 22 de janeiro de 1989 San Francisco 49ers 03! San Francisco 49ers (3, 3 - 0) 2016! 20 - 16 Cincinnati Bengals 02! Cincinnati Bengals (2, 0 - 2) Estádio de Hard Rock 01! Joe Robbie Stadium Miami, Flórida 06! Miami Gardens, Flórida (6) 075129! 75.129 24! XXIV 000000001990 - 01 - 28 - 0000 28 de janeiro de 1990 San Francisco 49ers 04! San Francisco 49ers (4, 4 - 0) 5510! 55 - 10 Denver Broncos 04! Denver Broncos (4, 0 - 4) Louisiana Superdome 04! Louisiana Superdome (4) Nova Orleans, Louisiana 07! Nova Orleans, Louisiana (7) 072919! 72.919 25! XXV 000000001991 - 01 - 27 - 0000 27 de janeiro de 1991 New York Giants 02! New York Giants (2, 2 - 0) 2019! 20 - 19 Buffalo Bills 01! Buffalo Bills (1, 0 - 1) Tampa Stadium 02! Tampa Stadium (2) Tampa, Flórida 02! Tampa, Flórida (2) 073813! 73.813 26! XXVI 000000001992 - 01 - 26 - 0000 26 de janeiro de 1992 Washington Redskins 05! Washington Redskins (5, 3 - 2) 3724! 37 - 24 Buffalo Bills 02! Buffalo Bills (2, 0 - 2) Metrodome 01! Metrodome Minneapolis, Minnesota 01! Minneapolis, Minnesota 063130! 63.130 27! XXVII 000000001993 - 01 - 31 - 0000 31 de janeiro de 1993 Dallas Cowboys 06! Dallas Cowboys (6, 3 - 3) 5217! 52 - 17 Buffalo Bills 03! Buffalo Bills (3, 0 - 3) Rose Bowl 05! Rose Bowl (5) Los Angeles, Califórnia 07! Pasadena, Califórnia (7) 098374! 98.374 28! Xxviii 000000001994 - 01 - 30 - 0000 30 de janeiro de 1994 Dallas Cowboys 07! Dallas Cowboys (7, 4 - 3) 3013! 30 - 13 Buffalo Bills 04! Buffalo Bills (4, 0 - 4) Georgia Dome 01! Georgia Dome Atlanta, Geórgia 01! Atlanta, Georgia 072817! 72.817 29! XXIX 000000001995 - 01 - 29 - 0000 29 de janeiro de 1995 San Francisco 49ers 05! San Francisco 49ers (5, 5 - 0) 4926! 49 - 26 San Diego Chargers 01! San Diego Chargers (1, 0 - 1) Estádio de Hard Rock 02! Joe Robbie Stadium (2) Miami, Flórida 07! Miami Gardens, Flórida (7) 074107! 74.107 30! XXX 000000001996 - 01 - 28 - 0000 28 de janeiro de 1996 Dallas Cowboys 08! Dallas Cowboys (8, 5 - 3) 2717! 27 - 17 Pittsburgh Steelers 05! Pittsburgh Steelers (5, 4 - 1) Sun Devil Stadium 01! Sun Devil Stadium Phoenix, Arizona 01! Tempe, Arizona 076347! 76.347 31! XXXI 000000001997 - 01 - 26 - 0000 26 de janeiro de 1997 Green Bay Packers 03! Green Bay Packers (3, 3 - 0) 3521! 35 - 21 New England Patriots 02! New England Patriots (2, 0 - 2) Louisiana Superdome 05! Louisiana Superdome (5) Nova Orleans, Louisiana 08! Nova Orleans, Louisiana (8) 072301! 72.301 32! Xxxii 000000001998 - 01 - 25 - 0000 25 de janeiro de 1998 Denver Broncos 05! Denver Broncos (5, 1 - 4) 3124! 31 - 24 Green Bay Packers 04! Green Bay Packers (4, 3 - 1) Qualcomm Stadium 02! Qualcomm Stadium (2) San Diego, Califórnia 02! San Diego, Califórnia (2) 068912! 68.912 33! Xxxiii 000000001999 - 01 - 31 - 0000 31 de janeiro de 1999 Denver Broncos 06! Denver Broncos (6, 2 - 4) 3419! 34 - 19 Atlanta Falcons 01! Atlanta Falcons (1, 0 - 1) Estádio de Hard Rock 03! Proty Player Stadium (3) Miami, Flórida 08! Miami Gardens, Flórida (8) 074803! 74.803 34! Xxxiv 000000002000 - 01 - 30 - 0000 30 de janeiro de 2000 Los Angeles Rams 02! St. Louis Rams (2, 1 - 1) 2316! 23 - 16 Tennessee Titans 01! Tennessee Titans (1, 0 - 1) Georgia Dome 02! Dome da Geórgia (2) Atlanta, Geórgia 02! Atlanta, Geórgia (2) 072625! 72.625 35! XXXV 000000002001 - 01 - 28 - 0000 28 de janeiro de 2001 Baltimore Ravens 01! Baltimore Ravens (1, 1 - 0) 3407! 34 - 7 New York Giants 03! New York Giants (3, 2 - 1) Raymond James Stadium 01! Raymond James Stadium Tampa, Flórida 03! Tampa, Flórida (3) 071921! 71.921 36! XXXVI 000000002002 - 02 - 03 - 0000 3 de fevereiro de 2002 New England Patriots 03! New England Patriots (3, 1 - 2) 2017! 20 - 17 Los Angeles Rams 03! St. Louis Rams (3, 1 - 2) Louisiana Superdome 06! Louisiana Superdome (6) Nova Orleans, Louisiana 09! Nova Orleans, Louisiana (9) 072922! 72.922 37! Xxxvii 000000002003 - 01 - 26 - 0000 26 de janeiro de 2003 Tampa Bay Buccaneers 01! Tampa Bay Buccaneers (1, 1 - 0) 4821! 48 - 21 Oakland Raiders 05! Oakland Raiders (5, 3 - 2) Qualcomm Stadium 03! Qualcomm Stadium (3) San Diego, Califórnia 03! San Diego, Califórnia (3) 067603! 67.603 38! Xxxviii 000000002004 - 02 - 01 - 0000 1 de fevereiro de 2004 New England Patriots 04! New England Patriots (4, 2 - 2) 3229! 32 - 29 Carolina Panthers 01! Carolina Panthers (1, 0 - 1) estádio NRG 01! Reliant Stadium Houston, Texas 02! Houston, Texas (2) 071525! 71.525 39! XXXIX 000000002005 - 02 - 06 - 0000 6 de fevereiro de 2005 New England Patriots 05! New England Patriots (5, 3 - 2) 2421! 24 - 21 Philadelphia Eagles 02! Philadelphia Eagles (2, 0 - 2) Alltel Stadium 01! Altel Stadium Jacksonville, Flórida 01! Jacksonville, Flórida 078125! 78.125 40! XL 000000002006 - 02 - 05 - 0000 5 de fevereiro de 2006 Pittsburgh Steelers 06! Pittsburgh Steelers (6, 5 - 1) 2110! 21 - 10 Seattle Seahawks 01! Seattle Seahawks (1, 0 - 1) Ford Campo 01! Ford Field Detroit, Michigan 02! Detroit, Michigan (2) 068206! 68.206 41! XLI 000000002007 - 02 - 04 - 0000 4 de fevereiro de 2007 Indianapolis Colts 03! Indianapolis Colts (3, 2 - 1) 2917! 29 - 17 Chicago Bears 02! Chicago Bears (2, 1 - 1) Estádio de Hard Rock 04! Dolphin Stadium (4) Miami, Flórida 09! Miami Gardens, Flórida (9) 074512! 74.512 42! XLII 000000002008 - 02 - 03 - 0000 3 de fevereiro de 2008 New York Giants 04! New York Giants (4, 3 - 1) 1714! 17 - 14 New England Patriots 06! New England Patriots (6, 3 - 3) University of Phoenix Stadium 01! Universidade de Phoenix Stadium Phoenix, Arizona 02! Glendale, Arizona (2) 071101! 71.101 43! XLIII 000000002009 - 02 - 01 - 0000 1 de fevereiro de 2009 Pittsburgh Steelers 07! Pittsburgh Steelers (7, 6 - 1) 2723! 27 - 23 Arizona Cardinals 01! Arizona Cardinals (1, 0 - 1) Raymond James Stadium 02! Raymond James Stadium (2) Tampa, Flórida 04! Tampa, Flórida (4) 070774! 70.774 44! XLIV 000000002010 - 02 - 07 - 0000 7 de fevereiro de 2010 New Orleans Saints 01! Santos de Nova Orleans (1, 1 - 0) 3117! 31 - 17 Indianapolis Colts 04! Indianapolis Colts (4, 2 - 2) estádio de hard rock 05! Sun Life Stadium (5) Miami, Flórida 10! Miami Gardens, Flórida (10) 074059! 74.059 45! XLV 000000002011 - 02 - 06 - 0000 6 de fevereiro de 2011 Green Bay Packers 05! Green Bay Packers (5, 4 - 1) 3125! 31 - 25 Pittsburgh Steelers 08! Pittsburgh Steelers (8, 6 - 2) Cowboys Stadium 01! Cowboys Stadium Arlington, Texas 01! Arlington, Texas 103219! 103.219 46! XLVI 000000002012 - 02 - 05 - 0000 5 de fevereiro de 2012 New York Giants 05! New York Giants (5, 4 - 1) 2117! 21 - 17 New England Patriots 07! New England Patriots (7, 3 - 4) Lucas Oil Stadium 01! Lucas Oil Stadium Indianapolis, Indiana 01! Indianapolis, Indiana 068658! 68.658 47! XLVII 000000002013 - 02 - 03 - 0000 3 de fevereiro de 2013 Baltimore Ravens 02! Baltimore Ravens (2, 2 - 0) 3431! 34 - 31 San Francisco 49ers 06! San Francisco 49ers (6, 5 - 1) Louisiana Superdome 07! Mercedes - Benz Superdome (7) Nova Orleans, Louisiana 10! Nova Orleans, Louisiana (10) 071024! 71.024 48! XLVIII 000000002014 - 02 - 02 - 0000 2 de fevereiro de 2014 Seattle Seahawks 02! Seattle Seahawks (2, 1 - 1) 4308! 43 - 8 Denver Broncos 07! Denver Broncos (7, 2 - 5) MetLife Stadium 01! MetLife Stadium East Rutherford, Nova Jersey 01! East Rutherford, Nova Jersey 082529! 82.529 49! XLIX 000000002015 - 02 - 01 - 0000 1 de fevereiro de 2015 New England Patriots 08! New England Patriots (8, 4 - 4) 2824! 28 - 24 Seattle Seahawks 03! Seattle Seahawks (3, 1 - 2) Estádio da Universidade de Phoenix 02! Stadium da Universidade de Phoenix (2) Phoenix, Arizona 03! Glendale, Arizona (3) 070288! 70.288 50! 50 000000002016 - 02 - 07 - 0000 7 de fevereiro de 2016 Denver Broncos 08! Denver Broncos (8, 3 - 5) 2410! 24 - 10 Carolina Panthers 02! Carolina Panthers (2, 0 - 2) estádio de Levi 01! Stadium de Levi São Francisco, Califórnia 02! Santa Clara, Califórnia (2) 071088! 71.088 51! Li 000000002017 - 02 - 05 - 0000 5 de fevereiro de 2017 New England Patriots 09! New England Patriots (9, 5 - 4) 3428! 34 - 28 (OT) Atlanta Falcons 02! Atlanta Falcons (2, 0 - 2) estádio NRG 02! NRG Stadium (2) Houston, Texas 03! Houston, Texas (3) 070807! 70.807 52! Lii 000000002018 - 02 - 04 - 0000 4 de fevereiro de 2018 Philadelphia Eagles 03! Philadelphia Eagles (3, 1 - 2) 4133! 41 - 33 New England Patriots 10! New England Patriots (10, 5 - 5) estádio bancário dos EUA 01! U.S. Bank Stadium Minneapolis, Minnesota 02! Minneapolis, Minnesota (2) 067612! 67.612 53! Liii 000000002019 - 02 - 03 - 0000 3 de fevereiro de 2019 x 2019! 2018 - 19 AFC Campeão em 2018 - 19 NFC Campeão 0019! - X 2019! Para ser determinado (TBD) Mercedes - Benz Stadium 01! Mercedes - Benz Stadium Atlanta, Geórgia 03! Atlanta, Geórgia (3) TBD 54! LIV 000000002020 - 02 - 02 - 0000 2 de fevereiro de 2020 x 2020! 2019 - 20 Campeão da NFC em 2019 - 20 Campeão da AFC 0020! - x 2020! Ser determinado Hard Rock Stadium 06! Hard Rock Stadium (6) Miami, Flórida 11! Miami Gardens, Flórida (11) TBD 55! LV 000000002021 - 02 - 07 - 0000 7 de fevereiro de 2021 x 2020! 2020 - 21 Campeão da AFC em 2020 - 21 NFC Campeão 0021! - x 2021! Ser determinado Raymond James Stadium 03! Raymond James Stadium (3) Tampa, Flórida 05! Tampa, Flórida (5) TBD 56! LVI 000000002022 - 02 - 06 - 0000 6 de fevereiro de 2022 x 2021! 2021 - 22 Campeão da NFC em 2021 - 22 Campeão da AFC 0022! - x 2022! Ser determinado City of Champions Stadium 01! Los Angeles Stadium no Hollywood Park Los Angeles, Califórnia 08! Inglewood, Califórnia (8) TBD Data do jogo venceu a partitura da equipe perdida para a equipe da equipe da cidade</v>
      </c>
      <c r="I282" s="3" t="str">
        <f>IFERROR(__xludf.DUMMYFUNCTION("GOOGLETRANSLATE(E282)"),"#VALUE!")</f>
        <v>#VALUE!</v>
      </c>
    </row>
    <row r="283" ht="15.75" customHeight="1">
      <c r="A283" s="1">
        <v>281.0</v>
      </c>
      <c r="B283" s="3" t="s">
        <v>1034</v>
      </c>
      <c r="C283" s="3" t="s">
        <v>1035</v>
      </c>
      <c r="D283" s="3" t="s">
        <v>1036</v>
      </c>
      <c r="F283" s="3" t="str">
        <f>IFERROR(__xludf.DUMMYFUNCTION("GOOGLETRANSLATE(B283)")," 2007 NBA Draft")</f>
        <v> 2007 NBA Draft</v>
      </c>
      <c r="G283" s="3" t="str">
        <f>IFERROR(__xludf.DUMMYFUNCTION("GOOGLETRANSLATE(C283)"),"que foi convocado no mesmo ano que Kevin Durant")</f>
        <v>que foi convocado no mesmo ano que Kevin Durant</v>
      </c>
      <c r="H283" s="3" t="str">
        <f>IFERROR(__xludf.DUMMYFUNCTION("GOOGLETRANSLATE(D283)"),"   Round Pick Posição Posição da equipe de nacionalidade Equipe / equipe de clube Oden, Greg Greg Oden Estados Unidos Portland Trail Blazers Estado de Ohio (fr.) Durant, Kevin Kevin Durant * SF Estados Unidos Seattle Supersonics Texas (fr.) Horford, Al Al"&amp;" Horford República Dominicana Atlanta Atlanta Hawks Florida (Jr.) Conley, Mike Mike Conley PG Estados Unidos Memphis Grizzlies Ohio State (fr.) 5 Green, Jeff Jeff Green SF Estados Unidos Boston Celtics (negociado com Seattle) Georgetown (Jr.) 6 Yi, Jianli"&amp;"an Yi Jianlian Pf China Milwaukee Bucks Guangdong Southern Tigers (China) 7 Brewer, Corey Corey Brewer SF Estados Unidos Minnesota Timberwolves Flórida (Jr.) 8 Wright, Brandan Brandan Wright PF PF Estados Unidos Charlotte Bobcats (negociado para Golden St"&amp;"ate) North Carolina (fr.) , Joakim Joakim Noah France Estados Unidos Chicago Bulls (de Nova York) Flórida (jr. ) 10 Hawes, Spencer Spencer Hawes dos Estados Unidos Sacramento Kings Washington (fr.) 11 Direito, Acie Law Pg Estados Unidos Atlanta Hawks (de "&amp;"Indiana) Texas A&amp;M (sr.) 12 Young, Thaddeus Thaddeus Young PF PF Philadelphia 76ers Georgia Tech Tech (Fr.) 13 Wright, Julian Julian Wright SF Estados Unidos New Orleans Hornets Kansas (So.) 14 Thornton, Al Al Thornton SF Estados Unidos Los Angeles Clippe"&amp;"rs State da Flórida (sr.) 15 Stuckey, Rodney Rodney Stuckey SGET Estados Unidos Detroit Pistons (de Orlando) Oriental Washington (So.) 16 Young, Nick Young SG Estados Unidos Washington Wizards USC (Jr.) 17 Williams, Sean Williams PF Estados Unidos New Jer"&amp;"sey Nets Boston College (Jr.) 18 Belinelli, Marco Marco Belinelli SG Itália Golden State Warriors Fortitudo Bolonha (Itália) 19 Crittenton, Javaris Javaris Crittenton PG Estados Unidos Los Angeles Lakers Georgia Tech (fr. ) 20 Smith, Jason Jason Smith PF "&amp;"Estados Unidos Miami Heat (negociado para a Filadélfia) Estado do Colorado (Jr.) 21 Cook, Daequan Daequan Cook SG Estados Unidos Philadelphia 76ers (de Denver, negociado para Miami) Ohio State (fr.) 22 Dudley , Jared Jared Dudley SF Estados Unidos Charlot"&amp;"te Bobcats (de Toronto via Cleveland) Boston College (sr.) 23 Chandler, Wilson Wilson Chandler SF Estados Unidos New York Knicks (de Chicago) DePaul (So.) 24 Fernándos, Rudy Fernández Phoenix Suns (de Cleveland via Boston, negociado para Portland) Joventu"&amp;"t Badalona (Espanha) 25 Almond, Morris Morris Almond SG Estados Unidos Rice Jazz Jazz (sr.) 26 Brooks, Aaron Aaron Brooks PG dos Estados Unidos Houston Rockets Oregon (sr.) 27 Afflalo, Arron Arron Afflalo SG Estados Unidos Detroit Pistons UCLA (Jr.) 28 Sp"&amp;"litter, Tiago Tiago Brasil Brasil San Antonio Spurs Tau Cerámica (Espanha) 29 Tucker, Alando Alando Tucker SF Estados Unidos Phoenix Wisconsin (Sr. ) 30 Koponen, Petteri Petteri Koponen SG Finlândia Philadelphia 76ers (de Dallas via Golden State e Denver,"&amp;" negociado para Portland) Tapiolan Honka (Finlândia) 31 Landry, Carl Carl Landry PF PF Estados Unidos Seattle Supersonics (de Memphis, Traduzido a Houston) Purdue ( Sr.) 32 Pruitt, Gabe Gabe Pruitt PG Estados Unidos Boston Celtics USC (Jr.) 33 Williams, M"&amp;"arcus Marcus Williams SF Estados Unidos San Antonio Spurs (de Milwaukee) Arizona (So.) 34 Fazekas, Nick Nick Fazekas Pf Dallas Unitidas Mavericks (de Atlanta) Nevada (sr.) 35 Davis, Glen Glen Davis PF Estados Unidos Seattle Supersonics (negociado com Bost"&amp;"on) LSU (Jr.) 36 Davidson, Jermareo Jermareo Davidson PF Os Estados Unidos Golden State Warris (de Minnesota, negociado para Charlotte ) Alabama (sr.) 37 McRoberts, Josh Josh McRoberts PF Estados Unidos Portland Trail Blazers Duke (SO. )       38   Fesenk"&amp;"o , Kyrylo Kyrylo Fesenko     Ukraine   Philadelphia 76ers ( from New York via Chicago , traded to Utah )   SK Cherkassy ( Ukraine ) )       39   Barać , Stanko Stanko Barać     Croatia   Miami Heat ( from Sacramento via Utah and Orlando , traded to India"&amp;"na )   Široki Brijeg ( Bosnia and Herzegovina )       40   Sun , Yue Sun Yue   SF   China   Los Angeles Lakers ( from Charlotte )   Beijing Olympians ( ABA )       41   Richard , Chris Chris Richard   PF   United States   Minnesota Timberwolves ( from Phi"&amp;"ladelphia )   Florida ( Sr . )       42   Byars , Derrick Derrick BYARS SG Estados Unidos Portland Trail Blazers (de Indiana, negociado para a Filadélfia) Vanderbilt (sr.) 43 Haluska, Adam Adam Haluska SG Estados Unidos New Orleans Hornets Iowa (sr.) 44 T"&amp;"erry, Reyshawn Reyshawn Terry SF Estados Unidos Orlando Magic (TRADED para Dallas) Carolina do Norte (sr.) 45 Jordânia, Jared Jared Jordan PG Estados Unidos Los Angeles Clippers Marist (sr. ) 46 LASME, Stephane Stephane lasme PF Gabão Golden State Warrior"&amp;"s (de Nova Jersey) Massachusetts (sr.) 47 McGuire, Dominic Dominic McGuire SF Estados Unidos Washington Wizards Fresno State (JR.) 48 Gasol, Marc Marc Gasol Spain Los Lers. traded to Memphis )   Akasvayu Girona ( Spain )       49   Gray , Aaron Aaron Gray"&amp;"     United States   Chicago Bulls ( from Golden State via Phoenix , Boston and Denver )   Pittsburgh ( Sr . )       50   Seibutis , Renaldas Renaldas Seibutis   SG   Lithuania   Dallas Mavericks ( from Miami via L.A. Lakers) Maroussi (Grécia) 51 Curry, J"&amp;"ameson Jameson Curry Pg Bulls de Chicago dos Estados Unidos (de Denver) Oklahoma State (JR.) 52 Green, Taurean Green Pg Georgia Portland Trail Blazers (de Toronto) Flórida (Jr.) 53 Nichols, Demetris Demetris Nichols SF Blazers de Trail Estados Unidos (de "&amp;"Chicago, negociado para Nova York) Syracuse (sr. ) 54 Newley, Brad Brad Newley SF Australia Houston Rockets (de Cleveland via Orlando) Crocodilos de Townsville (Austrália) 55 Hill, Herbert Herbert Hill PF Estados Unidos Utah Jazz (negociado com Filadélfia"&amp;") Providence (sr.) 56 sessões, Ramon Ramon Ramon Sessions Pg United States   Milwaukee Bucks ( from Houston )   Nevada ( Jr . )       57   Mejia , Sammy Sammy Mejia   SG   Dominican Republic   Detroit Pistons   DePaul ( Sr . )       58   Printezis , Giorg"&amp;"os Giorgos Printezis   PF   Greece   San Antonio Spurs ( traded to Toronto )   Olympia Larissa ( Greece ) 59 Strawberry, D.J. D.J. Strawberry pg Estados Unidos Phoenix Suns Maryland (sr.) 60 Raković, Milovan Milovan Raković Sérbia Dallas Mavericks (negoci"&amp;"ada para Orlando) Mega Ishrana (Sérvia)")</f>
        <v>   Round Pick Posição Posição da equipe de nacionalidade Equipe / equipe de clube Oden, Greg Greg Oden Estados Unidos Portland Trail Blazers Estado de Ohio (fr.) Durant, Kevin Kevin Durant * SF Estados Unidos Seattle Supersonics Texas (fr.) Horford, Al Al Horford República Dominicana Atlanta Atlanta Hawks Florida (Jr.) Conley, Mike Mike Conley PG Estados Unidos Memphis Grizzlies Ohio State (fr.) 5 Green, Jeff Jeff Green SF Estados Unidos Boston Celtics (negociado com Seattle) Georgetown (Jr.) 6 Yi, Jianlian Yi Jianlian Pf China Milwaukee Bucks Guangdong Southern Tigers (China) 7 Brewer, Corey Corey Brewer SF Estados Unidos Minnesota Timberwolves Flórida (Jr.) 8 Wright, Brandan Brandan Wright PF PF Estados Unidos Charlotte Bobcats (negociado para Golden State) North Carolina (fr.) , Joakim Joakim Noah France Estados Unidos Chicago Bulls (de Nova York) Flórida (jr. ) 10 Hawes, Spencer Spencer Hawes dos Estados Unidos Sacramento Kings Washington (fr.) 11 Direito, Acie Law Pg Estados Unidos Atlanta Hawks (de Indiana) Texas A&amp;M (sr.) 12 Young, Thaddeus Thaddeus Young PF PF Philadelphia 76ers Georgia Tech Tech (Fr.) 13 Wright, Julian Julian Wright SF Estados Unidos New Orleans Hornets Kansas (So.) 14 Thornton, Al Al Thornton SF Estados Unidos Los Angeles Clippers State da Flórida (sr.) 15 Stuckey, Rodney Rodney Stuckey SGET Estados Unidos Detroit Pistons (de Orlando) Oriental Washington (So.) 16 Young, Nick Young SG Estados Unidos Washington Wizards USC (Jr.) 17 Williams, Sean Williams PF Estados Unidos New Jersey Nets Boston College (Jr.) 18 Belinelli, Marco Marco Belinelli SG Itália Golden State Warriors Fortitudo Bolonha (Itália) 19 Crittenton, Javaris Javaris Crittenton PG Estados Unidos Los Angeles Lakers Georgia Tech (fr. ) 20 Smith, Jason Jason Smith PF Estados Unidos Miami Heat (negociado para a Filadélfia) Estado do Colorado (Jr.) 21 Cook, Daequan Daequan Cook SG Estados Unidos Philadelphia 76ers (de Denver, negociado para Miami) Ohio State (fr.) 22 Dudley , Jared Jared Dudley SF Estados Unidos Charlotte Bobcats (de Toronto via Cleveland) Boston College (sr.) 23 Chandler, Wilson Wilson Chandler SF Estados Unidos New York Knicks (de Chicago) DePaul (So.) 24 Fernándos, Rudy Fernández Phoenix Suns (de Cleveland via Boston, negociado para Portland) Joventut Badalona (Espanha) 25 Almond, Morris Morris Almond SG Estados Unidos Rice Jazz Jazz (sr.) 26 Brooks, Aaron Aaron Brooks PG dos Estados Unidos Houston Rockets Oregon (sr.) 27 Afflalo, Arron Arron Afflalo SG Estados Unidos Detroit Pistons UCLA (Jr.) 28 Splitter, Tiago Tiago Brasil Brasil San Antonio Spurs Tau Cerámica (Espanha) 29 Tucker, Alando Alando Tucker SF Estados Unidos Phoenix Wisconsin (Sr. ) 30 Koponen, Petteri Petteri Koponen SG Finlândia Philadelphia 76ers (de Dallas via Golden State e Denver, negociado para Portland) Tapiolan Honka (Finlândia) 31 Landry, Carl Carl Landry PF PF Estados Unidos Seattle Supersonics (de Memphis, Traduzido a Houston) Purdue ( Sr.) 32 Pruitt, Gabe Gabe Pruitt PG Estados Unidos Boston Celtics USC (Jr.) 33 Williams, Marcus Marcus Williams SF Estados Unidos San Antonio Spurs (de Milwaukee) Arizona (So.) 34 Fazekas, Nick Nick Fazekas Pf Dallas Unitidas Mavericks (de Atlanta) Nevada (sr.) 35 Davis, Glen Glen Davis PF Estados Unidos Seattle Supersonics (negociado com Boston) LSU (Jr.) 36 Davidson, Jermareo Jermareo Davidson PF Os Estados Unidos Golden State Warris (de Minnesota, negociado para Charlotte ) Alabama (sr.) 37 McRoberts, Josh Josh McRoberts PF Estados Unidos Portland Trail Blazers Duke (SO. )       38   Fesenko , Kyrylo Kyrylo Fesenko     Ukraine   Philadelphia 76ers ( from New York via Chicago , traded to Utah )   SK Cherkassy ( Ukraine ) )       39   Barać , Stanko Stanko Barać     Croatia   Miami Heat ( from Sacramento via Utah and Orlando , traded to Indiana )   Široki Brijeg ( Bosnia and Herzegovina )       40   Sun , Yue Sun Yue   SF   China   Los Angeles Lakers ( from Charlotte )   Beijing Olympians ( ABA )       41   Richard , Chris Chris Richard   PF   United States   Minnesota Timberwolves ( from Philadelphia )   Florida ( Sr . )       42   Byars , Derrick Derrick BYARS SG Estados Unidos Portland Trail Blazers (de Indiana, negociado para a Filadélfia) Vanderbilt (sr.) 43 Haluska, Adam Adam Haluska SG Estados Unidos New Orleans Hornets Iowa (sr.) 44 Terry, Reyshawn Reyshawn Terry SF Estados Unidos Orlando Magic (TRADED para Dallas) Carolina do Norte (sr.) 45 Jordânia, Jared Jared Jordan PG Estados Unidos Los Angeles Clippers Marist (sr. ) 46 LASME, Stephane Stephane lasme PF Gabão Golden State Warriors (de Nova Jersey) Massachusetts (sr.) 47 McGuire, Dominic Dominic McGuire SF Estados Unidos Washington Wizards Fresno State (JR.) 48 Gasol, Marc Marc Gasol Spain Los Lers. traded to Memphis )   Akasvayu Girona ( Spain )       49   Gray , Aaron Aaron Gray     United States   Chicago Bulls ( from Golden State via Phoenix , Boston and Denver )   Pittsburgh ( Sr . )       50   Seibutis , Renaldas Renaldas Seibutis   SG   Lithuania   Dallas Mavericks ( from Miami via L.A. Lakers) Maroussi (Grécia) 51 Curry, Jameson Jameson Curry Pg Bulls de Chicago dos Estados Unidos (de Denver) Oklahoma State (JR.) 52 Green, Taurean Green Pg Georgia Portland Trail Blazers (de Toronto) Flórida (Jr.) 53 Nichols, Demetris Demetris Nichols SF Blazers de Trail Estados Unidos (de Chicago, negociado para Nova York) Syracuse (sr. ) 54 Newley, Brad Brad Newley SF Australia Houston Rockets (de Cleveland via Orlando) Crocodilos de Townsville (Austrália) 55 Hill, Herbert Herbert Hill PF Estados Unidos Utah Jazz (negociado com Filadélfia) Providence (sr.) 56 sessões, Ramon Ramon Ramon Sessions Pg United States   Milwaukee Bucks ( from Houston )   Nevada ( Jr . )       57   Mejia , Sammy Sammy Mejia   SG   Dominican Republic   Detroit Pistons   DePaul ( Sr . )       58   Printezis , Giorgos Giorgos Printezis   PF   Greece   San Antonio Spurs ( traded to Toronto )   Olympia Larissa ( Greece ) 59 Strawberry, D.J. D.J. Strawberry pg Estados Unidos Phoenix Suns Maryland (sr.) 60 Raković, Milovan Milovan Raković Sérbia Dallas Mavericks (negociada para Orlando) Mega Ishrana (Sérvia)</v>
      </c>
      <c r="I283" s="3" t="str">
        <f>IFERROR(__xludf.DUMMYFUNCTION("GOOGLETRANSLATE(E283)"),"#VALUE!")</f>
        <v>#VALUE!</v>
      </c>
    </row>
    <row r="284" ht="15.75" customHeight="1">
      <c r="A284" s="1">
        <v>282.0</v>
      </c>
      <c r="B284" s="3" t="s">
        <v>1037</v>
      </c>
      <c r="C284" s="3" t="s">
        <v>1038</v>
      </c>
      <c r="D284" s="3" t="s">
        <v>1039</v>
      </c>
      <c r="F284" s="3" t="str">
        <f>IFERROR(__xludf.DUMMYFUNCTION("GOOGLETRANSLATE(B284)")," Botão de reprodução do YouTube")</f>
        <v> Botão de reprodução do YouTube</v>
      </c>
      <c r="G284" s="3" t="str">
        <f>IFERROR(__xludf.DUMMYFUNCTION("GOOGLETRANSLATE(C284)"),"Quantos assinantes para obter um botão de reprodução de prata")</f>
        <v>Quantos assinantes para obter um botão de reprodução de prata</v>
      </c>
      <c r="H284" s="3" t="str">
        <f>IFERROR(__xludf.DUMMYFUNCTION("GOOGLETRANSLATE(D284)")," O botão de reprodução de prata, para canais que superam 100.000 assinantes. Versão antiga feita de cobre banhado a níquel - liga de níquel.")</f>
        <v> O botão de reprodução de prata, para canais que superam 100.000 assinantes. Versão antiga feita de cobre banhado a níquel - liga de níquel.</v>
      </c>
      <c r="I284" s="3" t="str">
        <f>IFERROR(__xludf.DUMMYFUNCTION("GOOGLETRANSLATE(E284)"),"#VALUE!")</f>
        <v>#VALUE!</v>
      </c>
    </row>
    <row r="285" ht="15.75" customHeight="1">
      <c r="A285" s="1">
        <v>283.0</v>
      </c>
      <c r="B285" s="3" t="s">
        <v>1040</v>
      </c>
      <c r="C285" s="3" t="s">
        <v>1041</v>
      </c>
      <c r="D285" s="3" t="s">
        <v>1042</v>
      </c>
      <c r="E285" s="3" t="s">
        <v>1043</v>
      </c>
      <c r="F285" s="3" t="str">
        <f>IFERROR(__xludf.DUMMYFUNCTION("GOOGLETRANSLATE(B285)")," Oceanos (onde os pés podem falhar)")</f>
        <v> Oceanos (onde os pés podem falhar)</v>
      </c>
      <c r="G285" s="3" t="str">
        <f>IFERROR(__xludf.DUMMYFUNCTION("GOOGLETRANSLATE(C285)"),"quem escreveu os oceanos da música onde os pés podem falhar")</f>
        <v>quem escreveu os oceanos da música onde os pés podem falhar</v>
      </c>
      <c r="H285" s="3" t="str">
        <f>IFERROR(__xludf.DUMMYFUNCTION("GOOGLETRANSLATE(D285)"),"   `` Oceanos (onde os pés podem falhar) '' Single de Hillsong United do álbum Zion Lançado em 23 de agosto de 2013 (2013 - 08 - 23) Download digital download gravado 2013 Gênero Length 8: 55 (versão do álbum) 4: 09 (Rádio Versão) Label Hillsong Capitol C"&amp;"MG Songwriter Matt Crocker Joel Houston Salomon Ligthelm Produtor (S) Michael Guy Chislett Hillsong United Singles Chronology `` Scandal of Grace '' (2013) `` Oceanos (onde os pés May) '' (2013 ) `` Touch the Sky '' (2015) `` Scandal of Grace '' (2013) ``"&amp;" Oceanos (onde os pés podem falhar) '' (2013) `` Touch the Sky '' (2015)")</f>
        <v>   `` Oceanos (onde os pés podem falhar) '' Single de Hillsong United do álbum Zion Lançado em 23 de agosto de 2013 (2013 - 08 - 23) Download digital download gravado 2013 Gênero Length 8: 55 (versão do álbum) 4: 09 (Rádio Versão) Label Hillsong Capitol CMG Songwriter Matt Crocker Joel Houston Salomon Ligthelm Produtor (S) Michael Guy Chislett Hillsong United Singles Chronology `` Scandal of Grace '' (2013) `` Oceanos (onde os pés May) '' (2013 ) `` Touch the Sky '' (2015) `` Scandal of Grace '' (2013) `` Oceanos (onde os pés podem falhar) '' (2013) `` Touch the Sky '' (2015)</v>
      </c>
      <c r="I285" s="3" t="str">
        <f>IFERROR(__xludf.DUMMYFUNCTION("GOOGLETRANSLATE(E285)"),"Matt Crocker")</f>
        <v>Matt Crocker</v>
      </c>
    </row>
    <row r="286" ht="15.75" customHeight="1">
      <c r="A286" s="1">
        <v>284.0</v>
      </c>
      <c r="B286" s="3" t="s">
        <v>1044</v>
      </c>
      <c r="C286" s="3" t="s">
        <v>1045</v>
      </c>
      <c r="D286" s="3" t="s">
        <v>1046</v>
      </c>
      <c r="E286" s="3" t="s">
        <v>1047</v>
      </c>
      <c r="F286" s="3" t="str">
        <f>IFERROR(__xludf.DUMMYFUNCTION("GOOGLETRANSLATE(B286)")," Liberdade de movimento para trabalhadores na União Europeia")</f>
        <v> Liberdade de movimento para trabalhadores na União Europeia</v>
      </c>
      <c r="G286" s="3" t="str">
        <f>IFERROR(__xludf.DUMMYFUNCTION("GOOGLETRANSLATE(C286)"),"Quando foi introduzido o livre movimento na UE")</f>
        <v>Quando foi introduzido o livre movimento na UE</v>
      </c>
      <c r="H286" s="3" t="str">
        <f>IFERROR(__xludf.DUMMYFUNCTION("GOOGLETRANSLATE(D286)")," O Tratado de Paris (1951), estabelecendo a comunidade européia de carvão e siderúrgica, estabeleceu o direito à livre circulação para os trabalhadores nessas indústrias e o Tratado de Roma (1957) forneceu o direito à livre circulação de trabalhadores na "&amp;"comunidade econômica européia. A Diretiva 2004/38 / CE, à direita de se mover e residir livremente, reunindo livremente os diferentes aspectos do direito do movimento em um documento, substituindo inter alia a diretiva 1968/660 / EEC. Também esclarece que"&amp;"stões processuais e fortalece os direitos dos membros da família de cidadãos europeus usando a liberdade de movimento. De acordo com o local oficial do Parlamento Europeu, a explicação da liberdade dos trabalhadores é a seguinte:")</f>
        <v> O Tratado de Paris (1951), estabelecendo a comunidade européia de carvão e siderúrgica, estabeleceu o direito à livre circulação para os trabalhadores nessas indústrias e o Tratado de Roma (1957) forneceu o direito à livre circulação de trabalhadores na comunidade econômica européia. A Diretiva 2004/38 / CE, à direita de se mover e residir livremente, reunindo livremente os diferentes aspectos do direito do movimento em um documento, substituindo inter alia a diretiva 1968/660 / EEC. Também esclarece questões processuais e fortalece os direitos dos membros da família de cidadãos europeus usando a liberdade de movimento. De acordo com o local oficial do Parlamento Europeu, a explicação da liberdade dos trabalhadores é a seguinte:</v>
      </c>
      <c r="I286" s="3" t="str">
        <f>IFERROR(__xludf.DUMMYFUNCTION("GOOGLETRANSLATE(E286)"),"1957")</f>
        <v>1957</v>
      </c>
    </row>
    <row r="287" ht="15.75" customHeight="1">
      <c r="A287" s="1">
        <v>285.0</v>
      </c>
      <c r="B287" s="3" t="s">
        <v>1048</v>
      </c>
      <c r="C287" s="3" t="s">
        <v>1049</v>
      </c>
      <c r="D287" s="3" t="s">
        <v>1050</v>
      </c>
      <c r="F287" s="3" t="str">
        <f>IFERROR(__xludf.DUMMYFUNCTION("GOOGLETRANSLATE(B287)")," Effingham, Illinois")</f>
        <v> Effingham, Illinois</v>
      </c>
      <c r="G287" s="3" t="str">
        <f>IFERROR(__xludf.DUMMYFUNCTION("GOOGLETRANSLATE(C287)"),"Qual é a grande cruz em Effingham Illinois")</f>
        <v>Qual é a grande cruz em Effingham Illinois</v>
      </c>
      <c r="H287" s="3" t="str">
        <f>IFERROR(__xludf.DUMMYFUNCTION("GOOGLETRANSLATE(D287)")," Uma cruz de aço de 198 - pés (60 m) erguida pela Fundação Cross está localizada em Effingham. A cruz é feita de mais de 180 toneladas de aço e custa mais de US $ 1 milhão. A Fundação Cross afirma que a cruz é a `` maior '' nos Estados Unidos em 198 - 60 "&amp;"m com um período de 113 pés (34 m). Enquanto a grande cruz de 208 pés (63 m) em Santo Agostinho, na Flórida, acredita -se ser a cruz mais alta do Hemisfério Ocidental, é mais fino que a cruz em Effingham e tem uma extensão estreita.")</f>
        <v> Uma cruz de aço de 198 - pés (60 m) erguida pela Fundação Cross está localizada em Effingham. A cruz é feita de mais de 180 toneladas de aço e custa mais de US $ 1 milhão. A Fundação Cross afirma que a cruz é a `` maior '' nos Estados Unidos em 198 - 60 m com um período de 113 pés (34 m). Enquanto a grande cruz de 208 pés (63 m) em Santo Agostinho, na Flórida, acredita -se ser a cruz mais alta do Hemisfério Ocidental, é mais fino que a cruz em Effingham e tem uma extensão estreita.</v>
      </c>
      <c r="I287" s="3" t="str">
        <f>IFERROR(__xludf.DUMMYFUNCTION("GOOGLETRANSLATE(E287)"),"#VALUE!")</f>
        <v>#VALUE!</v>
      </c>
    </row>
    <row r="288" ht="15.75" customHeight="1">
      <c r="A288" s="1">
        <v>286.0</v>
      </c>
      <c r="B288" s="3" t="s">
        <v>1051</v>
      </c>
      <c r="C288" s="3" t="s">
        <v>1052</v>
      </c>
      <c r="D288" s="3" t="s">
        <v>1053</v>
      </c>
      <c r="E288" s="3" t="s">
        <v>1047</v>
      </c>
      <c r="F288" s="3" t="str">
        <f>IFERROR(__xludf.DUMMYFUNCTION("GOOGLETRANSLATE(B288)")," Doença da mão, pé e boca")</f>
        <v> Doença da mão, pé e boca</v>
      </c>
      <c r="G288" s="3" t="str">
        <f>IFERROR(__xludf.DUMMYFUNCTION("GOOGLETRANSLATE(C288)"),"Quando a doença do pé e da boca começou a começar")</f>
        <v>Quando a doença do pé e da boca começou a começar</v>
      </c>
      <c r="H288" s="3" t="str">
        <f>IFERROR(__xludf.DUMMYFUNCTION("GOOGLETRANSLATE(D288)")," Os casos de HFMD foram descritos clinicamente no Canadá e na Nova Zelândia em 1957. A doença foi denominada `` doenças do pé e da boca '', por Thomas Henry Flewett, após um surto semelhante em 1960.")</f>
        <v> Os casos de HFMD foram descritos clinicamente no Canadá e na Nova Zelândia em 1957. A doença foi denominada `` doenças do pé e da boca '', por Thomas Henry Flewett, após um surto semelhante em 1960.</v>
      </c>
      <c r="I288" s="3" t="str">
        <f>IFERROR(__xludf.DUMMYFUNCTION("GOOGLETRANSLATE(E288)"),"1957")</f>
        <v>1957</v>
      </c>
    </row>
    <row r="289" ht="15.75" customHeight="1">
      <c r="A289" s="1">
        <v>287.0</v>
      </c>
      <c r="B289" s="3" t="s">
        <v>1054</v>
      </c>
      <c r="C289" s="3" t="s">
        <v>1055</v>
      </c>
      <c r="D289" s="3" t="s">
        <v>1056</v>
      </c>
      <c r="F289" s="3" t="str">
        <f>IFERROR(__xludf.DUMMYFUNCTION("GOOGLETRANSLATE(B289)")," Lista de cidades em Nova York (estado)")</f>
        <v> Lista de cidades em Nova York (estado)</v>
      </c>
      <c r="G289" s="3" t="str">
        <f>IFERROR(__xludf.DUMMYFUNCTION("GOOGLETRANSLATE(C289)"),"Lista das maiores cidades do estado de Nova York")</f>
        <v>Lista das maiores cidades do estado de Nova York</v>
      </c>
      <c r="H289" s="3" t="str">
        <f>IFERROR(__xludf.DUMMYFUNCTION("GOOGLETRANSLATE(D289)"),"   City   County   Population ( 2011 census estimate )   Incorporation date   FIPS code ( subdivision )   FIPS code ( place )   GNIS feature ID     Albany   Albany   97,660   1686   3600101000   3601000   00978659     Amsterdam   Montgomery   18,507   183"&amp;"0   3605702066   3602066   00978677     Auburn   Cayuga   27,590   1848   3601103078   3603078   00978695     Batavia   Genesee   15,444   1915   3603704715   3604715 00978713     Beacon   Dutchess   15,565   1913   3602705100   3605100   00978716     Bin"&amp;"ghamton   Broome   46,996   1867   3600706607   3606607   00978733     Buffalo   Erie   261,025   1832   3602911000   3611000   00978764     Canandaigua   Ontario   10,604   1913   3606912144   3612144   00978784     Cohoes   Albany   16,133   1869   3600"&amp;"116749   3616749   00978847     Corning   Steuben   11,187   1890   3610118256   3618256   00978867     Cortland   Cortland   19,212   1900   3602318388   3618388   00978870 Dunkirk   Chautauqua   12,511   1888   3601321105   3621105   00978911     Elmira"&amp;"   Chemung   29,204   1864   3601524229   3624229   00978938     Fulton   Oswego   11,906   1902   3607527815   3627815   00978979     Geneva   Ontario Seneca   13,324   1898   3606928640 3609928640   3628640   00978992     Glen Cove   Nassau   27,063   1"&amp;"918   3605929113   3629113   00979003     Glens Falls   Warren   14,728   1908   3611329333   3629333   00979004     Gloversville   Fulton   15,621   1890 3603529443   3629443   00979006     Hornell   Steuben   8,566   1888   3610135672   3635672   009790"&amp;"78     Hudson   Columbia   6,657   1785   3602135969   3635969   00979083     Ithaca   Tompkins   30,054   1888   3610938077   3638077   00979099     Jamestown   Chautauqua   31,020   1886   3601338264   3638264   00979102     Johnstown   Fulton   8,718  "&amp;" 1895   3603538781   3638781   00979110     Kingston   Ulster   23,887   1872   3611139727   3639727   00979118     Lackawanna   Erie   18,121   1909   3602940189 3640189 00979124 Little Falls Herkimer 5.188 1895 3604342741 3642741 00979157 LOCKPORT NIAGA"&amp;"RA 21.119 1865 3606343082 3643082 00979164 Praia longa Mechanicville Saratoga 5.227 1915 3609146360 3646360 00979207 Middletown Orange 28.243 1888 3607147042 3647042 00979217 Mount Vernon 477,780 1892 36119494921217 77,606   1889   3611950617   3650617   "&amp;"00979271     New York City   Bronx , Kings , New York , Queens , and Richmond   8,550,405   1653     3651000   02395220     Newburgh   Orange   29,026   1865   3607150034   3650034   00979258     Niagara Falls   Niagara   50,086   1892   3606351055   3651"&amp;"055   00979276     North Tonawanda   Niagara   31,501   1897   3606353682   3653682   00979293     Norwich   Chenango   7,139   1914 3601753979   3653979   00979296     Ogdensburg   St. Lawrence   11,104   1868   3608954485   3654485   00979301     Olean "&amp;"  Cattaraugus   14,363   1854   3600954716   3654716   00979305     Oneida   Madison   11,387   1901   3605354837   3654837   00979308     Oneonta   Otsego   13,843   1908   3607754881   3654881   00979309     Oswego   Oswego   18,158   1848   3607555574 "&amp;"  3655574   00979325     Peekskill   Westchester   23,755   1940   3611956979   3656979   00979348     Plattsburgh   Clinton   19,949 1902 3601958574 3658574 00979376 PORT JERVIS ORANGE 8.878 1907 3607159388 3659388 00979387 Poughkeepsie Dutchess 32,790 1"&amp;"854 3602759641 3659641 3097015999999999999999999999999999999999999999999999999999999999999999999999999999999999990970SIE ROPSIE 32.790 1854 3602759641 3659641 8361148 3661148 00979414 Rochester Monroe 210.855 1834 3605563000 3663000 00979426 Roma Oneida 3"&amp;"3.6660 1870 3606563418 363418 00979430 Ryee 156563418 Salamanca Cattaraugus 5.780 1913   3600964749   3664749   00979450     Saratoga Springs   Saratoga   26,727   1915   3609165255   3665255   00979462     Schenectady   Schenectady   66,273   1798   3609"&amp;"365508   3665508   00979468     Sherrill   Oneida   3,147   1916   3606566993   3666993   00979493     Syracuse   Onondaga   145,151   1848   3606773000   3673000   00979539     Tonawanda   Erie   15,112   1904   3602974166   3674166   00979550     Troy  "&amp;" Rensselaer   50,120   1816   3608375484   3675484   00979559     Utica   Oneida   62,110 1832   3606576540   3676540   00979575     Watertown   Jefferson   27,423   1869   3604578608   3678608   00979604     Watervliet   Albany   10,230   1896   36001786"&amp;"74   3678674   00979606     White Plains   Westchester   57,258   1916   3611981677   3681677   00979637     Yonkers   Westchester   197,399   1872   3611984000   3684000   00979660")</f>
        <v>   City   County   Population ( 2011 census estimate )   Incorporation date   FIPS code ( subdivision )   FIPS code ( place )   GNIS feature ID     Albany   Albany   97,660   1686   3600101000   3601000   00978659     Amsterdam   Montgomery   18,507   1830   3605702066   3602066   00978677     Auburn   Cayuga   27,590   1848   3601103078   3603078   00978695     Batavia   Genesee   15,444   1915   3603704715   3604715 00978713     Beacon   Dutchess   15,565   1913   3602705100   3605100   00978716     Binghamton   Broome   46,996   1867   3600706607   3606607   00978733     Buffalo   Erie   261,025   1832   3602911000   3611000   00978764     Canandaigua   Ontario   10,604   1913   3606912144   3612144   00978784     Cohoes   Albany   16,133   1869   3600116749   3616749   00978847     Corning   Steuben   11,187   1890   3610118256   3618256   00978867     Cortland   Cortland   19,212   1900   3602318388   3618388   00978870 Dunkirk   Chautauqua   12,511   1888   3601321105   3621105   00978911     Elmira   Chemung   29,204   1864   3601524229   3624229   00978938     Fulton   Oswego   11,906   1902   3607527815   3627815   00978979     Geneva   Ontario Seneca   13,324   1898   3606928640 3609928640   3628640   00978992     Glen Cove   Nassau   27,063   1918   3605929113   3629113   00979003     Glens Falls   Warren   14,728   1908   3611329333   3629333   00979004     Gloversville   Fulton   15,621   1890 3603529443   3629443   00979006     Hornell   Steuben   8,566   1888   3610135672   3635672   00979078     Hudson   Columbia   6,657   1785   3602135969   3635969   00979083     Ithaca   Tompkins   30,054   1888   3610938077   3638077   00979099     Jamestown   Chautauqua   31,020   1886   3601338264   3638264   00979102     Johnstown   Fulton   8,718   1895   3603538781   3638781   00979110     Kingston   Ulster   23,887   1872   3611139727   3639727   00979118     Lackawanna   Erie   18,121   1909   3602940189 3640189 00979124 Little Falls Herkimer 5.188 1895 3604342741 3642741 00979157 LOCKPORT NIAGARA 21.119 1865 3606343082 3643082 00979164 Praia longa Mechanicville Saratoga 5.227 1915 3609146360 3646360 00979207 Middletown Orange 28.243 1888 3607147042 3647042 00979217 Mount Vernon 477,780 1892 36119494921217 77,606   1889   3611950617   3650617   00979271     New York City   Bronx , Kings , New York , Queens , and Richmond   8,550,405   1653     3651000   02395220     Newburgh   Orange   29,026   1865   3607150034   3650034   00979258     Niagara Falls   Niagara   50,086   1892   3606351055   3651055   00979276     North Tonawanda   Niagara   31,501   1897   3606353682   3653682   00979293     Norwich   Chenango   7,139   1914 3601753979   3653979   00979296     Ogdensburg   St. Lawrence   11,104   1868   3608954485   3654485   00979301     Olean   Cattaraugus   14,363   1854   3600954716   3654716   00979305     Oneida   Madison   11,387   1901   3605354837   3654837   00979308     Oneonta   Otsego   13,843   1908   3607754881   3654881   00979309     Oswego   Oswego   18,158   1848   3607555574   3655574   00979325     Peekskill   Westchester   23,755   1940   3611956979   3656979   00979348     Plattsburgh   Clinton   19,949 1902 3601958574 3658574 00979376 PORT JERVIS ORANGE 8.878 1907 3607159388 3659388 00979387 Poughkeepsie Dutchess 32,790 1854 3602759641 3659641 3097015999999999999999999999999999999999999999999999999999999999999999999999999999999999990970SIE ROPSIE 32.790 1854 3602759641 3659641 8361148 3661148 00979414 Rochester Monroe 210.855 1834 3605563000 3663000 00979426 Roma Oneida 33.6660 1870 3606563418 363418 00979430 Ryee 156563418 Salamanca Cattaraugus 5.780 1913   3600964749   3664749   00979450     Saratoga Springs   Saratoga   26,727   1915   3609165255   3665255   00979462     Schenectady   Schenectady   66,273   1798   3609365508   3665508   00979468     Sherrill   Oneida   3,147   1916   3606566993   3666993   00979493     Syracuse   Onondaga   145,151   1848   3606773000   3673000   00979539     Tonawanda   Erie   15,112   1904   3602974166   3674166   00979550     Troy   Rensselaer   50,120   1816   3608375484   3675484   00979559     Utica   Oneida   62,110 1832   3606576540   3676540   00979575     Watertown   Jefferson   27,423   1869   3604578608   3678608   00979604     Watervliet   Albany   10,230   1896   3600178674   3678674   00979606     White Plains   Westchester   57,258   1916   3611981677   3681677   00979637     Yonkers   Westchester   197,399   1872   3611984000   3684000   00979660</v>
      </c>
      <c r="I289" s="3" t="str">
        <f>IFERROR(__xludf.DUMMYFUNCTION("GOOGLETRANSLATE(E289)"),"#VALUE!")</f>
        <v>#VALUE!</v>
      </c>
    </row>
    <row r="290" ht="15.75" customHeight="1">
      <c r="A290" s="1">
        <v>288.0</v>
      </c>
      <c r="B290" s="3" t="s">
        <v>1057</v>
      </c>
      <c r="C290" s="3" t="s">
        <v>1058</v>
      </c>
      <c r="D290" s="3" t="s">
        <v>1059</v>
      </c>
      <c r="F290" s="3" t="str">
        <f>IFERROR(__xludf.DUMMYFUNCTION("GOOGLETRANSLATE(B290)")," Randy Gumpert")</f>
        <v> Randy Gumpert</v>
      </c>
      <c r="G290" s="3" t="str">
        <f>IFERROR(__xludf.DUMMYFUNCTION("GOOGLETRANSLATE(C290)"),"quem desistiu do primeiro home run de Mickey Mantle")</f>
        <v>quem desistiu do primeiro home run de Mickey Mantle</v>
      </c>
      <c r="H290" s="3" t="str">
        <f>IFERROR(__xludf.DUMMYFUNCTION("GOOGLETRANSLATE(D290)")," Em 1º de maio de 1951, Gumpert tornou -se parte da história do beisebol, pois permitiu o primeiro home run de Mickey Mantle. 1951 também vi Gumpert fazer sua única aparência de estrela, na qual ele não lançou. Em 13 de novembro de 1951, Gumpert foi negoc"&amp;"iado junto com Don Lenhardt para o Boston Red Sox para Mel Hoderlein e Chuck Stobbs. Depois de jogar 10 jogos pelo Red Sox, ele foi negociado novamente, desta vez para os senadores de Washington com Walt Masterson para Sid Hudson.")</f>
        <v> Em 1º de maio de 1951, Gumpert tornou -se parte da história do beisebol, pois permitiu o primeiro home run de Mickey Mantle. 1951 também vi Gumpert fazer sua única aparência de estrela, na qual ele não lançou. Em 13 de novembro de 1951, Gumpert foi negociado junto com Don Lenhardt para o Boston Red Sox para Mel Hoderlein e Chuck Stobbs. Depois de jogar 10 jogos pelo Red Sox, ele foi negociado novamente, desta vez para os senadores de Washington com Walt Masterson para Sid Hudson.</v>
      </c>
      <c r="I290" s="3" t="str">
        <f>IFERROR(__xludf.DUMMYFUNCTION("GOOGLETRANSLATE(E290)"),"#VALUE!")</f>
        <v>#VALUE!</v>
      </c>
    </row>
    <row r="291" ht="15.75" customHeight="1">
      <c r="A291" s="1">
        <v>289.0</v>
      </c>
      <c r="B291" s="3" t="s">
        <v>1060</v>
      </c>
      <c r="C291" s="3" t="s">
        <v>1061</v>
      </c>
      <c r="D291" s="3" t="s">
        <v>1062</v>
      </c>
      <c r="E291" s="3" t="s">
        <v>1063</v>
      </c>
      <c r="F291" s="3" t="str">
        <f>IFERROR(__xludf.DUMMYFUNCTION("GOOGLETRANSLATE(B291)")," Marbury v. Madison")</f>
        <v> Marbury v. Madison</v>
      </c>
      <c r="G291" s="3" t="str">
        <f>IFERROR(__xludf.DUMMYFUNCTION("GOOGLETRANSLATE(C291)"),"Qual era o significado de Marbury vs Madison")</f>
        <v>Qual era o significado de Marbury vs Madison</v>
      </c>
      <c r="H291" s="3" t="str">
        <f>IFERROR(__xludf.DUMMYFUNCTION("GOOGLETRANSLATE(D291)")," Marbury v. Madison, 5 U.S. (1 Cranch) 137 (1803), foi um caso da Suprema Corte dos EUA que estabeleceu o princípio da revisão judicial nos Estados Unidos, o que significa que os tribunais americanos têm o poder de derrubar leis, estatutos e executivos Aç"&amp;"ões que violam a Constituição dos EUA. A decisão marcante do tribunal, emitida em 1803, ajudou a definir a fronteira entre os ramos executivos e judiciais constitucionalmente separados da forma americana de governo.")</f>
        <v> Marbury v. Madison, 5 U.S. (1 Cranch) 137 (1803), foi um caso da Suprema Corte dos EUA que estabeleceu o princípio da revisão judicial nos Estados Unidos, o que significa que os tribunais americanos têm o poder de derrubar leis, estatutos e executivos Ações que violam a Constituição dos EUA. A decisão marcante do tribunal, emitida em 1803, ajudou a definir a fronteira entre os ramos executivos e judiciais constitucionalmente separados da forma americana de governo.</v>
      </c>
      <c r="I291" s="3" t="str">
        <f>IFERROR(__xludf.DUMMYFUNCTION("GOOGLETRANSLATE(E291)"),"estabeleceu o princípio da revisão judicial nos Estados Unidos, o que significa que os tribunais americanos têm o poder de derrubar leis, estatutos e ações executivas que violam a Constituição dos EUA")</f>
        <v>estabeleceu o princípio da revisão judicial nos Estados Unidos, o que significa que os tribunais americanos têm o poder de derrubar leis, estatutos e ações executivas que violam a Constituição dos EUA</v>
      </c>
    </row>
    <row r="292" ht="15.75" customHeight="1">
      <c r="A292" s="1">
        <v>290.0</v>
      </c>
      <c r="B292" s="3" t="s">
        <v>1064</v>
      </c>
      <c r="C292" s="3" t="s">
        <v>1065</v>
      </c>
      <c r="D292" s="3" t="s">
        <v>1066</v>
      </c>
      <c r="E292" s="3" t="s">
        <v>1067</v>
      </c>
      <c r="F292" s="3" t="str">
        <f>IFERROR(__xludf.DUMMYFUNCTION("GOOGLETRANSLATE(B292)")," Turismo no Nepal")</f>
        <v> Turismo no Nepal</v>
      </c>
      <c r="G292" s="3" t="str">
        <f>IFERROR(__xludf.DUMMYFUNCTION("GOOGLETRANSLATE(C292)"),"quanto dinheiro o turismo traz para o Nepal")</f>
        <v>quanto dinheiro o turismo traz para o Nepal</v>
      </c>
      <c r="H292" s="3" t="str">
        <f>IFERROR(__xludf.DUMMYFUNCTION("GOOGLETRANSLATE(D292)")," O Monte Everest, o pico da montanha mais alto do mundo, está localizado no Nepal. Montanhismo e outros tipos de turismo de aventura e ecoturismo são atrações importantes para os visitantes. O Patrimônio Mundial Lumbini, local de nascimento de Gautama Bud"&amp;"a, está localizado no sul da região oeste do Nepal (que apesar do nome está localizado no centro do país) e há outros importantes locais de peregrinação religiosa em todo o país. A indústria turística é vista como uma maneira de aliviar a pobreza e obter "&amp;"maior equidade social no país. O turismo traz US $ 471 MA ano para o Nepal.")</f>
        <v> O Monte Everest, o pico da montanha mais alto do mundo, está localizado no Nepal. Montanhismo e outros tipos de turismo de aventura e ecoturismo são atrações importantes para os visitantes. O Patrimônio Mundial Lumbini, local de nascimento de Gautama Buda, está localizado no sul da região oeste do Nepal (que apesar do nome está localizado no centro do país) e há outros importantes locais de peregrinação religiosa em todo o país. A indústria turística é vista como uma maneira de aliviar a pobreza e obter maior equidade social no país. O turismo traz US $ 471 MA ano para o Nepal.</v>
      </c>
      <c r="I292" s="3" t="str">
        <f>IFERROR(__xludf.DUMMYFUNCTION("GOOGLETRANSLATE(E292)"),"US $ 471 MA ano")</f>
        <v>US $ 471 MA ano</v>
      </c>
    </row>
    <row r="293" ht="15.75" customHeight="1">
      <c r="A293" s="1">
        <v>291.0</v>
      </c>
      <c r="B293" s="3" t="s">
        <v>1068</v>
      </c>
      <c r="C293" s="3" t="s">
        <v>1069</v>
      </c>
      <c r="D293" s="3" t="s">
        <v>1070</v>
      </c>
      <c r="E293" s="3" t="s">
        <v>1071</v>
      </c>
      <c r="F293" s="3" t="str">
        <f>IFERROR(__xludf.DUMMYFUNCTION("GOOGLETRANSLATE(B293)")," Lista de países pelo PIB (nominal)")</f>
        <v> Lista de países pelo PIB (nominal)</v>
      </c>
      <c r="G293" s="3" t="str">
        <f>IFERROR(__xludf.DUMMYFUNCTION("GOOGLETRANSLATE(C293)"),"quem tinha a maior economia do mundo em 2014")</f>
        <v>quem tinha a maior economia do mundo em 2014</v>
      </c>
      <c r="H293" s="3" t="str">
        <f>IFERROR(__xludf.DUMMYFUNCTION("GOOGLETRANSLATE(D293)")," Embora o ranking das economias nacionais tenha mudado consideravelmente ao longo do tempo, os Estados Unidos mantiveram sua posição superior desde a idade dourada, um período de tempo em que sua economia viu uma rápida expansão, superando o Império Britâ"&amp;"nico e a dinastia Qing na produção agregada. Desde a transição da China para uma economia baseada em mercado por meio de privatização e desregulamentação, o país viu seu aumento no nono em 1978 para o segundo para apenas os Estados Unidos em 2016, à medid"&amp;"a que o crescimento econômico acelerou e sua participação no PIB nominal global subiu de 2 % em 1980 a 15 % em 2016. A Índia também experimentou um boom econômico semelhante desde a implementação da liberalização econômica no início dos anos 90. Quando as"&amp;" entidades supranacionais são incluídas, a União Europeia é a segunda maior economia do mundo. Foi o maior de 2004, quando dez países ingressaram no sindicato até 2014, após o que foi superado pelos Estados Unidos.")</f>
        <v> Embora o ranking das economias nacionais tenha mudado consideravelmente ao longo do tempo, os Estados Unidos mantiveram sua posição superior desde a idade dourada, um período de tempo em que sua economia viu uma rápida expansão, superando o Império Britânico e a dinastia Qing na produção agregada. Desde a transição da China para uma economia baseada em mercado por meio de privatização e desregulamentação, o país viu seu aumento no nono em 1978 para o segundo para apenas os Estados Unidos em 2016, à medida que o crescimento econômico acelerou e sua participação no PIB nominal global subiu de 2 % em 1980 a 15 % em 2016. A Índia também experimentou um boom econômico semelhante desde a implementação da liberalização econômica no início dos anos 90. Quando as entidades supranacionais são incluídas, a União Europeia é a segunda maior economia do mundo. Foi o maior de 2004, quando dez países ingressaram no sindicato até 2014, após o que foi superado pelos Estados Unidos.</v>
      </c>
      <c r="I293" s="3" t="str">
        <f>IFERROR(__xludf.DUMMYFUNCTION("GOOGLETRANSLATE(E293)"),"os Estados Unidos")</f>
        <v>os Estados Unidos</v>
      </c>
    </row>
    <row r="294" ht="15.75" customHeight="1">
      <c r="A294" s="1">
        <v>292.0</v>
      </c>
      <c r="B294" s="3" t="s">
        <v>1072</v>
      </c>
      <c r="C294" s="3" t="s">
        <v>1073</v>
      </c>
      <c r="D294" s="3" t="s">
        <v>1074</v>
      </c>
      <c r="E294" s="3" t="s">
        <v>1075</v>
      </c>
      <c r="F294" s="3" t="str">
        <f>IFERROR(__xludf.DUMMYFUNCTION("GOOGLETRANSLATE(B294)")," Governo federal dos Estados Unidos")</f>
        <v> Governo federal dos Estados Unidos</v>
      </c>
      <c r="G294" s="3" t="str">
        <f>IFERROR(__xludf.DUMMYFUNCTION("GOOGLETRANSLATE(C294)"),"Quais são os três ramos do governo nos Estados Unidos")</f>
        <v>Quais são os três ramos do governo nos Estados Unidos</v>
      </c>
      <c r="H294" s="3" t="str">
        <f>IFERROR(__xludf.DUMMYFUNCTION("GOOGLETRANSLATE(D294)")," O governo federal dos Estados Unidos (governo federal dos EUA) é o governo nacional dos Estados Unidos, uma república na América do Norte, composta por 50 estados, um distrito, Washington, DC (capital do país) e vários territórios. O governo federal é co"&amp;"mposto por três ramos distintos: legislativo, executivo e judicial, cujos poderes são investidos pela Constituição dos EUA no Congresso, pelo Presidente e pelos tribunais federais, respectivamente. Os poderes e deveres desses ramos são definidos ainda mai"&amp;"s pelos atos do Congresso, incluindo a criação de departamentos executivos e tribunais inferiores à Suprema Corte.")</f>
        <v> O governo federal dos Estados Unidos (governo federal dos EUA) é o governo nacional dos Estados Unidos, uma república na América do Norte, composta por 50 estados, um distrito, Washington, DC (capital do país) e vários territórios. O governo federal é composto por três ramos distintos: legislativo, executivo e judicial, cujos poderes são investidos pela Constituição dos EUA no Congresso, pelo Presidente e pelos tribunais federais, respectivamente. Os poderes e deveres desses ramos são definidos ainda mais pelos atos do Congresso, incluindo a criação de departamentos executivos e tribunais inferiores à Suprema Corte.</v>
      </c>
      <c r="I294" s="3" t="str">
        <f>IFERROR(__xludf.DUMMYFUNCTION("GOOGLETRANSLATE(E294)"),"legislativo")</f>
        <v>legislativo</v>
      </c>
    </row>
    <row r="295" ht="15.75" customHeight="1">
      <c r="A295" s="1">
        <v>293.0</v>
      </c>
      <c r="B295" s="3" t="s">
        <v>1076</v>
      </c>
      <c r="C295" s="3" t="s">
        <v>1077</v>
      </c>
      <c r="D295" s="3" t="s">
        <v>1078</v>
      </c>
      <c r="E295" s="3" t="s">
        <v>1079</v>
      </c>
      <c r="F295" s="3" t="str">
        <f>IFERROR(__xludf.DUMMYFUNCTION("GOOGLETRANSLATE(B295)")," Cowboys - rivalidade com Redskins")</f>
        <v> Cowboys - rivalidade com Redskins</v>
      </c>
      <c r="G295" s="3" t="str">
        <f>IFERROR(__xludf.DUMMYFUNCTION("GOOGLETRANSLATE(C295)"),"Quem está ganhando os Cowboys ou os Redskins")</f>
        <v>Quem está ganhando os Cowboys ou os Redskins</v>
      </c>
      <c r="H295" s="3" t="str">
        <f>IFERROR(__xludf.DUMMYFUNCTION("GOOGLETRANSLATE(D295)"),"     Cowboys vence Redskins ganha lancho para o Cowboys Points Redskins Pontos da temporada regular 70 42 2.594 2.162 pós -temporada 0 0 20 57 Total 70 44 2.614 2,219")</f>
        <v>     Cowboys vence Redskins ganha lancho para o Cowboys Points Redskins Pontos da temporada regular 70 42 2.594 2.162 pós -temporada 0 0 20 57 Total 70 44 2.614 2,219</v>
      </c>
      <c r="I295" s="3" t="str">
        <f>IFERROR(__xludf.DUMMYFUNCTION("GOOGLETRANSLATE(E295)"),"Cowboys")</f>
        <v>Cowboys</v>
      </c>
    </row>
    <row r="296" ht="15.75" customHeight="1">
      <c r="A296" s="1">
        <v>294.0</v>
      </c>
      <c r="B296" s="3" t="s">
        <v>1080</v>
      </c>
      <c r="C296" s="3" t="s">
        <v>1081</v>
      </c>
      <c r="D296" s="3" t="s">
        <v>1082</v>
      </c>
      <c r="E296" s="3" t="s">
        <v>1083</v>
      </c>
      <c r="F296" s="3" t="str">
        <f>IFERROR(__xludf.DUMMYFUNCTION("GOOGLETRANSLATE(B296)")," Chevrolet Hhr")</f>
        <v> Chevrolet Hhr</v>
      </c>
      <c r="G296" s="3" t="str">
        <f>IFERROR(__xludf.DUMMYFUNCTION("GOOGLETRANSLATE(C296)"),"O que o HHR representa em um Chevy")</f>
        <v>O que o HHR representa em um Chevy</v>
      </c>
      <c r="H296" s="3" t="str">
        <f>IFERROR(__xludf.DUMMYFUNCTION("GOOGLETRANSLATE(D296)")," O nome HHR é um inicialismo para o telhado alto do patrimônio.")</f>
        <v> O nome HHR é um inicialismo para o telhado alto do patrimônio.</v>
      </c>
      <c r="I296" s="3" t="str">
        <f>IFERROR(__xludf.DUMMYFUNCTION("GOOGLETRANSLATE(E296)"),"Teto alto do patrimônio")</f>
        <v>Teto alto do patrimônio</v>
      </c>
    </row>
    <row r="297" ht="15.75" customHeight="1">
      <c r="A297" s="1">
        <v>295.0</v>
      </c>
      <c r="B297" s="3" t="s">
        <v>1084</v>
      </c>
      <c r="C297" s="3" t="s">
        <v>1085</v>
      </c>
      <c r="D297" s="3" t="s">
        <v>1086</v>
      </c>
      <c r="E297" s="3" t="s">
        <v>1087</v>
      </c>
      <c r="F297" s="3" t="str">
        <f>IFERROR(__xludf.DUMMYFUNCTION("GOOGLETRANSLATE(B297)")," Beowulf")</f>
        <v> Beowulf</v>
      </c>
      <c r="G297" s="3" t="str">
        <f>IFERROR(__xludf.DUMMYFUNCTION("GOOGLETRANSLATE(C297)"),"Quando foi o manuscrito sobrevivente mais antigo de Beowulf escrito")</f>
        <v>Quando foi o manuscrito sobrevivente mais antigo de Beowulf escrito</v>
      </c>
      <c r="H297" s="3" t="str">
        <f>IFERROR(__xludf.DUMMYFUNCTION("GOOGLETRANSLATE(D297)"),"   Primeira página de Beowulf de Beowulf em Cotton Vitellius A. XV Autor (s) Desconhecido Idioma Desconhecido Sáxão Ocidental Dialeto do inglês antigo Data c. 700 - 1000 AD (data do poema), c. 975 - 1010 dC (data do manuscrito) O manuscrito do estado de e"&amp;"xistência sofreu danos causados ​​pelo incêndio em 1731 Manuscrito (s) algodão Vitellius A. xv edição impressa primeiro edição thorkelin (1815) gênero de poesia heroica heroica heroica versículo forma aliterativa de comprimento c. 3182 Linhas sujeitas as "&amp;"batalhas de Beowulf, o herói geatista, em jovens e personagens de velhice Beowulf, Hygelac, Hrothgar, WealhÞeow, Hrothulf, Æschere, Uncerth, Grendel, Mãe de Grendel, Wiglaf, Hildeburh.")</f>
        <v>   Primeira página de Beowulf de Beowulf em Cotton Vitellius A. XV Autor (s) Desconhecido Idioma Desconhecido Sáxão Ocidental Dialeto do inglês antigo Data c. 700 - 1000 AD (data do poema), c. 975 - 1010 dC (data do manuscrito) O manuscrito do estado de existência sofreu danos causados ​​pelo incêndio em 1731 Manuscrito (s) algodão Vitellius A. xv edição impressa primeiro edição thorkelin (1815) gênero de poesia heroica heroica heroica versículo forma aliterativa de comprimento c. 3182 Linhas sujeitas as batalhas de Beowulf, o herói geatista, em jovens e personagens de velhice Beowulf, Hygelac, Hrothgar, WealhÞeow, Hrothulf, Æschere, Uncerth, Grendel, Mãe de Grendel, Wiglaf, Hildeburh.</v>
      </c>
      <c r="I297" s="3" t="str">
        <f>IFERROR(__xludf.DUMMYFUNCTION("GOOGLETRANSLATE(E297)"),"975 - 1010 AD")</f>
        <v>975 - 1010 AD</v>
      </c>
    </row>
    <row r="298" ht="15.75" customHeight="1">
      <c r="A298" s="1">
        <v>296.0</v>
      </c>
      <c r="B298" s="3" t="s">
        <v>1088</v>
      </c>
      <c r="C298" s="3" t="s">
        <v>1089</v>
      </c>
      <c r="D298" s="3" t="s">
        <v>1090</v>
      </c>
      <c r="E298" s="3" t="s">
        <v>1091</v>
      </c>
      <c r="F298" s="3" t="str">
        <f>IFERROR(__xludf.DUMMYFUNCTION("GOOGLETRANSLATE(B298)")," Deixar você (NF Song)")</f>
        <v> Deixar você (NF Song)</v>
      </c>
      <c r="G298" s="3" t="str">
        <f>IFERROR(__xludf.DUMMYFUNCTION("GOOGLETRANSLATE(C298)"),"quem canta a música, desculpe por te decepcionar")</f>
        <v>quem canta a música, desculpe por te decepcionar</v>
      </c>
      <c r="H298" s="3" t="str">
        <f>IFERROR(__xludf.DUMMYFUNCTION("GOOGLETRANSLATE(D298)")," `` Decepcionar você '' é uma música do artista e compositor da American Christian Hip Hop NF. Ele serve como o terceiro single de seu terceiro álbum de estúdio, Perception, e foi lançado em 14 de setembro de 2017, para download e streaming digital, inclu"&amp;"indo um vídeo de áudio. É seu primeiro single número 1 na parada de músicas cristãs quentes. É sua primeira música a ser certificada em ouro pela RIAA.")</f>
        <v> `` Decepcionar você '' é uma música do artista e compositor da American Christian Hip Hop NF. Ele serve como o terceiro single de seu terceiro álbum de estúdio, Perception, e foi lançado em 14 de setembro de 2017, para download e streaming digital, incluindo um vídeo de áudio. É seu primeiro single número 1 na parada de músicas cristãs quentes. É sua primeira música a ser certificada em ouro pela RIAA.</v>
      </c>
      <c r="I298" s="3" t="str">
        <f>IFERROR(__xludf.DUMMYFUNCTION("GOOGLETRANSLATE(E298)"),"Nf")</f>
        <v>Nf</v>
      </c>
    </row>
    <row r="299" ht="15.75" customHeight="1">
      <c r="A299" s="1">
        <v>297.0</v>
      </c>
      <c r="B299" s="3" t="s">
        <v>1092</v>
      </c>
      <c r="C299" s="3" t="s">
        <v>1093</v>
      </c>
      <c r="D299" s="3" t="s">
        <v>1094</v>
      </c>
      <c r="E299" s="3" t="s">
        <v>1095</v>
      </c>
      <c r="F299" s="3" t="str">
        <f>IFERROR(__xludf.DUMMYFUNCTION("GOOGLETRANSLATE(B299)")," Tower Blocks na Grã -Bretanha")</f>
        <v> Tower Blocks na Grã -Bretanha</v>
      </c>
      <c r="G299" s="3" t="str">
        <f>IFERROR(__xludf.DUMMYFUNCTION("GOOGLETRANSLATE(C299)"),"Quando foi o primeiro bloco de torre construído na Inglaterra")</f>
        <v>Quando foi o primeiro bloco de torre construído na Inglaterra</v>
      </c>
      <c r="H299" s="3" t="str">
        <f>IFERROR(__xludf.DUMMYFUNCTION("GOOGLETRANSLATE(D299)")," Os blocos de torre começaram a ser construídos na Grã -Bretanha após a Segunda Guerra Mundial. O primeiro bloco residencial da torre, `` The Lawn '' foi construído em Harlow, Essex, em 1951; Agora é um edifício listado por Grau II. Em muitos casos, os bl"&amp;"ocos de torre foram vistos como um `` rápido - corrigir '' para curar problemas causados ​​por residências desmoronadas e insalubres do século XIX ou para substituir edifícios destruídos pelo bombardeio aéreo alemão. Argumentou -se que as torres cercadas "&amp;"por espaço público aberto poderiam fornecer a mesma densidade populacional que as moradias e pequenos jardins particulares que substituíram, oferecendo salas maiores e vistas aprimoradas enquanto são mais baratas para serem construídas.")</f>
        <v> Os blocos de torre começaram a ser construídos na Grã -Bretanha após a Segunda Guerra Mundial. O primeiro bloco residencial da torre, `` The Lawn '' foi construído em Harlow, Essex, em 1951; Agora é um edifício listado por Grau II. Em muitos casos, os blocos de torre foram vistos como um `` rápido - corrigir '' para curar problemas causados ​​por residências desmoronadas e insalubres do século XIX ou para substituir edifícios destruídos pelo bombardeio aéreo alemão. Argumentou -se que as torres cercadas por espaço público aberto poderiam fornecer a mesma densidade populacional que as moradias e pequenos jardins particulares que substituíram, oferecendo salas maiores e vistas aprimoradas enquanto são mais baratas para serem construídas.</v>
      </c>
      <c r="I299" s="3" t="str">
        <f>IFERROR(__xludf.DUMMYFUNCTION("GOOGLETRANSLATE(E299)"),"1951")</f>
        <v>1951</v>
      </c>
    </row>
    <row r="300" ht="15.75" customHeight="1">
      <c r="A300" s="1">
        <v>298.0</v>
      </c>
      <c r="B300" s="3" t="s">
        <v>1096</v>
      </c>
      <c r="C300" s="3" t="s">
        <v>1097</v>
      </c>
      <c r="D300" s="3" t="s">
        <v>1098</v>
      </c>
      <c r="E300" s="3" t="s">
        <v>1099</v>
      </c>
      <c r="F300" s="3" t="str">
        <f>IFERROR(__xludf.DUMMYFUNCTION("GOOGLETRANSLATE(B300)")," Lake Isle of Innisfree")</f>
        <v> Lake Isle of Innisfree</v>
      </c>
      <c r="G300" s="3" t="str">
        <f>IFERROR(__xludf.DUMMYFUNCTION("GOOGLETRANSLATE(C300)"),"que escreveu sobre o idílico 'Ilha de Innisfree'")</f>
        <v>que escreveu sobre o idílico 'Ilha de Innisfree'</v>
      </c>
      <c r="H300" s="3" t="str">
        <f>IFERROR(__xludf.DUMMYFUNCTION("GOOGLETRANSLATE(D300)")," `` The Lake Isle of Innisfree '' é um poema de doze - linha composto por três quadras escritas por William Butler Yeats em 1888 e publicada pela primeira vez no National Observer em 1890. Foi reimpresso na condessa Kathleen e em várias lendas e letras em"&amp;" 1892 e como uma ilustração da Cuala Press Broadside em 1932.")</f>
        <v> `` The Lake Isle of Innisfree '' é um poema de doze - linha composto por três quadras escritas por William Butler Yeats em 1888 e publicada pela primeira vez no National Observer em 1890. Foi reimpresso na condessa Kathleen e em várias lendas e letras em 1892 e como uma ilustração da Cuala Press Broadside em 1932.</v>
      </c>
      <c r="I300" s="3" t="str">
        <f>IFERROR(__xludf.DUMMYFUNCTION("GOOGLETRANSLATE(E300)"),"William Butler Yeats")</f>
        <v>William Butler Yeats</v>
      </c>
    </row>
    <row r="301" ht="15.75" customHeight="1">
      <c r="A301" s="1">
        <v>299.0</v>
      </c>
      <c r="B301" s="3" t="s">
        <v>1100</v>
      </c>
      <c r="C301" s="3" t="s">
        <v>1101</v>
      </c>
      <c r="D301" s="3" t="s">
        <v>1102</v>
      </c>
      <c r="F301" s="3" t="str">
        <f>IFERROR(__xludf.DUMMYFUNCTION("GOOGLETRANSLATE(B301)")," Leis de armas no Texas")</f>
        <v> Leis de armas no Texas</v>
      </c>
      <c r="G301" s="3" t="str">
        <f>IFERROR(__xludf.DUMMYFUNCTION("GOOGLETRANSLATE(C301)"),"Quantos anos você tem que ter no Texas para possuir uma arma")</f>
        <v>Quantos anos você tem que ter no Texas para possuir uma arma</v>
      </c>
      <c r="H301" s="3" t="str">
        <f>IFERROR(__xludf.DUMMYFUNCTION("GOOGLETRANSLATE(D301)")," O Texas não tem leis sobre posse de arma de fogo, independentemente da idade, sem condenações por crime; Todas as restrições existentes na lei estadual refletem a lei federal. Uma pessoa de qualquer idade, exceto certos criminosos, pode possuir uma arma "&amp;"de fogo, como em uma faixa de tiro. O Texas e a lei federal apenas regulam a propriedade de todas as armas de fogo aos 18 anos de idade ou mais e regulam a transferência de armas de fogo para 21 anos ou mais pelos revendedores da FFL. No entanto, um cidad"&amp;"ão particular pode vender, presente, arrendamento etc. Uma arma para qualquer pessoa com mais de 18 anos que não é criminoso. As armas da NFA também estão sujeitas apenas a restrições federais; Não existem regulamentos estaduais. As ordenanças municipais "&amp;"e municipais de posse e transporte geralmente são substituídas (antecipadas) devido à redação da Constituição do Texas, que dá ao Legislativo do Texas (e sozinho) o poder de `` regular o uso de armas, com o objetivo de prevenir o crime ''. O Código Penal "&amp;"Seção 1.08 também proíbe as jurisdições locais de promulgar ou aplicar qualquer lei que conflite com o estatuto do estado. As ordenanças locais que restringem a descarga de uma arma de fogo são geralmente permitidas, pois a lei estadual tem pouca ou nenhu"&amp;"ma especificação, mas essas restrições não impedem a lei estadual sobre a justificação do uso da força e da força mortal.")</f>
        <v> O Texas não tem leis sobre posse de arma de fogo, independentemente da idade, sem condenações por crime; Todas as restrições existentes na lei estadual refletem a lei federal. Uma pessoa de qualquer idade, exceto certos criminosos, pode possuir uma arma de fogo, como em uma faixa de tiro. O Texas e a lei federal apenas regulam a propriedade de todas as armas de fogo aos 18 anos de idade ou mais e regulam a transferência de armas de fogo para 21 anos ou mais pelos revendedores da FFL. No entanto, um cidadão particular pode vender, presente, arrendamento etc. Uma arma para qualquer pessoa com mais de 18 anos que não é criminoso. As armas da NFA também estão sujeitas apenas a restrições federais; Não existem regulamentos estaduais. As ordenanças municipais e municipais de posse e transporte geralmente são substituídas (antecipadas) devido à redação da Constituição do Texas, que dá ao Legislativo do Texas (e sozinho) o poder de `` regular o uso de armas, com o objetivo de prevenir o crime ''. O Código Penal Seção 1.08 também proíbe as jurisdições locais de promulgar ou aplicar qualquer lei que conflite com o estatuto do estado. As ordenanças locais que restringem a descarga de uma arma de fogo são geralmente permitidas, pois a lei estadual tem pouca ou nenhuma especificação, mas essas restrições não impedem a lei estadual sobre a justificação do uso da força e da força mortal.</v>
      </c>
      <c r="I301" s="3" t="str">
        <f>IFERROR(__xludf.DUMMYFUNCTION("GOOGLETRANSLATE(E301)"),"#VALUE!")</f>
        <v>#VALUE!</v>
      </c>
    </row>
    <row r="302" ht="15.75" customHeight="1">
      <c r="A302" s="1">
        <v>300.0</v>
      </c>
      <c r="B302" s="3" t="s">
        <v>1103</v>
      </c>
      <c r="C302" s="3" t="s">
        <v>1104</v>
      </c>
      <c r="D302" s="3" t="s">
        <v>1105</v>
      </c>
      <c r="E302" s="3" t="s">
        <v>1106</v>
      </c>
      <c r="F302" s="3" t="str">
        <f>IFERROR(__xludf.DUMMYFUNCTION("GOOGLETRANSLATE(B302)")," Cristanização de Anglo - Saxon England")</f>
        <v> Cristanização de Anglo - Saxon England</v>
      </c>
      <c r="G302" s="3" t="str">
        <f>IFERROR(__xludf.DUMMYFUNCTION("GOOGLETRANSLATE(C302)"),"que foi enviado para a Inglaterra para converter os anglo-saxões pagãos")</f>
        <v>que foi enviado para a Inglaterra para converter os anglo-saxões pagãos</v>
      </c>
      <c r="H302" s="3" t="str">
        <f>IFERROR(__xludf.DUMMYFUNCTION("GOOGLETRANSLATE(D302)")," Em 595, quando o Papa Gregório, decidi enviar uma missão para converter os anglo -saxões ao cristianismo, o reino de Kent foi governado por Æthelberht. Ele se casara com uma princesa cristã chamada Bertha antes de 588 e talvez antes de 560. Bertha era fi"&amp;"lha de Charibert I, um dos reis merovingianos dos Franks. Como uma das condições de seu casamento, ela trouxe um bispo chamado Liudhard com ela para Kent como seu capelão. Eles restauraram uma igreja em Canterbury que datou dos tempos romanos, possivelmen"&amp;"te a igreja atual - Day St Martin. Æthelberht era na época um pagão, mas ele permitia que sua esposa liberdade de culto. Liudhard não parece ter feito muitos convertidos entre os anglo -saxões, e se não for a descoberta de uma moeda de ouro com a inscriçã"&amp;"o leudardus eps (EPS é uma abreviação de episcopus, a palavra latina para bishop) sua existência pode ter sido duvidada . Um dos biógrafos de Bertha afirma que, influenciado por sua esposa, Æthelberht solicitou ao Papa Gregory que enviasse missionários. O"&amp;" historiador Ian Wood sente que a iniciativa veio da corte de Kentish e da rainha.")</f>
        <v> Em 595, quando o Papa Gregório, decidi enviar uma missão para converter os anglo -saxões ao cristianismo, o reino de Kent foi governado por Æthelberht. Ele se casara com uma princesa cristã chamada Bertha antes de 588 e talvez antes de 560. Bertha era filha de Charibert I, um dos reis merovingianos dos Franks. Como uma das condições de seu casamento, ela trouxe um bispo chamado Liudhard com ela para Kent como seu capelão. Eles restauraram uma igreja em Canterbury que datou dos tempos romanos, possivelmente a igreja atual - Day St Martin. Æthelberht era na época um pagão, mas ele permitia que sua esposa liberdade de culto. Liudhard não parece ter feito muitos convertidos entre os anglo -saxões, e se não for a descoberta de uma moeda de ouro com a inscrição leudardus eps (EPS é uma abreviação de episcopus, a palavra latina para bishop) sua existência pode ter sido duvidada . Um dos biógrafos de Bertha afirma que, influenciado por sua esposa, Æthelberht solicitou ao Papa Gregory que enviasse missionários. O historiador Ian Wood sente que a iniciativa veio da corte de Kentish e da rainha.</v>
      </c>
      <c r="I302" s="3" t="str">
        <f>IFERROR(__xludf.DUMMYFUNCTION("GOOGLETRANSLATE(E302)"),"missionários")</f>
        <v>missionários</v>
      </c>
    </row>
    <row r="303" ht="15.75" customHeight="1">
      <c r="A303" s="1">
        <v>301.0</v>
      </c>
      <c r="B303" s="3" t="s">
        <v>1107</v>
      </c>
      <c r="C303" s="3" t="s">
        <v>1108</v>
      </c>
      <c r="D303" s="3" t="s">
        <v>1109</v>
      </c>
      <c r="E303" s="3" t="s">
        <v>1110</v>
      </c>
      <c r="F303" s="3" t="str">
        <f>IFERROR(__xludf.DUMMYFUNCTION("GOOGLETRANSLATE(B303)")," Onomatopéia")</f>
        <v> Onomatopéia</v>
      </c>
      <c r="G303" s="3" t="str">
        <f>IFERROR(__xludf.DUMMYFUNCTION("GOOGLETRANSLATE(C303)"),"qual figura de fala usa palavras que imitam os sons que eles se referem")</f>
        <v>qual figura de fala usa palavras que imitam os sons que eles se referem</v>
      </c>
      <c r="H303" s="3" t="str">
        <f>IFERROR(__xludf.DUMMYFUNCTION("GOOGLETRANSLATE(D303)")," Onomatopoeia ( / ˌɒnəˌmætəˈpiːə, - ˌmː - / (escute); do grego ὀνοματοποιία; ὄνομα para `` name '' e ποιέω para `` eu '' ou '' '`` `` `` `` `` `` `` `` πOMat' '' '' '' '' '' '' '' '' '' '' '' '' '' '' '' '' '' '' '' '' '' '' '' '' '' '' '' '' '' '' '' '' "&amp;"'' '' '' sou é. é o processo de criação de uma palavra que imita foneticamente, se assemelha ou sugere o som que ela descreve. Como essas palavras são substantivos incontáveis, o Onomatopeia refere -se à propriedade de tais palavras. As ocorrências comuns"&amp;" de palavras que nosso processo de onomatopéia inclui ruídos de animais como `` oink '', `` miaow '' (ou `` meow ''), `` roar '' e `` chirp ''. Onomatopéia pode diferir entre os idiomas: está em conformidade em certa medida ao sistema linguístico mais amp"&amp;"lo; Portanto, o som de um relógio pode ser expresso como carrapato em inglês, tictac em espanhol, dī dā em mandarim, katchin katchin em japonês ou `` tik - tik '' em hindi.")</f>
        <v> Onomatopoeia ( / ˌɒnəˌmætəˈpiːə, - ˌmː - / (escute); do grego ὀνοματοποιία; ὄνομα para `` name '' e ποιέω para `` eu '' ou '' '`` `` `` `` `` `` `` `` πOMat' '' '' '' '' '' '' '' '' '' '' '' '' '' '' '' '' '' '' '' '' '' '' '' '' '' '' '' '' '' '' '' '' '' '' '' sou é. é o processo de criação de uma palavra que imita foneticamente, se assemelha ou sugere o som que ela descreve. Como essas palavras são substantivos incontáveis, o Onomatopeia refere -se à propriedade de tais palavras. As ocorrências comuns de palavras que nosso processo de onomatopéia inclui ruídos de animais como `` oink '', `` miaow '' (ou `` meow ''), `` roar '' e `` chirp ''. Onomatopéia pode diferir entre os idiomas: está em conformidade em certa medida ao sistema linguístico mais amplo; Portanto, o som de um relógio pode ser expresso como carrapato em inglês, tictac em espanhol, dī dā em mandarim, katchin katchin em japonês ou `` tik - tik '' em hindi.</v>
      </c>
      <c r="I303" s="3" t="str">
        <f>IFERROR(__xludf.DUMMYFUNCTION("GOOGLETRANSLATE(E303)"),"Onomatopéia")</f>
        <v>Onomatopéia</v>
      </c>
    </row>
    <row r="304" ht="15.75" customHeight="1">
      <c r="A304" s="1">
        <v>302.0</v>
      </c>
      <c r="B304" s="3" t="s">
        <v>1111</v>
      </c>
      <c r="C304" s="3" t="s">
        <v>1112</v>
      </c>
      <c r="D304" s="3" t="s">
        <v>1113</v>
      </c>
      <c r="E304" s="3" t="s">
        <v>1114</v>
      </c>
      <c r="F304" s="3" t="str">
        <f>IFERROR(__xludf.DUMMYFUNCTION("GOOGLETRANSLATE(B304)")," Lista de atores com dois ou mais prêmios da Academia em categorias de atuação")</f>
        <v> Lista de atores com dois ou mais prêmios da Academia em categorias de atuação</v>
      </c>
      <c r="G304" s="3" t="str">
        <f>IFERROR(__xludf.DUMMYFUNCTION("GOOGLETRANSLATE(C304)"),"quem ganhou mais oscars durante sua carreira")</f>
        <v>quem ganhou mais oscars durante sua carreira</v>
      </c>
      <c r="H304" s="3" t="str">
        <f>IFERROR(__xludf.DUMMYFUNCTION("GOOGLETRANSLATE(D304)"),"   Ator / atriz Melhor ator / atriz prêmios Melhor ator coadjuvante / atriz ACTRÊNCIA A concurso total de indicações totais de indicações HEPBURN, Katharine Katharine Hepburn Morning Glory (1933) Adivinhe quem está chegando ao jantar (1967) The Lion in Wi"&amp;"nter (1968) em Golden Pond (1981, 1981 ) 12 DIA - Lewis, Daniel Daniel Day - Lewis My Left Pee (1989) Haverá Blood (2007) Lincoln (2012) 6 Streep, Meryl Meryl Streep Sophie's Choice (1982) The Iron Lady (2011) Kramer vs. Kramer (1979) 21 Nicholson, Jack J"&amp;"ack Nicholson One voou sobre o Cuckoo's Nest (1975) tão bom quanto recebe (1997) Termos de carinho (1983) 12 Bergman, Ingrid Ingrid Bergman Gaslight (1944) Anastasia (1956) assassinato No Orient Express (1974) 7 Brennan, Walter Walter Brennan Venha e Get "&amp;"It (1936) Kentucky (1938) O Westerner (1940) Davis, Bette Bette Davis Dangerous (1935) Jezebel (1938) 10 TRACY, Spencer Spencer Tracy Captainous Captainouous (1937) Boys Town (1938) 9 Brando, Marlon Marlon Brando à beira -mar (1954) O padrinho (1972) 8 Le"&amp;"mmon, Jack Jack Lemmon Save the Tiger (1973) Mister Roberts (1955) 8 Washington, Denzel Denzel Washington Dia (2001) Glory (1989) 8 Blanchett, Cate Cate Blanchett Blue Jasmine (2013) The Aviator (2004) 7 De Niro, Robert Robert De Niro Raging Bull (1980) O"&amp;" padrinho Parte II (1974) 7 Fonda, Jane Jane Jane Fonda Klute (1971) Coming Home (1978) 7 Hoffman, Dustin Dustin Hoffman Kramer vs. Kramer (1979) Rain Man (1988) 7 Caine, Michael Michael Caine Hannah e suas irmãs (1986) The Cider House Rules (1999) 6 Lang"&amp;"e, Jessica Jessica Lange Blue Sky (1994) Tootsie (1982) 6 Smith, Maggie Maggie Smith, a primeira da senhorita Jean Brodie (1969), California Suite (1978) 6 Cooper, Gary Gary Cooper Sergeant York (1941) High Noon (1952) 5 De Havilland , Olivia Olivia de Ha"&amp;"villand, cada uma delas (1946), a herdeira (1949) 5 Hackman, Gene Gene Hackman The French Connection (1971) Unborgiven (1992) 5 Hanks, Tom Tom Hanks Philadelphia (1993) Forrest Gump (1994) 5 de março. , Fredric Fredric March Dr. Jekyll e Sr. Hyde (1931) O"&amp;"s melhores anos de nossas vidas (1946) 5 Penn, Sean Penn Mystic River (2003) Milk (2008) 5 Taylor, Elizabeth Elizabeth Taylor Butterfield 8 (1960) que tem medo da Virginia Woolf? (1966) 5 Foster, Jodie Jodie Foster O acusado (1988) O Silêncio dos Lambs (1"&amp;"991) Jackson, Glenda Glenda Jackson Women in Love (1970) Um toque de classe (1973) Quinn, Anthony Anthony Quinn Viva Zapata! (1952) Winters Lust for Life (1956), Shelley Shelley Winters The Diário de Anne Frank (1959) Um pedaço de Blue (1965) Douglas, Mel"&amp;"vyn Melvyn Douglas Hud (1963) está lá (1979) Field, Sally Sally Field Norma Rae (1979) Places In The Heart (1984) Robards, Jason Jason Robards All the Prescher's Men (1976) Julia (1977) Ustinov, Peter Ustinov Spartacus (1960) Topkapi (1964) Wiest, Dianne "&amp;"Dianne Wiest Hannah e suas irmãs (1986) Bullets sobre Broadway (1994) Hayes, Helen Helen Hayes The Sin of Madelon Claudet (1931) Aeroporto (1970) Leigh, Vivien Leigh foi com o vento (1939) Um bonde chamado Desire (1951) Rainer, Luise Luise Rainer The Grea"&amp;"t Ziegfeld (1936) The Good Earth (1937) Spacey, Kevin Kevin Spacey American Beauty (1999) Os suspeitos de sempre (1995) Swank, Hilary Hilary Swank Boys não chorar Christoph Christoph Waltz Inglourious Basterds (2009) Django Unchained (2012)")</f>
        <v>   Ator / atriz Melhor ator / atriz prêmios Melhor ator coadjuvante / atriz ACTRÊNCIA A concurso total de indicações totais de indicações HEPBURN, Katharine Katharine Hepburn Morning Glory (1933) Adivinhe quem está chegando ao jantar (1967) The Lion in Winter (1968) em Golden Pond (1981, 1981 ) 12 DIA - Lewis, Daniel Daniel Day - Lewis My Left Pee (1989) Haverá Blood (2007) Lincoln (2012) 6 Streep, Meryl Meryl Streep Sophie's Choice (1982) The Iron Lady (2011) Kramer vs. Kramer (1979) 21 Nicholson, Jack Jack Nicholson One voou sobre o Cuckoo's Nest (1975) tão bom quanto recebe (1997) Termos de carinho (1983) 12 Bergman, Ingrid Ingrid Bergman Gaslight (1944) Anastasia (1956) assassinato No Orient Express (1974) 7 Brennan, Walter Walter Brennan Venha e Get It (1936) Kentucky (1938) O Westerner (1940) Davis, Bette Bette Davis Dangerous (1935) Jezebel (1938) 10 TRACY, Spencer Spencer Tracy Captainous Captainouous (1937) Boys Town (1938) 9 Brando, Marlon Marlon Brando à beira -mar (1954) O padrinho (1972) 8 Lemmon, Jack Jack Lemmon Save the Tiger (1973) Mister Roberts (1955) 8 Washington, Denzel Denzel Washington Dia (2001) Glory (1989) 8 Blanchett, Cate Cate Blanchett Blue Jasmine (2013) The Aviator (2004) 7 De Niro, Robert Robert De Niro Raging Bull (1980) O padrinho Parte II (1974) 7 Fonda, Jane Jane Jane Fonda Klute (1971) Coming Home (1978) 7 Hoffman, Dustin Dustin Hoffman Kramer vs. Kramer (1979) Rain Man (1988) 7 Caine, Michael Michael Caine Hannah e suas irmãs (1986) The Cider House Rules (1999) 6 Lange, Jessica Jessica Lange Blue Sky (1994) Tootsie (1982) 6 Smith, Maggie Maggie Smith, a primeira da senhorita Jean Brodie (1969), California Suite (1978) 6 Cooper, Gary Gary Cooper Sergeant York (1941) High Noon (1952) 5 De Havilland , Olivia Olivia de Havilland, cada uma delas (1946), a herdeira (1949) 5 Hackman, Gene Gene Hackman The French Connection (1971) Unborgiven (1992) 5 Hanks, Tom Tom Hanks Philadelphia (1993) Forrest Gump (1994) 5 de março. , Fredric Fredric March Dr. Jekyll e Sr. Hyde (1931) Os melhores anos de nossas vidas (1946) 5 Penn, Sean Penn Mystic River (2003) Milk (2008) 5 Taylor, Elizabeth Elizabeth Taylor Butterfield 8 (1960) que tem medo da Virginia Woolf? (1966) 5 Foster, Jodie Jodie Foster O acusado (1988) O Silêncio dos Lambs (1991) Jackson, Glenda Glenda Jackson Women in Love (1970) Um toque de classe (1973) Quinn, Anthony Anthony Quinn Viva Zapata! (1952) Winters Lust for Life (1956), Shelley Shelley Winters The Diário de Anne Frank (1959) Um pedaço de Blue (1965) Douglas, Melvyn Melvyn Douglas Hud (1963) está lá (1979) Field, Sally Sally Field Norma Rae (1979) Places In The Heart (1984) Robards, Jason Jason Robards All the Prescher's Men (1976) Julia (1977) Ustinov, Peter Ustinov Spartacus (1960) Topkapi (1964) Wiest, Dianne Dianne Wiest Hannah e suas irmãs (1986) Bullets sobre Broadway (1994) Hayes, Helen Helen Hayes The Sin of Madelon Claudet (1931) Aeroporto (1970) Leigh, Vivien Leigh foi com o vento (1939) Um bonde chamado Desire (1951) Rainer, Luise Luise Rainer The Great Ziegfeld (1936) The Good Earth (1937) Spacey, Kevin Kevin Spacey American Beauty (1999) Os suspeitos de sempre (1995) Swank, Hilary Hilary Swank Boys não chorar Christoph Christoph Waltz Inglourious Basterds (2009) Django Unchained (2012)</v>
      </c>
      <c r="I304" s="3" t="str">
        <f>IFERROR(__xludf.DUMMYFUNCTION("GOOGLETRANSLATE(E304)"),"Katharine Hepburn")</f>
        <v>Katharine Hepburn</v>
      </c>
    </row>
    <row r="305" ht="15.75" customHeight="1">
      <c r="A305" s="1">
        <v>303.0</v>
      </c>
      <c r="B305" s="3" t="s">
        <v>1115</v>
      </c>
      <c r="C305" s="3" t="s">
        <v>1116</v>
      </c>
      <c r="D305" s="3" t="s">
        <v>1117</v>
      </c>
      <c r="E305" s="3" t="s">
        <v>1118</v>
      </c>
      <c r="F305" s="3" t="str">
        <f>IFERROR(__xludf.DUMMYFUNCTION("GOOGLETRANSLATE(B305)")," Atenas")</f>
        <v> Atenas</v>
      </c>
      <c r="G305" s="3" t="str">
        <f>IFERROR(__xludf.DUMMYFUNCTION("GOOGLETRANSLATE(C305)"),"Quando Atenas foi a capital da Grécia")</f>
        <v>Quando Atenas foi a capital da Grécia</v>
      </c>
      <c r="H305" s="3" t="str">
        <f>IFERROR(__xludf.DUMMYFUNCTION("GOOGLETRANSLATE(D305)")," Atenas se tornou a capital da Grécia em 1834, após Nafplion, que foi a capital provisória de 1829. O município (cidade) de Atenas também é a capital da região de Attica. O termo Atenas pode se referir ao município de Atenas, à Grande Atenas ou a toda a á"&amp;"rea urbana de Atenas.")</f>
        <v> Atenas se tornou a capital da Grécia em 1834, após Nafplion, que foi a capital provisória de 1829. O município (cidade) de Atenas também é a capital da região de Attica. O termo Atenas pode se referir ao município de Atenas, à Grande Atenas ou a toda a área urbana de Atenas.</v>
      </c>
      <c r="I305" s="3" t="str">
        <f>IFERROR(__xludf.DUMMYFUNCTION("GOOGLETRANSLATE(E305)"),"1834")</f>
        <v>1834</v>
      </c>
    </row>
    <row r="306" ht="15.75" customHeight="1">
      <c r="A306" s="1">
        <v>304.0</v>
      </c>
      <c r="B306" s="3" t="s">
        <v>1119</v>
      </c>
      <c r="C306" s="3" t="s">
        <v>1120</v>
      </c>
      <c r="D306" s="3" t="s">
        <v>1121</v>
      </c>
      <c r="F306" s="3" t="str">
        <f>IFERROR(__xludf.DUMMYFUNCTION("GOOGLETRANSLATE(B306)")," 11 de setembro Ataques")</f>
        <v> 11 de setembro Ataques</v>
      </c>
      <c r="G306" s="3" t="str">
        <f>IFERROR(__xludf.DUMMYFUNCTION("GOOGLETRANSLATE(C306)"),"O que aconteceu com as torres gêmeas em Nova York")</f>
        <v>O que aconteceu com as torres gêmeas em Nova York</v>
      </c>
      <c r="H306" s="3" t="str">
        <f>IFERROR(__xludf.DUMMYFUNCTION("GOOGLETRANSLATE(D306)")," Quatro aviões de passageiros operavam por duas principais transportadoras aéreas de passageiros dos EUA (United Airlines e American Airlines) - que se afastaram de aeroportos da parte nordeste dos Estados Unidos com destino à Califórnia - foram seqüestra"&amp;"dos por 19 terroristas da Al - Qaeda. Dois dos aviões, o voo 11 da American Airlines e o United Airlines Flight 175, foram colhidos nas torres norte e sul, respectivamente, do complexo do World Trade Center em Baixo Manhattan. Dentro de uma hora e 42 minu"&amp;"tos, ambas as torres de 110 anos desabaram. Os detritos e os incêndios resultantes causaram colapso parcial ou completo de todos os outros edifícios do complexo do World Trade Center, incluindo a torre 47 - Story 7 World Trade Center, além de danos signif"&amp;"icativos a dez outras grandes estruturas circundantes. Um terceiro avião, o voo 77 da American Airlines, foi colidido com o Pentágono (a sede do Departamento de Defesa dos Estados Unidos) no Condado de Arlington, Virgínia, que levou a um colapso parcial d"&amp;"o lado oeste do edifício. O quarto avião, o voo 93 da United Airlines, foi lançado inicialmente em direção a Washington, DC, mas colidiu com um campo no município de Stonycreek, perto de Shanksville, Pensilvânia, depois que seus passageiros frustraram os "&amp;"seqüestradores. 9/11 foi o incidente mais mortal para bombeiros e policiais da história dos Estados Unidos, com 343 e 72 mortos, respectivamente.")</f>
        <v> Quatro aviões de passageiros operavam por duas principais transportadoras aéreas de passageiros dos EUA (United Airlines e American Airlines) - que se afastaram de aeroportos da parte nordeste dos Estados Unidos com destino à Califórnia - foram seqüestrados por 19 terroristas da Al - Qaeda. Dois dos aviões, o voo 11 da American Airlines e o United Airlines Flight 175, foram colhidos nas torres norte e sul, respectivamente, do complexo do World Trade Center em Baixo Manhattan. Dentro de uma hora e 42 minutos, ambas as torres de 110 anos desabaram. Os detritos e os incêndios resultantes causaram colapso parcial ou completo de todos os outros edifícios do complexo do World Trade Center, incluindo a torre 47 - Story 7 World Trade Center, além de danos significativos a dez outras grandes estruturas circundantes. Um terceiro avião, o voo 77 da American Airlines, foi colidido com o Pentágono (a sede do Departamento de Defesa dos Estados Unidos) no Condado de Arlington, Virgínia, que levou a um colapso parcial do lado oeste do edifício. O quarto avião, o voo 93 da United Airlines, foi lançado inicialmente em direção a Washington, DC, mas colidiu com um campo no município de Stonycreek, perto de Shanksville, Pensilvânia, depois que seus passageiros frustraram os seqüestradores. 9/11 foi o incidente mais mortal para bombeiros e policiais da história dos Estados Unidos, com 343 e 72 mortos, respectivamente.</v>
      </c>
      <c r="I306" s="3" t="str">
        <f>IFERROR(__xludf.DUMMYFUNCTION("GOOGLETRANSLATE(E306)"),"#VALUE!")</f>
        <v>#VALUE!</v>
      </c>
    </row>
    <row r="307" ht="15.75" customHeight="1">
      <c r="A307" s="1">
        <v>305.0</v>
      </c>
      <c r="B307" s="3" t="s">
        <v>1122</v>
      </c>
      <c r="C307" s="3" t="s">
        <v>1123</v>
      </c>
      <c r="D307" s="3" t="s">
        <v>1124</v>
      </c>
      <c r="E307" s="3" t="s">
        <v>1125</v>
      </c>
      <c r="F307" s="3" t="str">
        <f>IFERROR(__xludf.DUMMYFUNCTION("GOOGLETRANSLATE(B307)")," Noite no museu: segredo da tumba")</f>
        <v> Noite no museu: segredo da tumba</v>
      </c>
      <c r="G307" s="3" t="str">
        <f>IFERROR(__xludf.DUMMYFUNCTION("GOOGLETRANSLATE(C307)"),"que interpretou Lady Guinevere à noite no Museu 3")</f>
        <v>que interpretou Lady Guinevere à noite no Museu 3</v>
      </c>
      <c r="H307" s="3" t="str">
        <f>IFERROR(__xludf.DUMMYFUNCTION("GOOGLETRANSLATE(D307)")," Lancelot trava uma apresentação do musical de Camelot, estrelado por Hugh Jackman e Alice Eve como rei Arthur e rainha Guinevere, mas Larry e os outros o perseguem até o teto, onde as exposições de Nova York começam a morrer. Lancelot então vê que a miss"&amp;"ão era sobre eles e devolve o tablet. O luar restaura a potência do tablet, salvando as exposições. Eles decidem que Ahkmenrah e o tablet devem ficar com seus pais, mesmo que isso signifique que as exposições de Nova York não ganharão mais vida. De volta "&amp;"a Nova York, Larry passa alguns momentos finais com seus amigos antes do nascer do sol.")</f>
        <v> Lancelot trava uma apresentação do musical de Camelot, estrelado por Hugh Jackman e Alice Eve como rei Arthur e rainha Guinevere, mas Larry e os outros o perseguem até o teto, onde as exposições de Nova York começam a morrer. Lancelot então vê que a missão era sobre eles e devolve o tablet. O luar restaura a potência do tablet, salvando as exposições. Eles decidem que Ahkmenrah e o tablet devem ficar com seus pais, mesmo que isso signifique que as exposições de Nova York não ganharão mais vida. De volta a Nova York, Larry passa alguns momentos finais com seus amigos antes do nascer do sol.</v>
      </c>
      <c r="I307" s="3" t="str">
        <f>IFERROR(__xludf.DUMMYFUNCTION("GOOGLETRANSLATE(E307)"),"Alice Eva")</f>
        <v>Alice Eva</v>
      </c>
    </row>
    <row r="308" ht="15.75" customHeight="1">
      <c r="A308" s="1">
        <v>306.0</v>
      </c>
      <c r="B308" s="3" t="s">
        <v>1126</v>
      </c>
      <c r="C308" s="3" t="s">
        <v>1127</v>
      </c>
      <c r="D308" s="3" t="s">
        <v>1128</v>
      </c>
      <c r="E308" s="3" t="s">
        <v>1129</v>
      </c>
      <c r="F308" s="3" t="str">
        <f>IFERROR(__xludf.DUMMYFUNCTION("GOOGLETRANSLATE(B308)")," Quem quer Ser um milionário ? (UK Game Show)")</f>
        <v> Quem quer Ser um milionário ? (UK Game Show)</v>
      </c>
      <c r="G308" s="3" t="str">
        <f>IFERROR(__xludf.DUMMYFUNCTION("GOOGLETRANSLATE(C308)"),"quem quer ser um milionário vencedor do Reino Unido")</f>
        <v>quem quer ser um milionário vencedor do Reino Unido</v>
      </c>
      <c r="H308" s="3" t="str">
        <f>IFERROR(__xludf.DUMMYFUNCTION("GOOGLETRANSLATE(D308)"),"  Judith Cynthia Aline Keppel, uma designer de jardim amarrada em dinheiro na época. Em 20 de novembro de 2000, ela se tornou a primeira concorrente a ganhar o prêmio máximo e, até o momento, a única mulher a recebeu no original britânico. Após seu sucess"&amp;"o, Keppel mais tarde se tornou parte da equipe de especialistas em questionários para o Game Show da BBC, Eggheads. David Edwards, ex -professor de física da Cheadle High School e Denstone College em Staffordshire. Em 21 de abril de 2001, ele se tornou o "&amp;"primeiro homem a ganhar o prêmio máximo. Após seu sucesso, Edwards competiu em ambas as séries de você é um egghead? , em 2008 e 2009, respectivamente, mas não conseguiu vencer as séries e garantir um lugar como painelista em Eggheads. Robert Kempe Brydge"&amp;"s, um banqueiro de Oxford de Holland Park, Londres. Em 29 de setembro de 2001, ele se tornou a terceira pessoa a ganhar o prêmio principal do programa. Pat Gibson, um jogador de teste irlandês de vários campeões mundiais. Em 24 de abril de 2004, ele se to"&amp;"rnou a quarta pessoa a ganhar o prêmio máximo e é a única pessoa na história do programa a alcançar a pergunta final com duas linhas de vida ainda intactas. Ingram Wilcox, um entusiasta do teste britânico. Em 23 de setembro de 2006, ele se tornou a quinta"&amp;" pessoa a ganhar o prêmio máximo e é até o momento, a pessoa mais recente a responder à pergunta final do programa.")</f>
        <v>  Judith Cynthia Aline Keppel, uma designer de jardim amarrada em dinheiro na época. Em 20 de novembro de 2000, ela se tornou a primeira concorrente a ganhar o prêmio máximo e, até o momento, a única mulher a recebeu no original britânico. Após seu sucesso, Keppel mais tarde se tornou parte da equipe de especialistas em questionários para o Game Show da BBC, Eggheads. David Edwards, ex -professor de física da Cheadle High School e Denstone College em Staffordshire. Em 21 de abril de 2001, ele se tornou o primeiro homem a ganhar o prêmio máximo. Após seu sucesso, Edwards competiu em ambas as séries de você é um egghead? , em 2008 e 2009, respectivamente, mas não conseguiu vencer as séries e garantir um lugar como painelista em Eggheads. Robert Kempe Brydges, um banqueiro de Oxford de Holland Park, Londres. Em 29 de setembro de 2001, ele se tornou a terceira pessoa a ganhar o prêmio principal do programa. Pat Gibson, um jogador de teste irlandês de vários campeões mundiais. Em 24 de abril de 2004, ele se tornou a quarta pessoa a ganhar o prêmio máximo e é a única pessoa na história do programa a alcançar a pergunta final com duas linhas de vida ainda intactas. Ingram Wilcox, um entusiasta do teste britânico. Em 23 de setembro de 2006, ele se tornou a quinta pessoa a ganhar o prêmio máximo e é até o momento, a pessoa mais recente a responder à pergunta final do programa.</v>
      </c>
      <c r="I308" s="3" t="str">
        <f>IFERROR(__xludf.DUMMYFUNCTION("GOOGLETRANSLATE(E308)"),"Judith Cynthia Aline Keppel")</f>
        <v>Judith Cynthia Aline Keppel</v>
      </c>
    </row>
    <row r="309" ht="15.75" customHeight="1">
      <c r="A309" s="1">
        <v>307.0</v>
      </c>
      <c r="B309" s="3" t="s">
        <v>1130</v>
      </c>
      <c r="C309" s="3" t="s">
        <v>1131</v>
      </c>
      <c r="D309" s="3" t="s">
        <v>1132</v>
      </c>
      <c r="E309" s="3" t="s">
        <v>1133</v>
      </c>
      <c r="F309" s="3" t="str">
        <f>IFERROR(__xludf.DUMMYFUNCTION("GOOGLETRANSLATE(B309)")," Mesut Ozil")</f>
        <v> Mesut Ozil</v>
      </c>
      <c r="G309" s="3" t="str">
        <f>IFERROR(__xludf.DUMMYFUNCTION("GOOGLETRANSLATE(C309)"),"Quantas assistências Ozil tem em sua carreira")</f>
        <v>Quantas assistências Ozil tem em sua carreira</v>
      </c>
      <c r="H309" s="3" t="str">
        <f>IFERROR(__xludf.DUMMYFUNCTION("GOOGLETRANSLATE(D309)")," Özil toca principalmente como meio -campista atacante, mas também pode ser implantado como ala. Ele iniciou sua carreira sênior como membro de sua cidade natal, Schalke 04, na Bundesliga, partindo duas temporadas depois para se juntar a Werder Bremen por"&amp;" 5 milhões de euros. Ele recebeu o intervalo - a atenção na Copa do Mundo da FIFA de 2010, onde aos 22 anos, Özil foi fundamental na campanha do time, onde chegaram às meias -finais, perdendo para eventuais campeões da Espanha. Ele também foi nomeado para"&amp;" o Golden Ball Award, além de ser classificado em primeiro lugar em assistências nas principais competições européias e domésticas com 25. Isso lhe recebeu uma transferência de € 15 milhões para o clube da Liga Real Madrid.")</f>
        <v> Özil toca principalmente como meio -campista atacante, mas também pode ser implantado como ala. Ele iniciou sua carreira sênior como membro de sua cidade natal, Schalke 04, na Bundesliga, partindo duas temporadas depois para se juntar a Werder Bremen por 5 milhões de euros. Ele recebeu o intervalo - a atenção na Copa do Mundo da FIFA de 2010, onde aos 22 anos, Özil foi fundamental na campanha do time, onde chegaram às meias -finais, perdendo para eventuais campeões da Espanha. Ele também foi nomeado para o Golden Ball Award, além de ser classificado em primeiro lugar em assistências nas principais competições européias e domésticas com 25. Isso lhe recebeu uma transferência de € 15 milhões para o clube da Liga Real Madrid.</v>
      </c>
      <c r="I309" s="3" t="str">
        <f>IFERROR(__xludf.DUMMYFUNCTION("GOOGLETRANSLATE(E309)"),"25")</f>
        <v>25</v>
      </c>
    </row>
    <row r="310" ht="15.75" customHeight="1">
      <c r="A310" s="1">
        <v>308.0</v>
      </c>
      <c r="B310" s="3" t="s">
        <v>1134</v>
      </c>
      <c r="C310" s="3" t="s">
        <v>1135</v>
      </c>
      <c r="D310" s="3" t="s">
        <v>1136</v>
      </c>
      <c r="E310" s="3" t="s">
        <v>1137</v>
      </c>
      <c r="F310" s="3" t="str">
        <f>IFERROR(__xludf.DUMMYFUNCTION("GOOGLETRANSLATE(B310)")," George nós")</f>
        <v> George nós</v>
      </c>
      <c r="G310" s="3" t="str">
        <f>IFERROR(__xludf.DUMMYFUNCTION("GOOGLETRANSLATE(C310)"),"monarca no final da Segunda Guerra Mundial")</f>
        <v>monarca no final da Segunda Guerra Mundial</v>
      </c>
      <c r="H310" s="3" t="str">
        <f>IFERROR(__xludf.DUMMYFUNCTION("GOOGLETRANSLATE(D310)")," George VI (Albert Frederick Arthur George; 14 de dezembro de 1895 - 6 de fevereiro de 1952) foi rei do Reino Unido e os domínios da Commonwealth britânica de 11 de dezembro de 1936 até sua morte em 1952. Ele foi o último imperador da Índia e o primeiro c"&amp;"hefe da Commonwealth.")</f>
        <v> George VI (Albert Frederick Arthur George; 14 de dezembro de 1895 - 6 de fevereiro de 1952) foi rei do Reino Unido e os domínios da Commonwealth britânica de 11 de dezembro de 1936 até sua morte em 1952. Ele foi o último imperador da Índia e o primeiro chefe da Commonwealth.</v>
      </c>
      <c r="I310" s="3" t="str">
        <f>IFERROR(__xludf.DUMMYFUNCTION("GOOGLETRANSLATE(E310)"),"George nós")</f>
        <v>George nós</v>
      </c>
    </row>
    <row r="311" ht="15.75" customHeight="1">
      <c r="A311" s="1">
        <v>309.0</v>
      </c>
      <c r="B311" s="3" t="s">
        <v>1138</v>
      </c>
      <c r="C311" s="3" t="s">
        <v>1139</v>
      </c>
      <c r="D311" s="3" t="s">
        <v>1140</v>
      </c>
      <c r="F311" s="3" t="str">
        <f>IFERROR(__xludf.DUMMYFUNCTION("GOOGLETRANSLATE(B311)")," Mansão Wagoner")</f>
        <v> Mansão Wagoner</v>
      </c>
      <c r="G311" s="3" t="str">
        <f>IFERROR(__xludf.DUMMYFUNCTION("GOOGLETRANSLATE(C311)"),"quem é o dono da mansão Wagoner em Decatur TX")</f>
        <v>quem é o dono da mansão Wagoner em Decatur TX</v>
      </c>
      <c r="H311" s="3" t="str">
        <f>IFERROR(__xludf.DUMMYFUNCTION("GOOGLETRANSLATE(D311)")," A Mansão Wagoner (também conhecida como El Castile) é uma mansão histórica em Decatur, Texas. A mansão de dezesseis quartos foi construída em 1883 pela família Wagoner. Foi comprado em 1942 pelo Sr. e Sra. Phil Luker.")</f>
        <v> A Mansão Wagoner (também conhecida como El Castile) é uma mansão histórica em Decatur, Texas. A mansão de dezesseis quartos foi construída em 1883 pela família Wagoner. Foi comprado em 1942 pelo Sr. e Sra. Phil Luker.</v>
      </c>
      <c r="I311" s="3" t="str">
        <f>IFERROR(__xludf.DUMMYFUNCTION("GOOGLETRANSLATE(E311)"),"#VALUE!")</f>
        <v>#VALUE!</v>
      </c>
    </row>
    <row r="312" ht="15.75" customHeight="1">
      <c r="A312" s="1">
        <v>310.0</v>
      </c>
      <c r="B312" s="3" t="s">
        <v>1141</v>
      </c>
      <c r="C312" s="3" t="s">
        <v>1142</v>
      </c>
      <c r="D312" s="3" t="s">
        <v>1143</v>
      </c>
      <c r="E312" s="3" t="s">
        <v>1144</v>
      </c>
      <c r="F312" s="3" t="str">
        <f>IFERROR(__xludf.DUMMYFUNCTION("GOOGLETRANSLATE(B312)")," Requisitos de visto para cidadãos britânicos")</f>
        <v> Requisitos de visto para cidadãos britânicos</v>
      </c>
      <c r="G312" s="3" t="str">
        <f>IFERROR(__xludf.DUMMYFUNCTION("GOOGLETRANSLATE(C312)"),"Quantos países posso visitar com passaporte britânico")</f>
        <v>Quantos países posso visitar com passaporte britânico</v>
      </c>
      <c r="H312" s="3" t="str">
        <f>IFERROR(__xludf.DUMMYFUNCTION("GOOGLETRANSLATE(D312)")," Os requisitos de visto para cidadãos britânicos são restrições de entrada administrativa pelas autoridades de outros estados colocados aos cidadãos do Reino Unido. Em 22 de maio de 2018, os cidadãos britânicos tinham visto - gratuito ou visto na chegada "&amp;"ao acesso a 186 países e territórios, classificando o 4º British Passport em termos de liberdade de viagem (empatada em passaportes austríacos, holandeses, luxemburgos, noruegueses, portugueses e Estados Unidos ) De acordo com o Henley Passport Index. Alé"&amp;"m disso, a Organização Mundial de Turismo também publicou um relatório em 15 de janeiro de 2016, classificando o Passport British 1st in the World (empatado com a Dinamarca, Finlândia, Alemanha, Itália, Luxemburgo e Cingapura) em termos de liberdade de vi"&amp;"agem, com um índice de mobilidade de 160 ( de 215 sem visto ponderado por 1, visto na chegada ponderado em 0,7, EVISA em 0,5 e visto tradicional ponderado por 0).")</f>
        <v> Os requisitos de visto para cidadãos britânicos são restrições de entrada administrativa pelas autoridades de outros estados colocados aos cidadãos do Reino Unido. Em 22 de maio de 2018, os cidadãos britânicos tinham visto - gratuito ou visto na chegada ao acesso a 186 países e territórios, classificando o 4º British Passport em termos de liberdade de viagem (empatada em passaportes austríacos, holandeses, luxemburgos, noruegueses, portugueses e Estados Unidos ) De acordo com o Henley Passport Index. Além disso, a Organização Mundial de Turismo também publicou um relatório em 15 de janeiro de 2016, classificando o Passport British 1st in the World (empatado com a Dinamarca, Finlândia, Alemanha, Itália, Luxemburgo e Cingapura) em termos de liberdade de viagem, com um índice de mobilidade de 160 ( de 215 sem visto ponderado por 1, visto na chegada ponderado em 0,7, EVISA em 0,5 e visto tradicional ponderado por 0).</v>
      </c>
      <c r="I312" s="3" t="str">
        <f>IFERROR(__xludf.DUMMYFUNCTION("GOOGLETRANSLATE(E312)"),"186 países e territórios")</f>
        <v>186 países e territórios</v>
      </c>
    </row>
    <row r="313" ht="15.75" customHeight="1">
      <c r="A313" s="1">
        <v>311.0</v>
      </c>
      <c r="B313" s="3" t="s">
        <v>1145</v>
      </c>
      <c r="C313" s="3" t="s">
        <v>1146</v>
      </c>
      <c r="D313" s="3" t="s">
        <v>1147</v>
      </c>
      <c r="E313" s="3" t="s">
        <v>1148</v>
      </c>
      <c r="F313" s="3" t="str">
        <f>IFERROR(__xludf.DUMMYFUNCTION("GOOGLETRANSLATE(B313)")," The Big Bang Theory (temporada 11)")</f>
        <v> The Big Bang Theory (temporada 11)</v>
      </c>
      <c r="G313" s="3" t="str">
        <f>IFERROR(__xludf.DUMMYFUNCTION("GOOGLETRANSLATE(C313)"),"Quando a 11ª temporada da teoria do Big Bang será lançada")</f>
        <v>Quando a 11ª temporada da teoria do Big Bang será lançada</v>
      </c>
      <c r="H313" s="3" t="str">
        <f>IFERROR(__xludf.DUMMYFUNCTION("GOOGLETRANSLATE(D313)")," A décima primeira temporada da comédia de televisão americana The Big Bang Theory estreou na CBS na segunda -feira, 25 de setembro de 2017. Ele voltou ao seu horário regular de quinta -feira em 2 de novembro de 2017, depois que o futebol da noite de quin"&amp;"ta -feira na CBS terminou.")</f>
        <v> A décima primeira temporada da comédia de televisão americana The Big Bang Theory estreou na CBS na segunda -feira, 25 de setembro de 2017. Ele voltou ao seu horário regular de quinta -feira em 2 de novembro de 2017, depois que o futebol da noite de quinta -feira na CBS terminou.</v>
      </c>
      <c r="I313" s="3" t="str">
        <f>IFERROR(__xludf.DUMMYFUNCTION("GOOGLETRANSLATE(E313)"),"Segunda -feira, 25 de setembro de 2017")</f>
        <v>Segunda -feira, 25 de setembro de 2017</v>
      </c>
    </row>
    <row r="314" ht="15.75" customHeight="1">
      <c r="A314" s="1">
        <v>312.0</v>
      </c>
      <c r="B314" s="3" t="s">
        <v>1149</v>
      </c>
      <c r="C314" s="3" t="s">
        <v>1150</v>
      </c>
      <c r="D314" s="3" t="s">
        <v>1151</v>
      </c>
      <c r="E314" s="3" t="s">
        <v>1152</v>
      </c>
      <c r="F314" s="3" t="str">
        <f>IFERROR(__xludf.DUMMYFUNCTION("GOOGLETRANSLATE(B314)")," 2017 Oakland Raiders Season")</f>
        <v> 2017 Oakland Raiders Season</v>
      </c>
      <c r="G314" s="3" t="str">
        <f>IFERROR(__xludf.DUMMYFUNCTION("GOOGLETRANSLATE(C314)"),"Quando os Oakland Raiders tocam na Cidade do México")</f>
        <v>Quando os Oakland Raiders tocam na Cidade do México</v>
      </c>
      <c r="H314" s="3" t="str">
        <f>IFERROR(__xludf.DUMMYFUNCTION("GOOGLETRANSLATE(D314)"),"   Data da semana Do início do adversário Oponente Record Game Site de TV NFL.com Recapitulação 10 de setembro 10:00 PDT New York Jets W 45 - 20 2 - 0 OAKLAND - Alameda County Coliseum CBS RECAP 24 DE SETEMBRO 5: 30:00 PDT em Washington Redskins L 10 - 27"&amp;" 2 - 1 Fedexfield NBC Recap -se 1 de outubro 1: 25 PM PDT em Denver Broncos L 10 - 16 2 - 2 Field da Autoridade Esportiva em Mile High CBS RECAP 5 de outubro 8 1: 05 PDT Baltimore Ravens L 17 - 30 2 - 3 Oakland - Alameda County Coliseum CBS RECAP 6 de out"&amp;"ubro 15 1: 25 PM PDT Los Angeles Chargers L 16 - 17 2 - 4 Oakland - Alameda County Coliseum CBS RECAP 7 de outubro 19 5: 25:00 PDT Kansas City Chiefs W 31 - 30 3 - 4 OAKLAND - RECAPA DE VÍDEO DE VÍDEO DE ALAMEDA CONDADO CONDADOR CBS / NFLN / Amazon 8 de o"&amp;"utubro 29 de outubro 10:00 PDT em Buffalo Bills L 14 - 34 3 - 5 Novo campo CBS CBS Recapitulação 9 de novembro 5 das 17h30 PST no Miami Dolphins Hard Rock Stadium NBC 10 Bye 11 de novembro 19 13: 25:00 PST New England Patriots Estadio Azteca (Cidade do Mé"&amp;"xico) CBS 12 de novembro 26 de novembro 1: 25 pm PST Denver Broncos Oakland - Coliseu do Condado de Alameda CBS 13 de dezembro 3 1: 25:00 PST New York Giants Oakland - Alameda County Coliseum Fox 14 de dezembro 10 10: 00 PST no Kansas City Chiefs Arrowhea"&amp;"d Stadium CBS 15 de dezembro 17 17:30 PST Dallas Cowboys Oakland - Alameda County Coliseum NBC 16 de dezembro 25 17:30 PST na Philadelphia Eagles Lincoln Financial Field 17 de dezembro, 31 de dezembro: 25:00 PST no Los Angeles Chargers Stubhub Center CBS")</f>
        <v>   Data da semana Do início do adversário Oponente Record Game Site de TV NFL.com Recapitulação 10 de setembro 10:00 PDT New York Jets W 45 - 20 2 - 0 OAKLAND - Alameda County Coliseum CBS RECAP 24 DE SETEMBRO 5: 30:00 PDT em Washington Redskins L 10 - 27 2 - 1 Fedexfield NBC Recap -se 1 de outubro 1: 25 PM PDT em Denver Broncos L 10 - 16 2 - 2 Field da Autoridade Esportiva em Mile High CBS RECAP 5 de outubro 8 1: 05 PDT Baltimore Ravens L 17 - 30 2 - 3 Oakland - Alameda County Coliseum CBS RECAP 6 de outubro 15 1: 25 PM PDT Los Angeles Chargers L 16 - 17 2 - 4 Oakland - Alameda County Coliseum CBS RECAP 7 de outubro 19 5: 25:00 PDT Kansas City Chiefs W 31 - 30 3 - 4 OAKLAND - RECAPA DE VÍDEO DE VÍDEO DE ALAMEDA CONDADO CONDADOR CBS / NFLN / Amazon 8 de outubro 29 de outubro 10:00 PDT em Buffalo Bills L 14 - 34 3 - 5 Novo campo CBS CBS Recapitulação 9 de novembro 5 das 17h30 PST no Miami Dolphins Hard Rock Stadium NBC 10 Bye 11 de novembro 19 13: 25:00 PST New England Patriots Estadio Azteca (Cidade do México) CBS 12 de novembro 26 de novembro 1: 25 pm PST Denver Broncos Oakland - Coliseu do Condado de Alameda CBS 13 de dezembro 3 1: 25:00 PST New York Giants Oakland - Alameda County Coliseum Fox 14 de dezembro 10 10: 00 PST no Kansas City Chiefs Arrowhead Stadium CBS 15 de dezembro 17 17:30 PST Dallas Cowboys Oakland - Alameda County Coliseum NBC 16 de dezembro 25 17:30 PST na Philadelphia Eagles Lincoln Financial Field 17 de dezembro, 31 de dezembro: 25:00 PST no Los Angeles Chargers Stubhub Center CBS</v>
      </c>
      <c r="I314" s="3" t="str">
        <f>IFERROR(__xludf.DUMMYFUNCTION("GOOGLETRANSLATE(E314)"),"19 de novembro")</f>
        <v>19 de novembro</v>
      </c>
    </row>
    <row r="315" ht="15.75" customHeight="1">
      <c r="A315" s="1">
        <v>313.0</v>
      </c>
      <c r="B315" s="3" t="s">
        <v>1153</v>
      </c>
      <c r="C315" s="3" t="s">
        <v>1154</v>
      </c>
      <c r="D315" s="3" t="s">
        <v>1155</v>
      </c>
      <c r="E315" s="3" t="s">
        <v>1156</v>
      </c>
      <c r="F315" s="3" t="str">
        <f>IFERROR(__xludf.DUMMYFUNCTION("GOOGLETRANSLATE(B315)")," Cleo King")</f>
        <v> Cleo King</v>
      </c>
      <c r="G315" s="3" t="str">
        <f>IFERROR(__xludf.DUMMYFUNCTION("GOOGLETRANSLATE(C315)"),"que interpreta a avó de Carl em Mike e Molly")</f>
        <v>que interpreta a avó de Carl em Mike e Molly</v>
      </c>
      <c r="H315" s="3" t="str">
        <f>IFERROR(__xludf.DUMMYFUNCTION("GOOGLETRANSLATE(D315)")," Cleo King (nascido em Harriet Cleo King; 21 de agosto de 1962) é uma atriz americana de personagens, mais conhecida por seus papéis na televisão.")</f>
        <v> Cleo King (nascido em Harriet Cleo King; 21 de agosto de 1962) é uma atriz americana de personagens, mais conhecida por seus papéis na televisão.</v>
      </c>
      <c r="I315" s="3" t="str">
        <f>IFERROR(__xludf.DUMMYFUNCTION("GOOGLETRANSLATE(E315)"),"Cleo King")</f>
        <v>Cleo King</v>
      </c>
    </row>
    <row r="316" ht="15.75" customHeight="1">
      <c r="A316" s="1">
        <v>314.0</v>
      </c>
      <c r="B316" s="3" t="s">
        <v>1157</v>
      </c>
      <c r="C316" s="3" t="s">
        <v>1158</v>
      </c>
      <c r="D316" s="3" t="s">
        <v>1159</v>
      </c>
      <c r="E316" s="3" t="s">
        <v>1160</v>
      </c>
      <c r="F316" s="3" t="str">
        <f>IFERROR(__xludf.DUMMYFUNCTION("GOOGLETRANSLATE(B316)")," Lista de Episódios de Ataque em Titan")</f>
        <v> Lista de Episódios de Ataque em Titan</v>
      </c>
      <c r="G316" s="3" t="str">
        <f>IFERROR(__xludf.DUMMYFUNCTION("GOOGLETRANSLATE(C316)"),"Quando o ataque contra episódios de Titan sai")</f>
        <v>Quando o ataque contra episódios de Titan sai</v>
      </c>
      <c r="H316" s="3" t="str">
        <f>IFERROR(__xludf.DUMMYFUNCTION("GOOGLETRANSLATE(D316)")," Em 17 de junho de 2017, uma terceira temporada foi anunciada no final do episódio final da segunda temporada, com uma data de lançamento prevista para julho de 2018.")</f>
        <v> Em 17 de junho de 2017, uma terceira temporada foi anunciada no final do episódio final da segunda temporada, com uma data de lançamento prevista para julho de 2018.</v>
      </c>
      <c r="I316" s="3" t="str">
        <f>IFERROR(__xludf.DUMMYFUNCTION("GOOGLETRANSLATE(E316)"),"Julho de 2018")</f>
        <v>Julho de 2018</v>
      </c>
    </row>
    <row r="317" ht="15.75" customHeight="1">
      <c r="A317" s="1">
        <v>315.0</v>
      </c>
      <c r="B317" s="3" t="s">
        <v>1161</v>
      </c>
      <c r="C317" s="3" t="s">
        <v>1162</v>
      </c>
      <c r="D317" s="3" t="s">
        <v>1163</v>
      </c>
      <c r="E317" s="3" t="s">
        <v>1164</v>
      </c>
      <c r="F317" s="3" t="str">
        <f>IFERROR(__xludf.DUMMYFUNCTION("GOOGLETRANSLATE(B317)")," Freaks e geeks")</f>
        <v> Freaks e geeks</v>
      </c>
      <c r="G317" s="3" t="str">
        <f>IFERROR(__xludf.DUMMYFUNCTION("GOOGLETRANSLATE(C317)"),"que interpreta o irmão mais novo em malucos e geeks")</f>
        <v>que interpreta o irmão mais novo em malucos e geeks</v>
      </c>
      <c r="H317" s="3" t="str">
        <f>IFERROR(__xludf.DUMMYFUNCTION("GOOGLETRANSLATE(D317)"),"  Linda Cardellini como Lindsay Weir John Francis Daley como Sam Weir James Franco como Daniel DeSario Samm Levine como Neal Schweiber Seth Rogen como Ken Miller Jason Segel como Nick Andolis Martin Starr como Bill Haverchuck Becky Ann Baker como Jean Wei"&amp;"re Joe Flaherty Kim Kelly")</f>
        <v>  Linda Cardellini como Lindsay Weir John Francis Daley como Sam Weir James Franco como Daniel DeSario Samm Levine como Neal Schweiber Seth Rogen como Ken Miller Jason Segel como Nick Andolis Martin Starr como Bill Haverchuck Becky Ann Baker como Jean Weire Joe Flaherty Kim Kelly</v>
      </c>
      <c r="I317" s="3" t="str">
        <f>IFERROR(__xludf.DUMMYFUNCTION("GOOGLETRANSLATE(E317)"),"John Francis Daley")</f>
        <v>John Francis Daley</v>
      </c>
    </row>
    <row r="318" ht="15.75" customHeight="1">
      <c r="A318" s="1">
        <v>316.0</v>
      </c>
      <c r="B318" s="3" t="s">
        <v>1165</v>
      </c>
      <c r="C318" s="3" t="s">
        <v>1166</v>
      </c>
      <c r="D318" s="3" t="s">
        <v>1167</v>
      </c>
      <c r="E318" s="3" t="s">
        <v>1168</v>
      </c>
      <c r="F318" s="3" t="str">
        <f>IFERROR(__xludf.DUMMYFUNCTION("GOOGLETRANSLATE(B318)")," The Flash (temporada 4)")</f>
        <v> The Flash (temporada 4)</v>
      </c>
      <c r="G318" s="3" t="str">
        <f>IFERROR(__xludf.DUMMYFUNCTION("GOOGLETRANSLATE(C318)"),"Quando é o episódio 3 da 4ª temporada de Flash saindo")</f>
        <v>Quando é o episódio 3 da 4ª temporada de Flash saindo</v>
      </c>
      <c r="H318" s="3" t="str">
        <f>IFERROR(__xludf.DUMMYFUNCTION("GOOGLETRANSLATE(D318)"),"   Não . Nº geral no título da temporada dirigido por escrito pela data do ar original Prod. Código dos espectadores dos EUA (milhões) 70 `` The Flash Reborn '' Glen Winter Story de: Andrew Kreisberg Teleplay Por: Todd Helbing e Eric Wallace 10 de outubro"&amp;" de 2017 (2017 - 10 - 10) T27. 13401 2.84 A IRIS está ajudando a equipe Flash em Central City há seis meses, mas se recusando a sofrer Barry. Um samurai voador com superpotências aparece em Central City, ameaçando destruir a cidade se o flash real não o e"&amp;"nfrentar. A Cisco revela que formulou uma maneira de trazer de volta Barry sem desestabilizar a força de velocidade e rastreia Caitlin em busca de ajuda. Contra a direção de Iris, o Team Flash retorna com sucesso Barry, que parece divagar declarações alea"&amp;"tórias e escrever continuamente símbolos nas paredes. Wally envolve o samurai, mas é derrotado. A Cisco decifra os escritos de Barry e encontra uma frase aparentemente sem sentido. Na tentativa de recuperar as memórias de Barry, Iris se entrega aos samura"&amp;"is. O plano funciona e Barry acelera, resgatando Iris e derrotando o samurai, que é revelado como um robô. Caitlin se junta ao time flash, mas é revelado que está trabalhando para um mafioso chamado Amunet no bar, enquanto continua a impedir que a persona"&amp;"lidade do Frost Frost emergente. O `` samuroid '' é revelado que foi controlado pelo pensador, cujo plano era extrair o flash para seus próximos esquemas. 71 `` Sinais Mistos '' Alexandra La Roche Jonathan Butler e Gabriel Garza 17 de outubro de 2017 (201"&amp;"7 - 10 - 17) T27. 13402 2.54 Quando Barry, Joe e Cisco se reportam a uma cena do crime, eles descobrem restos de um código misterioso. A Cisco apresenta a Barry um processo tecnologicamente avançado, destinado a facilitar suas atividades. Ele testa, tenta"&amp;"ndo salvar alguém de um carro de falta, causado pelo Metahuman Ramsey Deacon. Gypsy chega na Terra - 1 para uma data com a Cisco, que é forçada a cancelá -la para se concentrar no diácono. Agindo em uma sugestão de Caitlin, Iris assina ela e Barry para a "&amp;"terapia de casais para resolver seu relacionamento. Deacon sequestra uma testemunha, que anteriormente era membro de uma equipe de tecnologia que o vendeu fora de sua idéia. Barry e Wally vão salvá -lo, mas Deacon usa suas habilidades para enviar o traje "&amp;"de Barry. Por meio das instruções de Iris, Barry joga raios para si mesmo, curvando -se ao traje. Ele então incapacita Deacon, que está trancado na asa meta de altura de ferro, revelou fazer parte do plano do pensador. A Cisco finalmente sai com Gypsy. Qu"&amp;"er saber como Deacon ganhou seus poderes ausentes durante o incidente do acelerador de partículas, Barry e Joe aprendem com Deacon que existem `` outros ''. 72 `` sorte seja uma senhora '' Armen V. Kevorkian Sam Chalsen &amp; Judalina Neira 24 de outubro de 2"&amp;"017 (2017 - 10 - 24) T27. 13403 2.62 Em flashbacks, o pensador observa Becky Sharpe, uma mulher com azar aparentemente interminável, e determina que ela será facilmente manipulada. No presente, Becky rouba um banco e foge quando Barry escorrega em bolas d"&amp;"e gude. Harry chega da Terra - 2, e diz a Wally que Jesse decidiu terminar para se concentrar em seu vigilantismo. A Cisco deduz que Becky é um metahumano com o poder da sorte favorável e induz a infortúnio aos outros. Barry percebe que o portal que ele u"&amp;"sou para escapar da força de velocidade expôs um ônibus inteiro de pessoas, incluindo Becky e Deacon, à matéria escura transformadora. Harry informa a Cisco que Jesse o expulsou de seu crime - equipe de combate devido à sua atitude. Os poderes de Becky se"&amp;" expandem fora de controle, reativando o acelerador de partículas, que Harry permite deliberadamente, anulando os poderes de Becky e levando ao seu encarceramento. Cisco e Harry identificam doze novos metahumanos criados no ônibus, e este suspeita que um "&amp;"partido desconhecido manipulou eventos em torno do retorno de Barry. Wally decide sair em uma jornada para se encontrar. O pensador é revelado que está espionando S.T.A.R. Laboratórios através do capacete `` samuroid '"". Joe descobre que Cecile está gráv"&amp;"ida. 73 `` Jornada alongada para a noite '' Tom Cavanagh Sterling Gates &amp; Thomas Pound 31 de outubro de 2017 (2017 - 10 - 31) T27. 13404 1.99 O pai de Gypsy, Breather, ataca Cisco, prometendo caçar e matá -lo em 24 horas, permitindo que o romance sobreviv"&amp;"a. O Team Flash descobre que o motorista do ônibus foi assassinado e rastreia outro passageiro, Ralph Dibny, ex -detetive corrupto do CCPD exposto por Barry e atualmente um infame investigador particular. Enquanto dois bandidos atacam Dibny, ele é revelad"&amp;"o que tem o poder de esticar. Caitlin estabiliza seus poderes com um soro. A equipe descobre que Ralph está chantageando o prefeito Bellows por adultério, com este último revelado por ter contratado os bandidos. Barry confronta Ralph por suas ações enquan"&amp;"to este o repreende, alegando ter sido um `` bom policial ''. Mais tarde, ele para de chantagear, que ainda tenta matá -lo enquanto a breather confunde a primeira com um plastóide, as espécies que invadiram a Terra - 19 anteriormente e o ataca. A Cisco in"&amp;"tervém e salva Ralph, a quem Barry, tendo revelado seu alter -ego, convence -se a ajudar a prender um fole em fuga. Admirando a galanteria da Cisco, Breathering permite o relacionamento. Barry recruta Ralph para o Team Flash e descobre que alguém chamado "&amp;"DeVoe instruiu Ralph a assistir a Fellows. Barry lembra que Abra Kadabra e Savitar mencionaram Devoe. Enquanto isso, Caitlin encontra uma mensagem na porta do apartamento dela. 74 5 `` Girls Night Out '' Laura Belsey Lauren Certo e Kristen Kim 7 de novemb"&amp;"ro de 2017 (2017 - 11 - 07) T27. 13405 2.38 Enquanto não conseguiu rastrear Devoe, o Team Flash é visitado por Felicity, que se junta à festa de solteira de Iris. Zombando dos planos da Cisco para a festa de solteiro de Barry, Ralph leva os homens a um cl"&amp;"ube de strip, onde eles aprendem que a filha de Cecile, Joanie, está trabalhando. Joe a confronta, que afirma que está apenas fazendo pesquisas feministas. Ralph incita uma briga, levando à prisão dos homens até Harry fazer a fiança. Enquanto isso, o exec"&amp;"utor de Amunet, Norvock, exige o retorno de Caitlin e ataca as mulheres quando ela se recusa. Killer Frost emerge e repele, mais tarde dizendo a Iris que Caitlin aceitou o emprego de Amunet em troca dos meios para controlar a geada. Aprendendo que Amunet "&amp;"está segurando um metahumano que ela chama de `` o carinheiro '', cujas lágrimas são um narcótico forte, prisioneiro e pretende vendê -lo, o partido de Iris decide detê -la. Embora Caitlin se recusa a participar, ela ataca Amunet ao ver seus amigos em per"&amp;"igo. Usando um ímã forte, a equipe rouba os fragmentos de metal de Amunet, deixando -a impotente. Iris dissuade Frost de matar Amunet, que promete vingança. Ambas as partes se recusam a contar um ao outro sobre suas aventuras. Iris pede que Caitlin seja s"&amp;"ua dama de honra, enquanto Joe convence Joanie a contar a Cecile sobre sua pesquisa. DeVoe captura o caramba. 75 6 `` Quando Harry conheceu Harry ... '' Brent Crowell Jonathan Butler e Gabriel Garza 14 de novembro de 2017 (2017 - 11 - 14) T27. 13406 2.46 "&amp;"Barry treina Ralph para usar suas habilidades, com a Cisco fazendo um traje estendido para ele. Outro ônibus metahuman, um nativo de Lakota Sioux chamado Mina Chayton, que pode animar estátuas, começa a atacar a cidade central e roubar peças de um colar d"&amp;"e bisonte preto, que ela afirma pertencer à sua tribo. Quando Barry e Ralph o alcançam, ela ataca Barry com uma estátua de caverna e tenta uma escapada. Ralph escolhe detê -la, mas uma garotinha está ferida no processo. Ralph lamenta suas ações, mas é con"&amp;"fortado por Barry. Chayton escapa do CCPD, indo atrás da última peça de colar realizada no museu. Quando Barry e Ralph a confrontam, ela dá vida a um esqueleto de dinossauro. Barry prende Chayton enquanto Ralph salva um segurança do esqueleto. Mais tarde,"&amp;" Ralph revela que enviou o colar de volta à tribo de Chayton, antes de visitar a garotinha no hospital, usando suas habilidades para entretê -la. Enquanto isso, Harry, tentando fazer amigos, trabalha com seus doppelgangers de terra alternativa, o Conselho"&amp;" de Wells. Eles descobrem que Devoe é um homem chamado Clifford DeVoe. Barry e Joe vão para a casa de DeVoe, para descobrir que ele é um homem de meia idade em uma cadeira de rodas. 76 7 `` Portanto eu sou '' David McWhirter Eric Wallace e Thomas Pound 21"&amp;" de novembro de 2017 (2017 - 11 - 21) T27. 13407 2.20 Barry e Joe Interrogam DeVoe e sua esposa para tentar obter mais informações. Nos flashbacks, Devoe e sua esposa constroem um limite de pensamento para melhorar sua capacidade cerebral, alimentando -o "&amp;"através da explosão do acelerador de partículas. O aumento do poder cerebral de Devoe acelera sua esclerose lateral amiotrófica, forçando sua esposa a construir uma cadeira especial para mantê -lo vivo. Barry descobre a câmera na cabeça do samuroid e conf"&amp;"ronta Devoe, que revela sua verdadeira identidade, levando a Cisco o apelidando `` The Thinker ''. Wally retorna ao Team Flash de Blue Valley. 77 8 `` Crise na terra - x, parte 3 '' Dermott Downs Story de: Andrew Kreisberg e Marc Guggenheim Teleplay por: "&amp;"Todd Helbing 28 de novembro de 2017 (2017 - 11 - 28) T27. 13408 2.82 Barry, Oliver, Sara, Alex, Martin e Jax acordam em um campo de concentração nazista na Terra - X, com algemas de amortecimento de poder. Os Ss que chegam - Sturmbannführer é revelado com"&amp;"o a Terra - X doppelgänger de Quentin Lance, que os leva para execução, antes de serem salvos pelo Citizen Cold (a terra - x doppelgänger de Leonard Snart) e o raio (Ray Terill). Snart e Terrill os levam para a sede subterrânea dos combatentes da liberdad"&amp;"e, onde a equipe encontra o líder do Movimento da Resistência Winn Schott (Terra de Winn Schott - X Doppelgänger). Eles aprenderam que o único caminho de volta à Terra - 1 é através de um portão temporal em uma instalação nazista, que Schott planeja explo"&amp;"dir para amarrar Arrow escuro (terra de Oliver - x doppelgänger) na terra - 1. Oliver se disfarça de seta escura para se infiltrar na instalação, descobre que o dispositivo do dia do juízo do dia contra o paralelo Terras é um tempo militarizado chamado We"&amp;"llenreiter e salva um prisioneiro (que é a terra de Felicity - x doppelgänger) de Quentin. Barry e Ray combatem o tornado vermelho dos lutadores da liberdade para impedir que ele destrua o portão temporal, enquanto o resto da equipe entra na instalação. A"&amp;"o tentar reativar o portal do gateway, Stein é filmado e gravemente ferido. De volta à Terra - 1, Thawne se prepara para realizar uma cirurgia em Kara para salvar a Overgirl em S.T.A.R. Laboratórios. Felicity e Iris tentam detê -lo, mas são capturados. Es"&amp;"te episódio continua um evento de crossover que começa no episódio 8 da Supergirl Season 3 e no Arrow 6 Episódio 8, e conclui sobre o episódio 8 de Legends of Tomorrow Season 3. 78 9 `` Do N't Run '' Stefan Pleszczynski Sam Chalsen &amp; Judalina Neira 5 de d"&amp;"ezembro de 2017 (2017 - 12 - 05) T27. 13409 2.22 Enquanto faz compras no Natal, Barry é emboscado e sequestrado por DeVoe enquanto Caitlin é sequestrado de Jitters por Amunet. A Iris afirma que eles precisam procurar os dois, apesar da afirmação de Wells "&amp;"de que eles têm tempo e recursos insuficientes e que só podem se dar ao luxo de procurar um. Barry é mantido no covil de Devoe. Caitlin é forçado por Amunet a realizar uma cirurgia em um metahumano chamado Dominic Lanse, que pode ler mentes. Eles tentam e"&amp;"scapar, mas Amunet bloqueia sua saída. Caitlin consegue incapacitar brevemente Amunet, e ela e Dominic fogem do prédio em que estão sendo mantidos. Uma vez do lado de fora, eles são resgatados pela Cisco e Ralph, como Iris optou por se concentrar em encon"&amp;"trar Caitlin. Barry consegue escapar de Devoe. O Team Flash celebra o Natal na West House e Dominic se junta a eles. Barry recebe um alerta de segurança de seu apartamento. Quando ele chega, ele recebe um telefonema de Dominic, que revela que Amunet re-Ki"&amp;"dnapped Dominic e Devoe transferiram sua consciência para o corpo de Dominic. Barry descobre o corpo original de Devoe morto no chão do apartamento e ele percebe que Devoe o enquadrou por seu `` assassinato ''; A polícia chega e Barry se deixa preso, não "&amp;"querendo deixar Iris novamente. 79 10 `` The Trial of the Flash '' Philip Chipera Lauren Certo &amp; Kristen Kim 16 de janeiro de 2018 (2018 - 01 - 16) TBA TBD TBD")</f>
        <v>   Não . Nº geral no título da temporada dirigido por escrito pela data do ar original Prod. Código dos espectadores dos EUA (milhões) 70 `` The Flash Reborn '' Glen Winter Story de: Andrew Kreisberg Teleplay Por: Todd Helbing e Eric Wallace 10 de outubro de 2017 (2017 - 10 - 10) T27. 13401 2.84 A IRIS está ajudando a equipe Flash em Central City há seis meses, mas se recusando a sofrer Barry. Um samurai voador com superpotências aparece em Central City, ameaçando destruir a cidade se o flash real não o enfrentar. A Cisco revela que formulou uma maneira de trazer de volta Barry sem desestabilizar a força de velocidade e rastreia Caitlin em busca de ajuda. Contra a direção de Iris, o Team Flash retorna com sucesso Barry, que parece divagar declarações aleatórias e escrever continuamente símbolos nas paredes. Wally envolve o samurai, mas é derrotado. A Cisco decifra os escritos de Barry e encontra uma frase aparentemente sem sentido. Na tentativa de recuperar as memórias de Barry, Iris se entrega aos samurais. O plano funciona e Barry acelera, resgatando Iris e derrotando o samurai, que é revelado como um robô. Caitlin se junta ao time flash, mas é revelado que está trabalhando para um mafioso chamado Amunet no bar, enquanto continua a impedir que a personalidade do Frost Frost emergente. O `` samuroid '' é revelado que foi controlado pelo pensador, cujo plano era extrair o flash para seus próximos esquemas. 71 `` Sinais Mistos '' Alexandra La Roche Jonathan Butler e Gabriel Garza 17 de outubro de 2017 (2017 - 10 - 17) T27. 13402 2.54 Quando Barry, Joe e Cisco se reportam a uma cena do crime, eles descobrem restos de um código misterioso. A Cisco apresenta a Barry um processo tecnologicamente avançado, destinado a facilitar suas atividades. Ele testa, tentando salvar alguém de um carro de falta, causado pelo Metahuman Ramsey Deacon. Gypsy chega na Terra - 1 para uma data com a Cisco, que é forçada a cancelá -la para se concentrar no diácono. Agindo em uma sugestão de Caitlin, Iris assina ela e Barry para a terapia de casais para resolver seu relacionamento. Deacon sequestra uma testemunha, que anteriormente era membro de uma equipe de tecnologia que o vendeu fora de sua idéia. Barry e Wally vão salvá -lo, mas Deacon usa suas habilidades para enviar o traje de Barry. Por meio das instruções de Iris, Barry joga raios para si mesmo, curvando -se ao traje. Ele então incapacita Deacon, que está trancado na asa meta de altura de ferro, revelou fazer parte do plano do pensador. A Cisco finalmente sai com Gypsy. Quer saber como Deacon ganhou seus poderes ausentes durante o incidente do acelerador de partículas, Barry e Joe aprendem com Deacon que existem `` outros ''. 72 `` sorte seja uma senhora '' Armen V. Kevorkian Sam Chalsen &amp; Judalina Neira 24 de outubro de 2017 (2017 - 10 - 24) T27. 13403 2.62 Em flashbacks, o pensador observa Becky Sharpe, uma mulher com azar aparentemente interminável, e determina que ela será facilmente manipulada. No presente, Becky rouba um banco e foge quando Barry escorrega em bolas de gude. Harry chega da Terra - 2, e diz a Wally que Jesse decidiu terminar para se concentrar em seu vigilantismo. A Cisco deduz que Becky é um metahumano com o poder da sorte favorável e induz a infortúnio aos outros. Barry percebe que o portal que ele usou para escapar da força de velocidade expôs um ônibus inteiro de pessoas, incluindo Becky e Deacon, à matéria escura transformadora. Harry informa a Cisco que Jesse o expulsou de seu crime - equipe de combate devido à sua atitude. Os poderes de Becky se expandem fora de controle, reativando o acelerador de partículas, que Harry permite deliberadamente, anulando os poderes de Becky e levando ao seu encarceramento. Cisco e Harry identificam doze novos metahumanos criados no ônibus, e este suspeita que um partido desconhecido manipulou eventos em torno do retorno de Barry. Wally decide sair em uma jornada para se encontrar. O pensador é revelado que está espionando S.T.A.R. Laboratórios através do capacete `` samuroid '". Joe descobre que Cecile está grávida. 73 `` Jornada alongada para a noite '' Tom Cavanagh Sterling Gates &amp; Thomas Pound 31 de outubro de 2017 (2017 - 10 - 31) T27. 13404 1.99 O pai de Gypsy, Breather, ataca Cisco, prometendo caçar e matá -lo em 24 horas, permitindo que o romance sobreviva. O Team Flash descobre que o motorista do ônibus foi assassinado e rastreia outro passageiro, Ralph Dibny, ex -detetive corrupto do CCPD exposto por Barry e atualmente um infame investigador particular. Enquanto dois bandidos atacam Dibny, ele é revelado que tem o poder de esticar. Caitlin estabiliza seus poderes com um soro. A equipe descobre que Ralph está chantageando o prefeito Bellows por adultério, com este último revelado por ter contratado os bandidos. Barry confronta Ralph por suas ações enquanto este o repreende, alegando ter sido um `` bom policial ''. Mais tarde, ele para de chantagear, que ainda tenta matá -lo enquanto a breather confunde a primeira com um plastóide, as espécies que invadiram a Terra - 19 anteriormente e o ataca. A Cisco intervém e salva Ralph, a quem Barry, tendo revelado seu alter -ego, convence -se a ajudar a prender um fole em fuga. Admirando a galanteria da Cisco, Breathering permite o relacionamento. Barry recruta Ralph para o Team Flash e descobre que alguém chamado DeVoe instruiu Ralph a assistir a Fellows. Barry lembra que Abra Kadabra e Savitar mencionaram Devoe. Enquanto isso, Caitlin encontra uma mensagem na porta do apartamento dela. 74 5 `` Girls Night Out '' Laura Belsey Lauren Certo e Kristen Kim 7 de novembro de 2017 (2017 - 11 - 07) T27. 13405 2.38 Enquanto não conseguiu rastrear Devoe, o Team Flash é visitado por Felicity, que se junta à festa de solteira de Iris. Zombando dos planos da Cisco para a festa de solteiro de Barry, Ralph leva os homens a um clube de strip, onde eles aprendem que a filha de Cecile, Joanie, está trabalhando. Joe a confronta, que afirma que está apenas fazendo pesquisas feministas. Ralph incita uma briga, levando à prisão dos homens até Harry fazer a fiança. Enquanto isso, o executor de Amunet, Norvock, exige o retorno de Caitlin e ataca as mulheres quando ela se recusa. Killer Frost emerge e repele, mais tarde dizendo a Iris que Caitlin aceitou o emprego de Amunet em troca dos meios para controlar a geada. Aprendendo que Amunet está segurando um metahumano que ela chama de `` o carinheiro '', cujas lágrimas são um narcótico forte, prisioneiro e pretende vendê -lo, o partido de Iris decide detê -la. Embora Caitlin se recusa a participar, ela ataca Amunet ao ver seus amigos em perigo. Usando um ímã forte, a equipe rouba os fragmentos de metal de Amunet, deixando -a impotente. Iris dissuade Frost de matar Amunet, que promete vingança. Ambas as partes se recusam a contar um ao outro sobre suas aventuras. Iris pede que Caitlin seja sua dama de honra, enquanto Joe convence Joanie a contar a Cecile sobre sua pesquisa. DeVoe captura o caramba. 75 6 `` Quando Harry conheceu Harry ... '' Brent Crowell Jonathan Butler e Gabriel Garza 14 de novembro de 2017 (2017 - 11 - 14) T27. 13406 2.46 Barry treina Ralph para usar suas habilidades, com a Cisco fazendo um traje estendido para ele. Outro ônibus metahuman, um nativo de Lakota Sioux chamado Mina Chayton, que pode animar estátuas, começa a atacar a cidade central e roubar peças de um colar de bisonte preto, que ela afirma pertencer à sua tribo. Quando Barry e Ralph o alcançam, ela ataca Barry com uma estátua de caverna e tenta uma escapada. Ralph escolhe detê -la, mas uma garotinha está ferida no processo. Ralph lamenta suas ações, mas é confortado por Barry. Chayton escapa do CCPD, indo atrás da última peça de colar realizada no museu. Quando Barry e Ralph a confrontam, ela dá vida a um esqueleto de dinossauro. Barry prende Chayton enquanto Ralph salva um segurança do esqueleto. Mais tarde, Ralph revela que enviou o colar de volta à tribo de Chayton, antes de visitar a garotinha no hospital, usando suas habilidades para entretê -la. Enquanto isso, Harry, tentando fazer amigos, trabalha com seus doppelgangers de terra alternativa, o Conselho de Wells. Eles descobrem que Devoe é um homem chamado Clifford DeVoe. Barry e Joe vão para a casa de DeVoe, para descobrir que ele é um homem de meia idade em uma cadeira de rodas. 76 7 `` Portanto eu sou '' David McWhirter Eric Wallace e Thomas Pound 21 de novembro de 2017 (2017 - 11 - 21) T27. 13407 2.20 Barry e Joe Interrogam DeVoe e sua esposa para tentar obter mais informações. Nos flashbacks, Devoe e sua esposa constroem um limite de pensamento para melhorar sua capacidade cerebral, alimentando -o através da explosão do acelerador de partículas. O aumento do poder cerebral de Devoe acelera sua esclerose lateral amiotrófica, forçando sua esposa a construir uma cadeira especial para mantê -lo vivo. Barry descobre a câmera na cabeça do samuroid e confronta Devoe, que revela sua verdadeira identidade, levando a Cisco o apelidando `` The Thinker ''. Wally retorna ao Team Flash de Blue Valley. 77 8 `` Crise na terra - x, parte 3 '' Dermott Downs Story de: Andrew Kreisberg e Marc Guggenheim Teleplay por: Todd Helbing 28 de novembro de 2017 (2017 - 11 - 28) T27. 13408 2.82 Barry, Oliver, Sara, Alex, Martin e Jax acordam em um campo de concentração nazista na Terra - X, com algemas de amortecimento de poder. Os Ss que chegam - Sturmbannführer é revelado como a Terra - X doppelgänger de Quentin Lance, que os leva para execução, antes de serem salvos pelo Citizen Cold (a terra - x doppelgänger de Leonard Snart) e o raio (Ray Terill). Snart e Terrill os levam para a sede subterrânea dos combatentes da liberdade, onde a equipe encontra o líder do Movimento da Resistência Winn Schott (Terra de Winn Schott - X Doppelgänger). Eles aprenderam que o único caminho de volta à Terra - 1 é através de um portão temporal em uma instalação nazista, que Schott planeja explodir para amarrar Arrow escuro (terra de Oliver - x doppelgänger) na terra - 1. Oliver se disfarça de seta escura para se infiltrar na instalação, descobre que o dispositivo do dia do juízo do dia contra o paralelo Terras é um tempo militarizado chamado Wellenreiter e salva um prisioneiro (que é a terra de Felicity - x doppelgänger) de Quentin. Barry e Ray combatem o tornado vermelho dos lutadores da liberdade para impedir que ele destrua o portão temporal, enquanto o resto da equipe entra na instalação. Ao tentar reativar o portal do gateway, Stein é filmado e gravemente ferido. De volta à Terra - 1, Thawne se prepara para realizar uma cirurgia em Kara para salvar a Overgirl em S.T.A.R. Laboratórios. Felicity e Iris tentam detê -lo, mas são capturados. Este episódio continua um evento de crossover que começa no episódio 8 da Supergirl Season 3 e no Arrow 6 Episódio 8, e conclui sobre o episódio 8 de Legends of Tomorrow Season 3. 78 9 `` Do N't Run '' Stefan Pleszczynski Sam Chalsen &amp; Judalina Neira 5 de dezembro de 2017 (2017 - 12 - 05) T27. 13409 2.22 Enquanto faz compras no Natal, Barry é emboscado e sequestrado por DeVoe enquanto Caitlin é sequestrado de Jitters por Amunet. A Iris afirma que eles precisam procurar os dois, apesar da afirmação de Wells de que eles têm tempo e recursos insuficientes e que só podem se dar ao luxo de procurar um. Barry é mantido no covil de Devoe. Caitlin é forçado por Amunet a realizar uma cirurgia em um metahumano chamado Dominic Lanse, que pode ler mentes. Eles tentam escapar, mas Amunet bloqueia sua saída. Caitlin consegue incapacitar brevemente Amunet, e ela e Dominic fogem do prédio em que estão sendo mantidos. Uma vez do lado de fora, eles são resgatados pela Cisco e Ralph, como Iris optou por se concentrar em encontrar Caitlin. Barry consegue escapar de Devoe. O Team Flash celebra o Natal na West House e Dominic se junta a eles. Barry recebe um alerta de segurança de seu apartamento. Quando ele chega, ele recebe um telefonema de Dominic, que revela que Amunet re-Kidnapped Dominic e Devoe transferiram sua consciência para o corpo de Dominic. Barry descobre o corpo original de Devoe morto no chão do apartamento e ele percebe que Devoe o enquadrou por seu `` assassinato ''; A polícia chega e Barry se deixa preso, não querendo deixar Iris novamente. 79 10 `` The Trial of the Flash '' Philip Chipera Lauren Certo &amp; Kristen Kim 16 de janeiro de 2018 (2018 - 01 - 16) TBA TBD TBD</v>
      </c>
      <c r="I318" s="3" t="str">
        <f>IFERROR(__xludf.DUMMYFUNCTION("GOOGLETRANSLATE(E318)"),"24 de outubro de 2017")</f>
        <v>24 de outubro de 2017</v>
      </c>
    </row>
    <row r="319" ht="15.75" customHeight="1">
      <c r="A319" s="1">
        <v>317.0</v>
      </c>
      <c r="B319" s="3" t="s">
        <v>1169</v>
      </c>
      <c r="C319" s="3" t="s">
        <v>1170</v>
      </c>
      <c r="D319" s="3" t="s">
        <v>1171</v>
      </c>
      <c r="E319" s="3" t="s">
        <v>1172</v>
      </c>
      <c r="F319" s="3" t="str">
        <f>IFERROR(__xludf.DUMMYFUNCTION("GOOGLETRANSLATE(B319)")," Danny Masterson")</f>
        <v> Danny Masterson</v>
      </c>
      <c r="G319" s="3" t="str">
        <f>IFERROR(__xludf.DUMMYFUNCTION("GOOGLETRANSLATE(C319)"),"que tocou Hyde no show dos anos 70")</f>
        <v>que tocou Hyde no show dos anos 70</v>
      </c>
      <c r="H319" s="3" t="str">
        <f>IFERROR(__xludf.DUMMYFUNCTION("GOOGLETRANSLATE(D319)")," Daniel Peter Masterson (nascido em 13 de março de 1976) é um ator e disc jockey americano. Masterson é conhecido por seus papéis como Steven Hyde naquele show dos anos 70 (1998 - 2006) e como Jameson `` Rooster '' Bennett no rancho (2016 - 2018).")</f>
        <v> Daniel Peter Masterson (nascido em 13 de março de 1976) é um ator e disc jockey americano. Masterson é conhecido por seus papéis como Steven Hyde naquele show dos anos 70 (1998 - 2006) e como Jameson `` Rooster '' Bennett no rancho (2016 - 2018).</v>
      </c>
      <c r="I319" s="3" t="str">
        <f>IFERROR(__xludf.DUMMYFUNCTION("GOOGLETRANSLATE(E319)"),"Daniel Peter Masterson")</f>
        <v>Daniel Peter Masterson</v>
      </c>
    </row>
    <row r="320" ht="15.75" customHeight="1">
      <c r="A320" s="1">
        <v>318.0</v>
      </c>
      <c r="B320" s="3" t="s">
        <v>1173</v>
      </c>
      <c r="C320" s="3" t="s">
        <v>1174</v>
      </c>
      <c r="D320" s="3" t="s">
        <v>1175</v>
      </c>
      <c r="E320" s="3" t="s">
        <v>1176</v>
      </c>
      <c r="F320" s="3" t="str">
        <f>IFERROR(__xludf.DUMMYFUNCTION("GOOGLETRANSLATE(B320)")," Compostos saturados e insaturados")</f>
        <v> Compostos saturados e insaturados</v>
      </c>
      <c r="G320" s="3" t="str">
        <f>IFERROR(__xludf.DUMMYFUNCTION("GOOGLETRANSLATE(C320)"),"Quando dizemos que uma solução é insaturada")</f>
        <v>Quando dizemos que uma solução é insaturada</v>
      </c>
      <c r="H320" s="3" t="str">
        <f>IFERROR(__xludf.DUMMYFUNCTION("GOOGLETRANSLATE(D320)")," Na química orgânica, um composto saturado é um composto químico que possui uma cadeia de átomos de carbono ligados por ligações únicas. Alcanes são hidrocarbonetos saturados. Um composto insaturado é um composto químico que contém ligações duplas de carb"&amp;"ono ou ligações triplas, como as encontradas em alcenos ou alcinos, respectivamente. Os compostos saturados e insaturados não precisam consistir apenas em uma cadeia de átomos de carbono. Eles podem formar cadeia reta, corrente ramificada ou arranjos de a"&amp;"nel. Eles também podem ter grupos funcionais. É nesse sentido que os ácidos graxos são classificados como saturados ou insaturados. A quantidade de insaturação de um ácido graxo pode ser determinada encontrando seu número de iodo.")</f>
        <v> Na química orgânica, um composto saturado é um composto químico que possui uma cadeia de átomos de carbono ligados por ligações únicas. Alcanes são hidrocarbonetos saturados. Um composto insaturado é um composto químico que contém ligações duplas de carbono ou ligações triplas, como as encontradas em alcenos ou alcinos, respectivamente. Os compostos saturados e insaturados não precisam consistir apenas em uma cadeia de átomos de carbono. Eles podem formar cadeia reta, corrente ramificada ou arranjos de anel. Eles também podem ter grupos funcionais. É nesse sentido que os ácidos graxos são classificados como saturados ou insaturados. A quantidade de insaturação de um ácido graxo pode ser determinada encontrando seu número de iodo.</v>
      </c>
      <c r="I320" s="3" t="str">
        <f>IFERROR(__xludf.DUMMYFUNCTION("GOOGLETRANSLATE(E320)"),"Um composto químico que contém ligações duplas de carbono ou ligações triplas, como as encontradas em alcenos ou alcinos, respectivamente")</f>
        <v>Um composto químico que contém ligações duplas de carbono ou ligações triplas, como as encontradas em alcenos ou alcinos, respectivamente</v>
      </c>
    </row>
    <row r="321" ht="15.75" customHeight="1">
      <c r="A321" s="1">
        <v>319.0</v>
      </c>
      <c r="B321" s="3" t="s">
        <v>1100</v>
      </c>
      <c r="C321" s="3" t="s">
        <v>1177</v>
      </c>
      <c r="D321" s="3" t="s">
        <v>1178</v>
      </c>
      <c r="F321" s="3" t="str">
        <f>IFERROR(__xludf.DUMMYFUNCTION("GOOGLETRANSLATE(B321)")," Leis de armas no Texas")</f>
        <v> Leis de armas no Texas</v>
      </c>
      <c r="G321" s="3" t="str">
        <f>IFERROR(__xludf.DUMMYFUNCTION("GOOGLETRANSLATE(C321)"),"você precisa de uma licença para carry aberto no Texas")</f>
        <v>você precisa de uma licença para carry aberto no Texas</v>
      </c>
      <c r="H321" s="3" t="str">
        <f>IFERROR(__xludf.DUMMYFUNCTION("GOOGLETRANSLATE(D321)"),"  Carry Open? Sim Sim PC 46.02 Armas longas e armas de pó preto (incluindo pistola) O transporte aberto não é proibido por lei, a menos que de uma maneira `` calculada para causar alarme. '' A partir de 1º de janeiro de 2016, os indivíduos com uma licença"&amp;" de transporte de arma terão permissão para levar abertamente, de acordo com o projeto de lei 910 da sessão legislativa de 2015. Os não-residentes de estados cujas licenças são reconhecidas pelo Texas também poderão abrir o transporte de acordo com a nova"&amp;" lei.")</f>
        <v>  Carry Open? Sim Sim PC 46.02 Armas longas e armas de pó preto (incluindo pistola) O transporte aberto não é proibido por lei, a menos que de uma maneira `` calculada para causar alarme. '' A partir de 1º de janeiro de 2016, os indivíduos com uma licença de transporte de arma terão permissão para levar abertamente, de acordo com o projeto de lei 910 da sessão legislativa de 2015. Os não-residentes de estados cujas licenças são reconhecidas pelo Texas também poderão abrir o transporte de acordo com a nova lei.</v>
      </c>
      <c r="I321" s="3" t="str">
        <f>IFERROR(__xludf.DUMMYFUNCTION("GOOGLETRANSLATE(E321)"),"#VALUE!")</f>
        <v>#VALUE!</v>
      </c>
    </row>
    <row r="322" ht="15.75" customHeight="1">
      <c r="A322" s="1">
        <v>320.0</v>
      </c>
      <c r="B322" s="3" t="s">
        <v>1179</v>
      </c>
      <c r="C322" s="3" t="s">
        <v>1180</v>
      </c>
      <c r="D322" s="3" t="s">
        <v>1181</v>
      </c>
      <c r="E322" s="3" t="s">
        <v>1182</v>
      </c>
      <c r="F322" s="3" t="str">
        <f>IFERROR(__xludf.DUMMYFUNCTION("GOOGLETRANSLATE(B322)")," Nossa cidade")</f>
        <v> Nossa cidade</v>
      </c>
      <c r="G322" s="3" t="str">
        <f>IFERROR(__xludf.DUMMYFUNCTION("GOOGLETRANSLATE(C322)"),"Que gênero é a nossa cidade por Thornton Wilder")</f>
        <v>Que gênero é a nossa cidade por Thornton Wilder</v>
      </c>
      <c r="H322" s="3" t="str">
        <f>IFERROR(__xludf.DUMMYFUNCTION("GOOGLETRANSLATE(D322)"),"   Nossa cidade de 1938, de 1938, capa da Biblioteca do Congresso Raro Book e Divisão de Coleções Especiais, escrita pelo gerente de palcos de Thornton Wilder Stage, Sra. Myrtle Webb Sr. Charles Webb Emily Webb Joe Crowell Jr. Sra. Julia Gibbs Dra. Frank "&amp;"F. Gibbs Simon Stimson Sra. Soames George Gibbs Howie Newsome Rebecca Gibbs Wally Webb Professora Willard Woman no homem da varanda no auditório Lady na caixa Sra. Louella Soames Warren Si Crowell Três jogadores de beisebol Sam Craig Joe Stoddard Date est"&amp;"reou em 22 de janeiro de 1938, estreou o McCarter Theatre Princeton, o idioma original de Nova Jersey, a vida e a morte em inglês e a morte em um drama de gênero de cidade pequena americana, 1901 a 1913. Grover's Corners, New Hampshire, perto de Massachus"&amp;"etts.")</f>
        <v>   Nossa cidade de 1938, de 1938, capa da Biblioteca do Congresso Raro Book e Divisão de Coleções Especiais, escrita pelo gerente de palcos de Thornton Wilder Stage, Sra. Myrtle Webb Sr. Charles Webb Emily Webb Joe Crowell Jr. Sra. Julia Gibbs Dra. Frank F. Gibbs Simon Stimson Sra. Soames George Gibbs Howie Newsome Rebecca Gibbs Wally Webb Professora Willard Woman no homem da varanda no auditório Lady na caixa Sra. Louella Soames Warren Si Crowell Três jogadores de beisebol Sam Craig Joe Stoddard Date estreou em 22 de janeiro de 1938, estreou o McCarter Theatre Princeton, o idioma original de Nova Jersey, a vida e a morte em inglês e a morte em um drama de gênero de cidade pequena americana, 1901 a 1913. Grover's Corners, New Hampshire, perto de Massachusetts.</v>
      </c>
      <c r="I322" s="3" t="str">
        <f>IFERROR(__xludf.DUMMYFUNCTION("GOOGLETRANSLATE(E322)"),"Drama")</f>
        <v>Drama</v>
      </c>
    </row>
    <row r="323" ht="15.75" customHeight="1">
      <c r="A323" s="1">
        <v>321.0</v>
      </c>
      <c r="B323" s="3" t="s">
        <v>1183</v>
      </c>
      <c r="C323" s="3" t="s">
        <v>1184</v>
      </c>
      <c r="D323" s="3" t="s">
        <v>1185</v>
      </c>
      <c r="F323" s="3" t="str">
        <f>IFERROR(__xludf.DUMMYFUNCTION("GOOGLETRANSLATE(B323)")," Bobby Flay")</f>
        <v> Bobby Flay</v>
      </c>
      <c r="G323" s="3" t="str">
        <f>IFERROR(__xludf.DUMMYFUNCTION("GOOGLETRANSLATE(C323)"),"Onde Bobby Flay foi para o ensino médio")</f>
        <v>Onde Bobby Flay foi para o ensino médio</v>
      </c>
      <c r="H323" s="3" t="str">
        <f>IFERROR(__xludf.DUMMYFUNCTION("GOOGLETRANSLATE(D323)")," Flay abandonou o ensino médio aos 17 anos. Ele disse que seus primeiros empregos na indústria de restaurantes estavam em uma pizzaria e Baskin - Robbins. Ele então assumiu uma posição fazendo saladas no restaurante Joe Allen, no distrito teatro de Manhat"&amp;"tan, onde seu pai era parceiro. O proprietário, Joe Allen, ficou impressionado com a habilidade natural de Flay e concordou em pagar a mensalidade de seu parceiro no Instituto de Culinária Francesa.")</f>
        <v> Flay abandonou o ensino médio aos 17 anos. Ele disse que seus primeiros empregos na indústria de restaurantes estavam em uma pizzaria e Baskin - Robbins. Ele então assumiu uma posição fazendo saladas no restaurante Joe Allen, no distrito teatro de Manhattan, onde seu pai era parceiro. O proprietário, Joe Allen, ficou impressionado com a habilidade natural de Flay e concordou em pagar a mensalidade de seu parceiro no Instituto de Culinária Francesa.</v>
      </c>
      <c r="I323" s="3" t="str">
        <f>IFERROR(__xludf.DUMMYFUNCTION("GOOGLETRANSLATE(E323)"),"#VALUE!")</f>
        <v>#VALUE!</v>
      </c>
    </row>
    <row r="324" ht="15.75" customHeight="1">
      <c r="A324" s="1">
        <v>322.0</v>
      </c>
      <c r="B324" s="3" t="s">
        <v>1186</v>
      </c>
      <c r="C324" s="3" t="s">
        <v>1187</v>
      </c>
      <c r="D324" s="3" t="s">
        <v>1188</v>
      </c>
      <c r="E324" s="3" t="s">
        <v>1189</v>
      </c>
      <c r="F324" s="3" t="str">
        <f>IFERROR(__xludf.DUMMYFUNCTION("GOOGLETRANSLATE(B324)")," Vida na pista rápida")</f>
        <v> Vida na pista rápida</v>
      </c>
      <c r="G324" s="3" t="str">
        <f>IFERROR(__xludf.DUMMYFUNCTION("GOOGLETRANSLATE(C324)"),"Quem cantou a vida da música na pista rápida")</f>
        <v>Quem cantou a vida da música na pista rápida</v>
      </c>
      <c r="H324" s="3" t="str">
        <f>IFERROR(__xludf.DUMMYFUNCTION("GOOGLETRANSLATE(D324)")," `` Life in the Fast Lane '' é uma música escrita por Joe Walsh, Glenn Frey e Don Henley e gravada pela banda de rock americana The Eagles em seu álbum de estúdio de 1976 Hotel California. Foi o terceiro single lançado deste álbum e atingiu o número 11 no"&amp;" Billboard Hot 100.")</f>
        <v> `` Life in the Fast Lane '' é uma música escrita por Joe Walsh, Glenn Frey e Don Henley e gravada pela banda de rock americana The Eagles em seu álbum de estúdio de 1976 Hotel California. Foi o terceiro single lançado deste álbum e atingiu o número 11 no Billboard Hot 100.</v>
      </c>
      <c r="I324" s="3" t="str">
        <f>IFERROR(__xludf.DUMMYFUNCTION("GOOGLETRANSLATE(E324)"),"Eagles")</f>
        <v>Eagles</v>
      </c>
    </row>
    <row r="325" ht="15.75" customHeight="1">
      <c r="A325" s="1">
        <v>323.0</v>
      </c>
      <c r="B325" s="3" t="s">
        <v>1190</v>
      </c>
      <c r="C325" s="3" t="s">
        <v>1191</v>
      </c>
      <c r="D325" s="3" t="s">
        <v>1192</v>
      </c>
      <c r="E325" s="3" t="s">
        <v>1193</v>
      </c>
      <c r="F325" s="3" t="str">
        <f>IFERROR(__xludf.DUMMYFUNCTION("GOOGLETRANSLATE(B325)")," Atentados atômicos de Hiroshima e Nagasaki")</f>
        <v> Atentados atômicos de Hiroshima e Nagasaki</v>
      </c>
      <c r="G325" s="3" t="str">
        <f>IFERROR(__xludf.DUMMYFUNCTION("GOOGLETRANSLATE(C325)"),"Que tipo de bomba os EUA caíram no Japão")</f>
        <v>Que tipo de bomba os EUA caíram no Japão</v>
      </c>
      <c r="H325" s="3" t="str">
        <f>IFERROR(__xludf.DUMMYFUNCTION("GOOGLETRANSLATE(D325)")," Durante a fase final da Segunda Guerra Mundial, os Estados Unidos lançaram armas nucleares nas cidades japonesas de Hiroshima e Nagasaki nos 6 e 9 de agosto de 1945, respectivamente. Os Estados Unidos abandonaram as bombas com o consentimento do Reino Un"&amp;"ido, conforme descrito no Acordo de Quebec. Os dois atentados, que mataram pelo menos 129.000 pessoas, continuam sendo o único uso de armas nucleares para a guerra na história.")</f>
        <v> Durante a fase final da Segunda Guerra Mundial, os Estados Unidos lançaram armas nucleares nas cidades japonesas de Hiroshima e Nagasaki nos 6 e 9 de agosto de 1945, respectivamente. Os Estados Unidos abandonaram as bombas com o consentimento do Reino Unido, conforme descrito no Acordo de Quebec. Os dois atentados, que mataram pelo menos 129.000 pessoas, continuam sendo o único uso de armas nucleares para a guerra na história.</v>
      </c>
      <c r="I325" s="3" t="str">
        <f>IFERROR(__xludf.DUMMYFUNCTION("GOOGLETRANSLATE(E325)"),"armas nucleares")</f>
        <v>armas nucleares</v>
      </c>
    </row>
    <row r="326" ht="15.75" customHeight="1">
      <c r="A326" s="1">
        <v>324.0</v>
      </c>
      <c r="B326" s="3" t="s">
        <v>1194</v>
      </c>
      <c r="C326" s="3" t="s">
        <v>1195</v>
      </c>
      <c r="D326" s="3" t="s">
        <v>1196</v>
      </c>
      <c r="E326" s="3" t="s">
        <v>1197</v>
      </c>
      <c r="F326" s="3" t="str">
        <f>IFERROR(__xludf.DUMMYFUNCTION("GOOGLETRANSLATE(B326)")," Como um G6")</f>
        <v> Como um G6</v>
      </c>
      <c r="G326" s="3" t="str">
        <f>IFERROR(__xludf.DUMMYFUNCTION("GOOGLETRANSLATE(C326)"),"quem é a garota do movimento do Extremo Oriente como um G6")</f>
        <v>quem é a garota do movimento do Extremo Oriente como um G6</v>
      </c>
      <c r="H326" s="3" t="str">
        <f>IFERROR(__xludf.DUMMYFUNCTION("GOOGLETRANSLATE(D326)")," `` Like a G6 '' é uma música de 2010 escrita e tocada pelo Movimento do Extremo Oriente, The Cataracs e Dev, com os dois últimos sendo creditados como artistas em destaque. É o single líder do terceiro álbum de estúdio do Far East Movement, Free Wired, e"&amp;" a produção foi tratada pelos Cataracs. Para o refrão, Dev amostra um versículo de seu próprio single `` boaty bounce '', que também foi escrito e produzido pelos Cataracs.")</f>
        <v> `` Like a G6 '' é uma música de 2010 escrita e tocada pelo Movimento do Extremo Oriente, The Cataracs e Dev, com os dois últimos sendo creditados como artistas em destaque. É o single líder do terceiro álbum de estúdio do Far East Movement, Free Wired, e a produção foi tratada pelos Cataracs. Para o refrão, Dev amostra um versículo de seu próprio single `` boaty bounce '', que também foi escrito e produzido pelos Cataracs.</v>
      </c>
      <c r="I326" s="3" t="str">
        <f>IFERROR(__xludf.DUMMYFUNCTION("GOOGLETRANSLATE(E326)"),"Dev")</f>
        <v>Dev</v>
      </c>
    </row>
    <row r="327" ht="15.75" customHeight="1">
      <c r="A327" s="1">
        <v>325.0</v>
      </c>
      <c r="B327" s="3" t="s">
        <v>1198</v>
      </c>
      <c r="C327" s="3" t="s">
        <v>1199</v>
      </c>
      <c r="D327" s="3" t="s">
        <v>1200</v>
      </c>
      <c r="F327" s="3" t="str">
        <f>IFERROR(__xludf.DUMMYFUNCTION("GOOGLETRANSLATE(B327)")," Lista de países do Caribe por população")</f>
        <v> Lista de países do Caribe por população</v>
      </c>
      <c r="G327" s="3" t="str">
        <f>IFERROR(__xludf.DUMMYFUNCTION("GOOGLETRANSLATE(C327)"),"Qual é o menor país do Caribe")</f>
        <v>Qual é o menor país do Caribe</v>
      </c>
      <c r="H327" s="3" t="str">
        <f>IFERROR(__xludf.DUMMYFUNCTION("GOOGLETRANSLATE(D327)"),"   País de classificação (ou território dependente) abbr. 1º de julho de 2017 % de projeção de pop. Average relative annual growth ( % )   Average absolute annual growth   Estimated doubling time ( Years )   Official figure ( where available )   Date of l"&amp;"ast figure   Source       Cuba   CU   11,252,000   26.48   0.25   28,000   278   11,238,317   December 31 , 2014   Official estimate       Haiti   HT   10,981,229   25.49   0.98   97,000   71   9,980,243 2015 Estimativa oficial A República Dominicana faz "&amp;"10.766.998 23,87 2,31 248.000 30 10.911.819 2015 Estimativa oficial porto -rico (EUA) Pr 3,508.000 8.26 - 1,13 - 40.000 - 3,548.397 Julho 27, 2014 Official estimativa Jamaica 4 Estimativa oficial 6 Trinidad e Tobago TT 1.357.000 3,19 0,52 7.000 134 1.349."&amp;"667 2015 Estimativa oficial 7 Guadeloupe (França) GP 405.000 0,95 0,25 1.000 280 403.314 1 de janeiro, 2012 Official 8 Martinique (France) MQ 383.000 0.9. Estimativa 9 Bahamas BS 379.000 0,89 1,34 5.000 52 369.670 2015 Estimativa oficial 10 Barbados BB 28"&amp;"3.000 0,67 0,35 1.000 196 277.821 1 de maio de 2010 2010 Resultado do Censo 11 May Lucia LC 172.000 0,40 0,58 1.000 119 166,526,526, May 10, 10.42.000 0,58 1.000 119 166,526,526 May 10. Kingdom of the Netherlands )   CW   157,000   0.37   0.64   1,000   1"&amp;"08   154,843   January 1 , 2014   Official estimate     13   Aruba ( Kingdom of the Netherlands )   AW   110,000   0.26   1.85   2,000   38   109,517   2015   Official estimate     14   Saint Vincent and the Grenadines   VC   110,000   0.26   0.00   0   -"&amp;"   109,434   2014 Estimativa oficial 15 Ilhas Virgens dos Estados Unidos (EUA) VI 105.000 0,25 0,00 0 - 106.405 1 de abril de 2010 Resultado do censo de 2010 16 Granada GD 104.000 0,24 0,00 0 - 103.328 12 de maio, 2011 RESULTADO DE CENSUS preliminares de "&amp;"2011 17 Antigua e Barbuda AG 89.000 0.21 1.14 1,14 1.000 1.000 1.000 1.000 1.000 1.000 1.000 1.000 1.000 1.000 1.000 1.000 1.000 1.000 1.000 1.000 1.000 1.000 1.000 1.000 1.000 1.000 1.000 1.000. 61 85.567 27 de maio de 2011 Final 2011 Resultado do censo "&amp;"18 Dominica DM 71.000 0,17 0,00 0 - 71.293 14 de maio de 2011 Resultado preliminar de 2011 2011 Resultado 19 Ilhas Cayman (Reino Unido) KY 59.000 0,14 3,51 2.000 20 58,238 Dezembro 31, 2014 Official estimativa 20 Kitt Kitt. Nevis KN 46.000 0,11 0,00 0 - 4"&amp;"6.204 15 de maio de 2011 Resultado do censo de 2011 21 Sint Maarten (Reino da Holanda) SX 39.000 0,09 2,63 1.000 27 37.224 1 de fevereiro de 2014 Estimativa oficial 22 Turks e Caicos Islands (UK) TC 37.000 0,09 5.7.7 5.7 5.7 22 ilhas Turks e Caicos () TC "&amp;"37.000 0,09 5.7 5.7 5.7 5.7 22 ilhas Turks e Caicos () TC 37.000 12 31.618 25 de janeiro de 2012 Resultado preliminar de 2012 de 2012 23 Saint Martin (França) MF 36.000 0,08 0,00 0 - 35.742 1 de janeiro de 2012 Estimativa oficial 24 Ilhas Virgens Britânic"&amp;"as (Reino Unido) VG 31.000 0,07 3,33 1.000 21 28.054 Julho 12, 2010 Censo de 2010 Census Resultado 25 Holanda do Caribe (Reino da Holanda) e 26.000 0,06 4,00 1.000 18 24.593 1 de janeiro de 2015 Estimativa oficial 26 Anguilla (Reino Unido) AI 14.000 0,03 "&amp;"0,00 0 - 13.037 11 de maio de 2011 Final 2011 Resultado 27 0,02 0,00 0 - 9.131 1 de janeiro de 2012 Estimativa oficial 28 Montserrat (Reino Unido) MS 5.000 0,01 0,00 0 - 4.922 12 de maio, 2011 2011 Resultado do censo Total 42.491.000 100,00 0,86 364.000 8"&amp;"1")</f>
        <v>   País de classificação (ou território dependente) abbr. 1º de julho de 2017 % de projeção de pop. Average relative annual growth ( % )   Average absolute annual growth   Estimated doubling time ( Years )   Official figure ( where available )   Date of last figure   Source       Cuba   CU   11,252,000   26.48   0.25   28,000   278   11,238,317   December 31 , 2014   Official estimate       Haiti   HT   10,981,229   25.49   0.98   97,000   71   9,980,243 2015 Estimativa oficial A República Dominicana faz 10.766.998 23,87 2,31 248.000 30 10.911.819 2015 Estimativa oficial porto -rico (EUA) Pr 3,508.000 8.26 - 1,13 - 40.000 - 3,548.397 Julho 27, 2014 Official estimativa Jamaica 4 Estimativa oficial 6 Trinidad e Tobago TT 1.357.000 3,19 0,52 7.000 134 1.349.667 2015 Estimativa oficial 7 Guadeloupe (França) GP 405.000 0,95 0,25 1.000 280 403.314 1 de janeiro, 2012 Official 8 Martinique (France) MQ 383.000 0.9. Estimativa 9 Bahamas BS 379.000 0,89 1,34 5.000 52 369.670 2015 Estimativa oficial 10 Barbados BB 283.000 0,67 0,35 1.000 196 277.821 1 de maio de 2010 2010 Resultado do Censo 11 May Lucia LC 172.000 0,40 0,58 1.000 119 166,526,526, May 10, 10.42.000 0,58 1.000 119 166,526,526 May 10. Kingdom of the Netherlands )   CW   157,000   0.37   0.64   1,000   108   154,843   January 1 , 2014   Official estimate     13   Aruba ( Kingdom of the Netherlands )   AW   110,000   0.26   1.85   2,000   38   109,517   2015   Official estimate     14   Saint Vincent and the Grenadines   VC   110,000   0.26   0.00   0   -   109,434   2014 Estimativa oficial 15 Ilhas Virgens dos Estados Unidos (EUA) VI 105.000 0,25 0,00 0 - 106.405 1 de abril de 2010 Resultado do censo de 2010 16 Granada GD 104.000 0,24 0,00 0 - 103.328 12 de maio, 2011 RESULTADO DE CENSUS preliminares de 2011 17 Antigua e Barbuda AG 89.000 0.21 1.14 1,14 1.000 1.000 1.000 1.000 1.000 1.000 1.000 1.000 1.000 1.000 1.000 1.000 1.000 1.000 1.000 1.000 1.000 1.000 1.000 1.000 1.000 1.000 1.000 1.000. 61 85.567 27 de maio de 2011 Final 2011 Resultado do censo 18 Dominica DM 71.000 0,17 0,00 0 - 71.293 14 de maio de 2011 Resultado preliminar de 2011 2011 Resultado 19 Ilhas Cayman (Reino Unido) KY 59.000 0,14 3,51 2.000 20 58,238 Dezembro 31, 2014 Official estimativa 20 Kitt Kitt. Nevis KN 46.000 0,11 0,00 0 - 46.204 15 de maio de 2011 Resultado do censo de 2011 21 Sint Maarten (Reino da Holanda) SX 39.000 0,09 2,63 1.000 27 37.224 1 de fevereiro de 2014 Estimativa oficial 22 Turks e Caicos Islands (UK) TC 37.000 0,09 5.7.7 5.7 5.7 22 ilhas Turks e Caicos () TC 37.000 0,09 5.7 5.7 5.7 5.7 22 ilhas Turks e Caicos () TC 37.000 12 31.618 25 de janeiro de 2012 Resultado preliminar de 2012 de 2012 23 Saint Martin (França) MF 36.000 0,08 0,00 0 - 35.742 1 de janeiro de 2012 Estimativa oficial 24 Ilhas Virgens Britânicas (Reino Unido) VG 31.000 0,07 3,33 1.000 21 28.054 Julho 12, 2010 Censo de 2010 Census Resultado 25 Holanda do Caribe (Reino da Holanda) e 26.000 0,06 4,00 1.000 18 24.593 1 de janeiro de 2015 Estimativa oficial 26 Anguilla (Reino Unido) AI 14.000 0,03 0,00 0 - 13.037 11 de maio de 2011 Final 2011 Resultado 27 0,02 0,00 0 - 9.131 1 de janeiro de 2012 Estimativa oficial 28 Montserrat (Reino Unido) MS 5.000 0,01 0,00 0 - 4.922 12 de maio, 2011 2011 Resultado do censo Total 42.491.000 100,00 0,86 364.000 81</v>
      </c>
      <c r="I327" s="3" t="str">
        <f>IFERROR(__xludf.DUMMYFUNCTION("GOOGLETRANSLATE(E327)"),"#VALUE!")</f>
        <v>#VALUE!</v>
      </c>
    </row>
    <row r="328" ht="15.75" customHeight="1">
      <c r="A328" s="1">
        <v>326.0</v>
      </c>
      <c r="B328" s="3" t="s">
        <v>1201</v>
      </c>
      <c r="C328" s="3" t="s">
        <v>1202</v>
      </c>
      <c r="D328" s="3" t="s">
        <v>1203</v>
      </c>
      <c r="E328" s="3" t="s">
        <v>1204</v>
      </c>
      <c r="F328" s="3" t="str">
        <f>IFERROR(__xludf.DUMMYFUNCTION("GOOGLETRANSLATE(B328)")," Gil McKinney")</f>
        <v> Gil McKinney</v>
      </c>
      <c r="G328" s="3" t="str">
        <f>IFERROR(__xludf.DUMMYFUNCTION("GOOGLETRANSLATE(C328)"),"que interpreta Eric em uma vez")</f>
        <v>que interpreta Eric em uma vez</v>
      </c>
      <c r="H328" s="3" t="str">
        <f>IFERROR(__xludf.DUMMYFUNCTION("GOOGLETRANSLATE(D328)")," Mark Gilbert McKinney, conhecido profissionalmente como Gil McKinney, (nascido em 5 de fevereiro de 1979) é um ator de cinema e televisão americano. Ele é mais conhecido por interpretar o Dr. Paul Grady em ER, Derek Bishop na sexta -feira à noite Lights "&amp;"e Prince Eric em Once Upon A Time, e por ser a voz e o rosto (via MovionsCan) de Jack Kelso no videogame L.A. Noire. Gil também apareceu em Supernatural como Henry Winchester.")</f>
        <v> Mark Gilbert McKinney, conhecido profissionalmente como Gil McKinney, (nascido em 5 de fevereiro de 1979) é um ator de cinema e televisão americano. Ele é mais conhecido por interpretar o Dr. Paul Grady em ER, Derek Bishop na sexta -feira à noite Lights e Prince Eric em Once Upon A Time, e por ser a voz e o rosto (via MovionsCan) de Jack Kelso no videogame L.A. Noire. Gil também apareceu em Supernatural como Henry Winchester.</v>
      </c>
      <c r="I328" s="3" t="str">
        <f>IFERROR(__xludf.DUMMYFUNCTION("GOOGLETRANSLATE(E328)"),"Sobrenatural")</f>
        <v>Sobrenatural</v>
      </c>
    </row>
    <row r="329" ht="15.75" customHeight="1">
      <c r="A329" s="1">
        <v>327.0</v>
      </c>
      <c r="B329" s="3" t="s">
        <v>1205</v>
      </c>
      <c r="C329" s="3" t="s">
        <v>1206</v>
      </c>
      <c r="D329" s="3" t="s">
        <v>1207</v>
      </c>
      <c r="E329" s="3" t="s">
        <v>1208</v>
      </c>
      <c r="F329" s="3" t="str">
        <f>IFERROR(__xludf.DUMMYFUNCTION("GOOGLETRANSLATE(B329)")," Rupert Grint")</f>
        <v> Rupert Grint</v>
      </c>
      <c r="G329" s="3" t="str">
        <f>IFERROR(__xludf.DUMMYFUNCTION("GOOGLETRANSLATE(C329)"),"Quem é o ator que interpreta Ron Weasley")</f>
        <v>Quem é o ator que interpreta Ron Weasley</v>
      </c>
      <c r="H329" s="3" t="str">
        <f>IFERROR(__xludf.DUMMYFUNCTION("GOOGLETRANSLATE(D329)")," Rupert Alexander Lloyd Grint (nascido em 24 de agosto de 1988) é um ator e produtor inglês. Ele ganhou destaque ao interpretar Ron Weasley, um dos três personagens principais da série de filmes de Harry Potter. Grint foi escalado como Ron aos 11 anos, te"&amp;"ndo atuado apenas em peças escolares e em seu grupo de teatro local. De 2001 a 2011, ele estrelou todos os oito filmes de Harry Potter ao lado de Daniel Radcliffe tocando como Harry Potter e Emma Watson jogando como Hermione Granger.")</f>
        <v> Rupert Alexander Lloyd Grint (nascido em 24 de agosto de 1988) é um ator e produtor inglês. Ele ganhou destaque ao interpretar Ron Weasley, um dos três personagens principais da série de filmes de Harry Potter. Grint foi escalado como Ron aos 11 anos, tendo atuado apenas em peças escolares e em seu grupo de teatro local. De 2001 a 2011, ele estrelou todos os oito filmes de Harry Potter ao lado de Daniel Radcliffe tocando como Harry Potter e Emma Watson jogando como Hermione Granger.</v>
      </c>
      <c r="I329" s="3" t="str">
        <f>IFERROR(__xludf.DUMMYFUNCTION("GOOGLETRANSLATE(E329)"),"Rupert Alexander Lloyd Grint")</f>
        <v>Rupert Alexander Lloyd Grint</v>
      </c>
    </row>
    <row r="330" ht="15.75" customHeight="1">
      <c r="A330" s="1">
        <v>328.0</v>
      </c>
      <c r="B330" s="3" t="s">
        <v>1209</v>
      </c>
      <c r="C330" s="3" t="s">
        <v>1210</v>
      </c>
      <c r="D330" s="3" t="s">
        <v>1211</v>
      </c>
      <c r="F330" s="3" t="str">
        <f>IFERROR(__xludf.DUMMYFUNCTION("GOOGLETRANSLATE(B330)")," O pote chamando a chaleira preta")</f>
        <v> O pote chamando a chaleira preta</v>
      </c>
      <c r="G330" s="3" t="str">
        <f>IFERROR(__xludf.DUMMYFUNCTION("GOOGLETRANSLATE(C330)"),"o que a expressão a panela chamando de chaleira preta significa")</f>
        <v>o que a expressão a panela chamando de chaleira preta significa</v>
      </c>
      <c r="H330" s="3" t="str">
        <f>IFERROR(__xludf.DUMMYFUNCTION("GOOGLETRANSLATE(D330)")," `` O pote que chama a chaleira preto '' é um idioma proverbial que parece ser de origem espanhola, das quais versões começaram a aparecer em inglês na primeira metade do século XVII. É encoberto nas fontes originais como sendo usado por uma pessoa que é "&amp;"culpada da mesma coisa que eles acusam de outra e, portanto, é um exemplo de projeção psicológica.")</f>
        <v> `` O pote que chama a chaleira preto '' é um idioma proverbial que parece ser de origem espanhola, das quais versões começaram a aparecer em inglês na primeira metade do século XVII. É encoberto nas fontes originais como sendo usado por uma pessoa que é culpada da mesma coisa que eles acusam de outra e, portanto, é um exemplo de projeção psicológica.</v>
      </c>
      <c r="I330" s="3" t="str">
        <f>IFERROR(__xludf.DUMMYFUNCTION("GOOGLETRANSLATE(E330)"),"#VALUE!")</f>
        <v>#VALUE!</v>
      </c>
    </row>
    <row r="331" ht="15.75" customHeight="1">
      <c r="A331" s="1">
        <v>329.0</v>
      </c>
      <c r="B331" s="3" t="s">
        <v>1212</v>
      </c>
      <c r="C331" s="3" t="s">
        <v>1213</v>
      </c>
      <c r="D331" s="3" t="s">
        <v>1214</v>
      </c>
      <c r="F331" s="3" t="str">
        <f>IFERROR(__xludf.DUMMYFUNCTION("GOOGLETRANSLATE(B331)")," Strickland (sobrenome)")</f>
        <v> Strickland (sobrenome)</v>
      </c>
      <c r="G331" s="3" t="str">
        <f>IFERROR(__xludf.DUMMYFUNCTION("GOOGLETRANSLATE(C331)"),"De onde vem o sobrenome strickland")</f>
        <v>De onde vem o sobrenome strickland</v>
      </c>
      <c r="H331" s="3" t="str">
        <f>IFERROR(__xludf.DUMMYFUNCTION("GOOGLETRANSLATE(D331)")," O sobrenome inglês Strickland é derivado do local - nome Stercaland, de velhas origens nórdicas, encontrada em Westmorland, ao sul de Penrith. Ele tem sido usado como um nome de família pelo menos desde o final do século XII, quando Walter, de CastleCarr"&amp;"ock, casou -se com Christian de Leteham, uma herdeira da propriedade de terras que cobria a área onde estão agora as aldeias de Great Strickland e Little Strickland. Depois desse casamento, Walter ficou conhecido como Walter de Strickland, escrito de vári"&amp;"as maneiras.")</f>
        <v> O sobrenome inglês Strickland é derivado do local - nome Stercaland, de velhas origens nórdicas, encontrada em Westmorland, ao sul de Penrith. Ele tem sido usado como um nome de família pelo menos desde o final do século XII, quando Walter, de CastleCarrock, casou -se com Christian de Leteham, uma herdeira da propriedade de terras que cobria a área onde estão agora as aldeias de Great Strickland e Little Strickland. Depois desse casamento, Walter ficou conhecido como Walter de Strickland, escrito de várias maneiras.</v>
      </c>
      <c r="I331" s="3" t="str">
        <f>IFERROR(__xludf.DUMMYFUNCTION("GOOGLETRANSLATE(E331)"),"#VALUE!")</f>
        <v>#VALUE!</v>
      </c>
    </row>
    <row r="332" ht="15.75" customHeight="1">
      <c r="A332" s="1">
        <v>330.0</v>
      </c>
      <c r="B332" s="3" t="s">
        <v>1215</v>
      </c>
      <c r="C332" s="3" t="s">
        <v>1216</v>
      </c>
      <c r="D332" s="3" t="s">
        <v>1217</v>
      </c>
      <c r="E332" s="3" t="s">
        <v>1218</v>
      </c>
      <c r="F332" s="3" t="str">
        <f>IFERROR(__xludf.DUMMYFUNCTION("GOOGLETRANSLATE(B332)")," Sua mãe não dançou")</f>
        <v> Sua mãe não dançou</v>
      </c>
      <c r="G332" s="3" t="str">
        <f>IFERROR(__xludf.DUMMYFUNCTION("GOOGLETRANSLATE(C332)"),"Quem cantou sua mãe não dançando e seu pai não balança e rola")</f>
        <v>Quem cantou sua mãe não dançando e seu pai não balança e rola</v>
      </c>
      <c r="H332" s="3" t="str">
        <f>IFERROR(__xludf.DUMMYFUNCTION("GOOGLETRANSLATE(D332)")," `` Sua mamãe Do N't Dance '' é uma música de 1972 da dupla de rock Loggins e Messina. Lançado em seu álbum auto -intitulado Loggins e Messina, ele alcançou o número quatro no gráfico pop da Billboard e o número 19 na parada de audição fácil da Billboard "&amp;"como single no início de 1973.")</f>
        <v> `` Sua mamãe Do N't Dance '' é uma música de 1972 da dupla de rock Loggins e Messina. Lançado em seu álbum auto -intitulado Loggins e Messina, ele alcançou o número quatro no gráfico pop da Billboard e o número 19 na parada de audição fácil da Billboard como single no início de 1973.</v>
      </c>
      <c r="I332" s="3" t="str">
        <f>IFERROR(__xludf.DUMMYFUNCTION("GOOGLETRANSLATE(E332)"),"Rock Duo Loggins e Messina")</f>
        <v>Rock Duo Loggins e Messina</v>
      </c>
    </row>
    <row r="333" ht="15.75" customHeight="1">
      <c r="A333" s="1">
        <v>331.0</v>
      </c>
      <c r="B333" s="3" t="s">
        <v>1219</v>
      </c>
      <c r="C333" s="3" t="s">
        <v>1220</v>
      </c>
      <c r="D333" s="3" t="s">
        <v>1221</v>
      </c>
      <c r="F333" s="3" t="str">
        <f>IFERROR(__xludf.DUMMYFUNCTION("GOOGLETRANSLATE(B333)")," Disposições estaduais")</f>
        <v> Disposições estaduais</v>
      </c>
      <c r="G333" s="3" t="str">
        <f>IFERROR(__xludf.DUMMYFUNCTION("GOOGLETRANSLATE(C333)"),"A atual Kentucky foi cedida pelo que o estado em 1792")</f>
        <v>A atual Kentucky foi cedida pelo que o estado em 1792</v>
      </c>
      <c r="H333" s="3" t="str">
        <f>IFERROR(__xludf.DUMMYFUNCTION("GOOGLETRANSLATE(D333)")," No final, a maioria das reivindicações trans -Apalaches foi cedida ao governo federal entre 1781 e 1787; Nova York, New Hampshire e o governo até então não reconhecido Vermont resolveram suas disputas em 1791, e Kentucky foi separado da Virgínia e transf"&amp;"ormado em um novo estado em 1792. As Cessões não foram totalmente altruístas - em alguns casos, as Cessões foram feitas em troca da suposição federal das dívidas revolucionárias de guerra dos estados - mas as cessões razoavelmente graciosas dos estados de"&amp;" suas reivindicações frequentemente conflitantes impediram precocemente, talvez catastrófica, entrevistados entre Os estados da jovem república e amenizavam os medos dos `` sem terra '', afirma o suficiente para convencê -los a ratificar a nova Constituiç"&amp;"ão dos Estados Unidos. As Cessões também prepararam o cenário para o assentamento do meio -oeste e a expansão dos EUA no centro do continente norte -americano, e também estabeleceram o padrão pelo qual a terra recém -adquirida pelos Estados Unidos seria o"&amp;"rganizada em novos estados, e não anexado aos antigos.")</f>
        <v> No final, a maioria das reivindicações trans -Apalaches foi cedida ao governo federal entre 1781 e 1787; Nova York, New Hampshire e o governo até então não reconhecido Vermont resolveram suas disputas em 1791, e Kentucky foi separado da Virgínia e transformado em um novo estado em 1792. As Cessões não foram totalmente altruístas - em alguns casos, as Cessões foram feitas em troca da suposição federal das dívidas revolucionárias de guerra dos estados - mas as cessões razoavelmente graciosas dos estados de suas reivindicações frequentemente conflitantes impediram precocemente, talvez catastrófica, entrevistados entre Os estados da jovem república e amenizavam os medos dos `` sem terra '', afirma o suficiente para convencê -los a ratificar a nova Constituição dos Estados Unidos. As Cessões também prepararam o cenário para o assentamento do meio -oeste e a expansão dos EUA no centro do continente norte -americano, e também estabeleceram o padrão pelo qual a terra recém -adquirida pelos Estados Unidos seria organizada em novos estados, e não anexado aos antigos.</v>
      </c>
      <c r="I333" s="3" t="str">
        <f>IFERROR(__xludf.DUMMYFUNCTION("GOOGLETRANSLATE(E333)"),"#VALUE!")</f>
        <v>#VALUE!</v>
      </c>
    </row>
    <row r="334" ht="15.75" customHeight="1">
      <c r="A334" s="1">
        <v>332.0</v>
      </c>
      <c r="B334" s="3" t="s">
        <v>1222</v>
      </c>
      <c r="C334" s="3" t="s">
        <v>1223</v>
      </c>
      <c r="D334" s="3" t="s">
        <v>1224</v>
      </c>
      <c r="E334" s="3" t="s">
        <v>1225</v>
      </c>
      <c r="F334" s="3" t="str">
        <f>IFERROR(__xludf.DUMMYFUNCTION("GOOGLETRANSLATE(B334)")," Esta é a casa que Jack construiu")</f>
        <v> Esta é a casa que Jack construiu</v>
      </c>
      <c r="G334" s="3" t="str">
        <f>IFERROR(__xludf.DUMMYFUNCTION("GOOGLETRANSLATE(C334)"),"que ordenhou a vaca com a buzina amassada")</f>
        <v>que ordenhou a vaca com a buzina amassada</v>
      </c>
      <c r="H334" s="3" t="str">
        <f>IFERROR(__xludf.DUMMYFUNCTION("GOOGLETRANSLATE(D334)"),"  Esta é a donzela, tudo abandonado que ordenhou a vaca com a buzina amassada que jogou o cachorro que preocupou o gato que matou o rato que comeu o malte que estava na casa que Jack construiu.")</f>
        <v>  Esta é a donzela, tudo abandonado que ordenhou a vaca com a buzina amassada que jogou o cachorro que preocupou o gato que matou o rato que comeu o malte que estava na casa que Jack construiu.</v>
      </c>
      <c r="I334" s="3" t="str">
        <f>IFERROR(__xludf.DUMMYFUNCTION("GOOGLETRANSLATE(E334)"),"a donzela toda abandonada")</f>
        <v>a donzela toda abandonada</v>
      </c>
    </row>
    <row r="335" ht="15.75" customHeight="1">
      <c r="A335" s="1">
        <v>333.0</v>
      </c>
      <c r="B335" s="3" t="s">
        <v>1226</v>
      </c>
      <c r="C335" s="3" t="s">
        <v>1227</v>
      </c>
      <c r="D335" s="3" t="s">
        <v>1228</v>
      </c>
      <c r="E335" s="3" t="s">
        <v>1229</v>
      </c>
      <c r="F335" s="3" t="str">
        <f>IFERROR(__xludf.DUMMYFUNCTION("GOOGLETRANSLATE(B335)")," Eleição Geral Paquistão, 2018")</f>
        <v> Eleição Geral Paquistão, 2018</v>
      </c>
      <c r="G335" s="3" t="str">
        <f>IFERROR(__xludf.DUMMYFUNCTION("GOOGLETRANSLATE(C335)"),"Quantos assentos necessários para tornar o governo no Paquistão 2018")</f>
        <v>Quantos assentos necessários para tornar o governo no Paquistão 2018</v>
      </c>
      <c r="H335" s="3" t="str">
        <f>IFERROR(__xludf.DUMMYFUNCTION("GOOGLETRANSLATE(D335)")," Eleição geral paquistanesa, 2018 ← 2013 25 de julho de 2018 Próximo → ← Membros eleitos de membros → Todos os 342 assentos na Assembléia Nacional 172 assentos necessários para uma participação de pesquisas de opinião majoritária 51,6 % (3,4 pp) Primeiro "&amp;"partido líder do partido Imran Khan Shehbaz Sharif Bilawal Bhutto Zardari Partido PTI PML (N) Líder de PPP desde 25 de abril de 1996 6 de março de 2018 30 de dezembro de 2007 Seat 's Mianwali - I Lahore - X Larkana - I Last Election 35 Seats, 16,92 % 166 "&amp;"assentos, 32,77 % 42 assentos, assentos, 15,23 % dos assentos ganhos 149 /342 82 /342 54/342 Mudança de assento 114 84 12 Voto popular 16.903.702 12.934.589 6.924.356 porcentagem 31,82 % 24,35 % 13,90 % swing 14,90 pp 8.42 pp 2.29 Ministro Imran Khan Pti")</f>
        <v> Eleição geral paquistanesa, 2018 ← 2013 25 de julho de 2018 Próximo → ← Membros eleitos de membros → Todos os 342 assentos na Assembléia Nacional 172 assentos necessários para uma participação de pesquisas de opinião majoritária 51,6 % (3,4 pp) Primeiro partido líder do partido Imran Khan Shehbaz Sharif Bilawal Bhutto Zardari Partido PTI PML (N) Líder de PPP desde 25 de abril de 1996 6 de março de 2018 30 de dezembro de 2007 Seat 's Mianwali - I Lahore - X Larkana - I Last Election 35 Seats, 16,92 % 166 assentos, 32,77 % 42 assentos, assentos, 15,23 % dos assentos ganhos 149 /342 82 /342 54/342 Mudança de assento 114 84 12 Voto popular 16.903.702 12.934.589 6.924.356 porcentagem 31,82 % 24,35 % 13,90 % swing 14,90 pp 8.42 pp 2.29 Ministro Imran Khan Pti</v>
      </c>
      <c r="I335" s="3" t="str">
        <f>IFERROR(__xludf.DUMMYFUNCTION("GOOGLETRANSLATE(E335)"),"342")</f>
        <v>342</v>
      </c>
    </row>
    <row r="336" ht="15.75" customHeight="1">
      <c r="A336" s="1">
        <v>334.0</v>
      </c>
      <c r="B336" s="3" t="s">
        <v>1230</v>
      </c>
      <c r="C336" s="3" t="s">
        <v>1231</v>
      </c>
      <c r="D336" s="3" t="s">
        <v>1232</v>
      </c>
      <c r="F336" s="3" t="str">
        <f>IFERROR(__xludf.DUMMYFUNCTION("GOOGLETRANSLATE(B336)")," Mundo Jurássico: Reino Falado")</f>
        <v> Mundo Jurássico: Reino Falado</v>
      </c>
      <c r="G336" s="3" t="str">
        <f>IFERROR(__xludf.DUMMYFUNCTION("GOOGLETRANSLATE(C336)"),"Quem são os atores do Jurassic Park Fallen Kingdom")</f>
        <v>Quem são os atores do Jurassic Park Fallen Kingdom</v>
      </c>
      <c r="H336" s="3" t="str">
        <f>IFERROR(__xludf.DUMMYFUNCTION("GOOGLETRANSLATE(D336)"),"  Chris Pratt como Owen Grady: um veterano da Marinha e ex -treinador Velociraptor para o Jurassic World. Bryce Dallas Howard como Claire Dearing: O ex -gerente de operações do Jurassic World, agora um dinossauro - ativista dos direitos, que fundou o Grup"&amp;"o de Proteção de Dinossauros para salvar os dinossauros sobreviventes de Isla Nublar. RAFE SPALL COMO ELI MILLS: A ambiciosa assistente de Lockwood que recruta Owen e Claire para resgatar os dinossauros. Falando das ações de seu personagem ao longo do fil"&amp;"me, Spall observou que `` ambição é uma emoção tão poderosa, você pode se envolver nela e acabar fazendo as coisas para ter sucesso. Esse personagem acredita que ele está fazendo o certo. Ele foi encarregado de empurrar a fortuna de Lockwood para o futuro"&amp;" e fazê -lo sobreviver depois que ele morre. Mills sente que ele está simplesmente fazendo o que lhe foi solicitado. '' Justice Smith como Franklin Webb: um ex -técnico de TI do Jurassic World que agora é o analista e hacker de sistemas do Grupo de Proteç"&amp;"ão de Dinossauros. Daniella Pineda como Zia Rodriguez: um ex -fuzileiro naval que agora é o Paleoveterinário do Grupo de Proteção de Dinossauros. James Cromwell como Sir Benjamin Lockwood: ex -parceiro de John Hammond no desenvolvimento da tecnologia para"&amp;" clonar dinossauros. Toby Jones como Gunnar Eversol: um anfitrião de leiloeiro da Lockwood Estate que vende os dinossauros de Isla Nublar para lucro. Em uma entrevista, Jones comparou seu personagem ao de `` um traficante de armas desonestas; Ele vê lucro"&amp;"s em vender essas criaturas como armas. Ele é totalmente moralmente neutro sobre o que está vendendo. Ele só está interessado em se beneficiar ou não. '' Ted Levine como Ken Wheatley: um mercenário experiente que comanda a operação de resgate em Isla Nubl"&amp;"ar. B.D. Wong como Henry Wu: o ex -chefe geneticista do Jurassic World e do Jurassic Park original. Falando das ações de seu personagem, Wong afirmou: `` Eu acho que ele é motivado por seu amor pela ciência e seu próprio ego, o que é bem apoiado por suas "&amp;"enormes realizações ... Acho O sofrimento humano que ocorre como resultado porque ele acha que está olhando para uma imagem maior. '' Sermão de Isabella como Maisie Lockwood: a neta juvenil de Lockwood e a ala legal após a morte de seus pais. Geraldine Ch"&amp;"aplin como íris: a governanta de Lockwood, a babá de Maisie e o protetor dos segredos da família Lockwood. Jeff Goldblum como Ian Malcolm: um especialista em teoria do caos que já consultou o Jurassic Park do Ingen. Em uma entrevista ao podcast, Goldblum "&amp;"revelou de seu papel `` é pequeno ... quem sabe, eles podem me cortar completamente! Mas se eu ficar, serei um raminho de salsa ou um pouco de enfeite, esperançosamente com algum impacto! O diretor Bayona confirmou que o papel de Goldblum é simplesmente u"&amp;"ma participação especial, afirmando: `` Ele não tem um papel importante na ação, mas é definitivamente muito significativo em termos da história. Peter Jason como senador Sherwood: um senador que está entre os que debatem sobre salvar os dinossauros na Is"&amp;"la Nublar.")</f>
        <v>  Chris Pratt como Owen Grady: um veterano da Marinha e ex -treinador Velociraptor para o Jurassic World. Bryce Dallas Howard como Claire Dearing: O ex -gerente de operações do Jurassic World, agora um dinossauro - ativista dos direitos, que fundou o Grupo de Proteção de Dinossauros para salvar os dinossauros sobreviventes de Isla Nublar. RAFE SPALL COMO ELI MILLS: A ambiciosa assistente de Lockwood que recruta Owen e Claire para resgatar os dinossauros. Falando das ações de seu personagem ao longo do filme, Spall observou que `` ambição é uma emoção tão poderosa, você pode se envolver nela e acabar fazendo as coisas para ter sucesso. Esse personagem acredita que ele está fazendo o certo. Ele foi encarregado de empurrar a fortuna de Lockwood para o futuro e fazê -lo sobreviver depois que ele morre. Mills sente que ele está simplesmente fazendo o que lhe foi solicitado. '' Justice Smith como Franklin Webb: um ex -técnico de TI do Jurassic World que agora é o analista e hacker de sistemas do Grupo de Proteção de Dinossauros. Daniella Pineda como Zia Rodriguez: um ex -fuzileiro naval que agora é o Paleoveterinário do Grupo de Proteção de Dinossauros. James Cromwell como Sir Benjamin Lockwood: ex -parceiro de John Hammond no desenvolvimento da tecnologia para clonar dinossauros. Toby Jones como Gunnar Eversol: um anfitrião de leiloeiro da Lockwood Estate que vende os dinossauros de Isla Nublar para lucro. Em uma entrevista, Jones comparou seu personagem ao de `` um traficante de armas desonestas; Ele vê lucros em vender essas criaturas como armas. Ele é totalmente moralmente neutro sobre o que está vendendo. Ele só está interessado em se beneficiar ou não. '' Ted Levine como Ken Wheatley: um mercenário experiente que comanda a operação de resgate em Isla Nublar. B.D. Wong como Henry Wu: o ex -chefe geneticista do Jurassic World e do Jurassic Park original. Falando das ações de seu personagem, Wong afirmou: `` Eu acho que ele é motivado por seu amor pela ciência e seu próprio ego, o que é bem apoiado por suas enormes realizações ... Acho O sofrimento humano que ocorre como resultado porque ele acha que está olhando para uma imagem maior. '' Sermão de Isabella como Maisie Lockwood: a neta juvenil de Lockwood e a ala legal após a morte de seus pais. Geraldine Chaplin como íris: a governanta de Lockwood, a babá de Maisie e o protetor dos segredos da família Lockwood. Jeff Goldblum como Ian Malcolm: um especialista em teoria do caos que já consultou o Jurassic Park do Ingen. Em uma entrevista ao podcast, Goldblum revelou de seu papel `` é pequeno ... quem sabe, eles podem me cortar completamente! Mas se eu ficar, serei um raminho de salsa ou um pouco de enfeite, esperançosamente com algum impacto! O diretor Bayona confirmou que o papel de Goldblum é simplesmente uma participação especial, afirmando: `` Ele não tem um papel importante na ação, mas é definitivamente muito significativo em termos da história. Peter Jason como senador Sherwood: um senador que está entre os que debatem sobre salvar os dinossauros na Isla Nublar.</v>
      </c>
      <c r="I336" s="3" t="str">
        <f>IFERROR(__xludf.DUMMYFUNCTION("GOOGLETRANSLATE(E336)"),"#VALUE!")</f>
        <v>#VALUE!</v>
      </c>
    </row>
    <row r="337" ht="15.75" customHeight="1">
      <c r="A337" s="1">
        <v>335.0</v>
      </c>
      <c r="B337" s="3" t="s">
        <v>1233</v>
      </c>
      <c r="C337" s="3" t="s">
        <v>1234</v>
      </c>
      <c r="D337" s="3" t="s">
        <v>1235</v>
      </c>
      <c r="E337" s="3" t="s">
        <v>1236</v>
      </c>
      <c r="F337" s="3" t="str">
        <f>IFERROR(__xludf.DUMMYFUNCTION("GOOGLETRANSLATE(B337)")," Chandni")</f>
        <v> Chandni</v>
      </c>
      <c r="G337" s="3" t="str">
        <f>IFERROR(__xludf.DUMMYFUNCTION("GOOGLETRANSLATE(C337)"),"Quem cantou a música Chandni O Meeri Chandni")</f>
        <v>Quem cantou a música Chandni O Meeri Chandni</v>
      </c>
      <c r="H337" s="3" t="str">
        <f>IFERROR(__xludf.DUMMYFUNCTION("GOOGLETRANSLATE(D337)"),"   Não. Título Singer (s) Comprimento 1. 'Mero Haathon Mein' 'Lata Mangeshkar 05: 34 2. 'Mehbooba' 'Lata Mangeshkar, Vinod Rathod 04: 53 3. `` Principal Sasural Nahi Jaaungi '' Pamela Chopra 04: 06 4. 'Mitwa (Tere Mere Honton PE)' 'Lata Mangeshkar, Babla "&amp;"Mehta 04: 31 5. `` AA Meri Jaan '' Lata Mangeshkar 04: 21 6. 'Dance Music' 'Instrumental 03: 16 7. `` Chandni O Meri Chandni '' Sridevi, Jolly Mukherjee 04: 32 8. 'Lagi Aaj Sawan Ki' 'Suresh Wadkar, Anupama Deshpande 03: 259. 'Parbat Se Kaali' 'Asha Bhosl"&amp;"e, Vinod Rathod 04: 22 10. 'Tu Mujhe Suna' 'Nitin Mukesh, Suresh Wadkar 04: 30 11. 'Mere Haathon Mein' 'Instrumental 05: 47")</f>
        <v>   Não. Título Singer (s) Comprimento 1. 'Mero Haathon Mein' 'Lata Mangeshkar 05: 34 2. 'Mehbooba' 'Lata Mangeshkar, Vinod Rathod 04: 53 3. `` Principal Sasural Nahi Jaaungi '' Pamela Chopra 04: 06 4. 'Mitwa (Tere Mere Honton PE)' 'Lata Mangeshkar, Babla Mehta 04: 31 5. `` AA Meri Jaan '' Lata Mangeshkar 04: 21 6. 'Dance Music' 'Instrumental 03: 16 7. `` Chandni O Meri Chandni '' Sridevi, Jolly Mukherjee 04: 32 8. 'Lagi Aaj Sawan Ki' 'Suresh Wadkar, Anupama Deshpande 03: 259. 'Parbat Se Kaali' 'Asha Bhosle, Vinod Rathod 04: 22 10. 'Tu Mujhe Suna' 'Nitin Mukesh, Suresh Wadkar 04: 30 11. 'Mere Haathon Mein' 'Instrumental 05: 47</v>
      </c>
      <c r="I337" s="3" t="str">
        <f>IFERROR(__xludf.DUMMYFUNCTION("GOOGLETRANSLATE(E337)"),"Sridevi")</f>
        <v>Sridevi</v>
      </c>
    </row>
    <row r="338" ht="15.75" customHeight="1">
      <c r="A338" s="1">
        <v>336.0</v>
      </c>
      <c r="B338" s="3" t="s">
        <v>1237</v>
      </c>
      <c r="C338" s="3" t="s">
        <v>1238</v>
      </c>
      <c r="D338" s="3" t="s">
        <v>1239</v>
      </c>
      <c r="E338" s="3" t="s">
        <v>1240</v>
      </c>
      <c r="F338" s="3" t="str">
        <f>IFERROR(__xludf.DUMMYFUNCTION("GOOGLETRANSLATE(B338)")," M Suryanarayan")</f>
        <v> M Suryanarayan</v>
      </c>
      <c r="G338" s="3" t="str">
        <f>IFERROR(__xludf.DUMMYFUNCTION("GOOGLETRANSLATE(C338)"),"que é conhecido como o pai do jogador de críquete da Índia")</f>
        <v>que é conhecido como o pai do jogador de críquete da Índia</v>
      </c>
      <c r="H338" s="3" t="str">
        <f>IFERROR(__xludf.DUMMYFUNCTION("GOOGLETRANSLATE(D338)")," M. Suryanarayan (1930 - 2010) foi um jogador de críquete de primeira classe indiano que nasceu em 1º de fevereiro de 1930 durante a presidência de Madras. M. Suryanarayan é o primeiro filho de M. Baliah Naidu e o neto de Buchi Babu Naidu, que também é co"&amp;"nhecido como o 'pai do críquete do sul da Índia', o Doyen de Madras Cricket. Ele também foi membro da primeira equipe de Triumph do Troféu Ranji de Tamilnadu em 1954 - 1955, que a equipe de Madras venceu contra Holkar. Ele era um batedor de mão direita e "&amp;"um jogador médio de braço direito. O hindu descrevendo seu críquete disse uma vez: `` O rebatedor dele se assemelha muito ao de seu pai - arrojado e despreocupado - e sua capa - Drive, uma alegria de assistir, tem um impulso incrível ... '' E acrescentou "&amp;"que ele teve `` Enriqueceu Madras Sport como seu pai ''. Seu único irmão mais novo M.M Kumar representou no troféu de Ranji.")</f>
        <v> M. Suryanarayan (1930 - 2010) foi um jogador de críquete de primeira classe indiano que nasceu em 1º de fevereiro de 1930 durante a presidência de Madras. M. Suryanarayan é o primeiro filho de M. Baliah Naidu e o neto de Buchi Babu Naidu, que também é conhecido como o 'pai do críquete do sul da Índia', o Doyen de Madras Cricket. Ele também foi membro da primeira equipe de Triumph do Troféu Ranji de Tamilnadu em 1954 - 1955, que a equipe de Madras venceu contra Holkar. Ele era um batedor de mão direita e um jogador médio de braço direito. O hindu descrevendo seu críquete disse uma vez: `` O rebatedor dele se assemelha muito ao de seu pai - arrojado e despreocupado - e sua capa - Drive, uma alegria de assistir, tem um impulso incrível ... '' E acrescentou que ele teve `` Enriqueceu Madras Sport como seu pai ''. Seu único irmão mais novo M.M Kumar representou no troféu de Ranji.</v>
      </c>
      <c r="I338" s="3" t="str">
        <f>IFERROR(__xludf.DUMMYFUNCTION("GOOGLETRANSLATE(E338)"),"Buchi Babu Naidu")</f>
        <v>Buchi Babu Naidu</v>
      </c>
    </row>
    <row r="339" ht="15.75" customHeight="1">
      <c r="A339" s="1">
        <v>337.0</v>
      </c>
      <c r="B339" s="3" t="s">
        <v>1241</v>
      </c>
      <c r="C339" s="3" t="s">
        <v>1242</v>
      </c>
      <c r="D339" s="3" t="s">
        <v>1243</v>
      </c>
      <c r="E339" s="3" t="s">
        <v>1244</v>
      </c>
      <c r="F339" s="3" t="str">
        <f>IFERROR(__xludf.DUMMYFUNCTION("GOOGLETRANSLATE(B339)")," Lactase")</f>
        <v> Lactase</v>
      </c>
      <c r="G339" s="3" t="str">
        <f>IFERROR(__xludf.DUMMYFUNCTION("GOOGLETRANSLATE(C339)"),"onde é lactase encontrada no corpo humano")</f>
        <v>onde é lactase encontrada no corpo humano</v>
      </c>
      <c r="H339" s="3" t="str">
        <f>IFERROR(__xludf.DUMMYFUNCTION("GOOGLETRANSLATE(D339)")," A lactase é uma enzima produzida por muitos organismos. Está localizado na borda da escova do intestino delgado de humanos e outros mamíferos. A lactase é essencial para a digestão completa do leite integral; Ele quebra a lactose, um açúcar que dá ao lei"&amp;"te sua doçura. Na falta de lactase, uma pessoa que consome produtos lácteos pode experimentar os sintomas da intolerância à lactose. A lactase pode ser comprada como suplemento alimentar e é adicionada ao leite para produzir produtos de leite `` lactose -"&amp;" grátis '.")</f>
        <v> A lactase é uma enzima produzida por muitos organismos. Está localizado na borda da escova do intestino delgado de humanos e outros mamíferos. A lactase é essencial para a digestão completa do leite integral; Ele quebra a lactose, um açúcar que dá ao leite sua doçura. Na falta de lactase, uma pessoa que consome produtos lácteos pode experimentar os sintomas da intolerância à lactose. A lactase pode ser comprada como suplemento alimentar e é adicionada ao leite para produzir produtos de leite `` lactose - grátis '.</v>
      </c>
      <c r="I339" s="3" t="str">
        <f>IFERROR(__xludf.DUMMYFUNCTION("GOOGLETRANSLATE(E339)"),"na borda da escova do intestino delgado")</f>
        <v>na borda da escova do intestino delgado</v>
      </c>
    </row>
    <row r="340" ht="15.75" customHeight="1">
      <c r="A340" s="1">
        <v>338.0</v>
      </c>
      <c r="B340" s="3" t="s">
        <v>1245</v>
      </c>
      <c r="C340" s="3" t="s">
        <v>1246</v>
      </c>
      <c r="D340" s="3" t="s">
        <v>1247</v>
      </c>
      <c r="E340" s="3" t="s">
        <v>1248</v>
      </c>
      <c r="F340" s="3" t="str">
        <f>IFERROR(__xludf.DUMMYFUNCTION("GOOGLETRANSLATE(B340)")," Pirâmide de Djoser")</f>
        <v> Pirâmide de Djoser</v>
      </c>
      <c r="G340" s="3" t="str">
        <f>IFERROR(__xludf.DUMMYFUNCTION("GOOGLETRANSLATE(C340)"),"Quando foi a primeira etapa pirâmide construída no Egito")</f>
        <v>Quando foi a primeira etapa pirâmide construída no Egito</v>
      </c>
      <c r="H340" s="3" t="str">
        <f>IFERROR(__xludf.DUMMYFUNCTION("GOOGLETRANSLATE(D340)")," A pirâmide do djoser (ou djeser e zoser), ou pirâmide de etapa (kbhw - ntrw em egípcia) é uma arqueológica que permanece na necrópole de saqqara, no Egito, a noroeste da cidade de Memphis. Foi construído durante o século 27 aC para o enterro do Djoser do"&amp;" Faraó por seu vizir, Imhotep. É a característica central de um vasto complexo mortuário em um enorme pátio cercado por estruturas e decoração cerimoniais.")</f>
        <v> A pirâmide do djoser (ou djeser e zoser), ou pirâmide de etapa (kbhw - ntrw em egípcia) é uma arqueológica que permanece na necrópole de saqqara, no Egito, a noroeste da cidade de Memphis. Foi construído durante o século 27 aC para o enterro do Djoser do Faraó por seu vizir, Imhotep. É a característica central de um vasto complexo mortuário em um enorme pátio cercado por estruturas e decoração cerimoniais.</v>
      </c>
      <c r="I340" s="3" t="str">
        <f>IFERROR(__xludf.DUMMYFUNCTION("GOOGLETRANSLATE(E340)"),"Durante o século 27 aC")</f>
        <v>Durante o século 27 aC</v>
      </c>
    </row>
    <row r="341" ht="15.75" customHeight="1">
      <c r="A341" s="1">
        <v>339.0</v>
      </c>
      <c r="B341" s="3" t="s">
        <v>1249</v>
      </c>
      <c r="C341" s="3" t="s">
        <v>1250</v>
      </c>
      <c r="D341" s="3" t="s">
        <v>1251</v>
      </c>
      <c r="F341" s="3" t="str">
        <f>IFERROR(__xludf.DUMMYFUNCTION("GOOGLETRANSLATE(B341)")," Missouri Compromise")</f>
        <v> Missouri Compromise</v>
      </c>
      <c r="G341" s="3" t="str">
        <f>IFERROR(__xludf.DUMMYFUNCTION("GOOGLETRANSLATE(C341)"),"Que três coisas fizeram o compromisso do Missouri")</f>
        <v>Que três coisas fizeram o compromisso do Missouri</v>
      </c>
      <c r="H341" s="3" t="str">
        <f>IFERROR(__xludf.DUMMYFUNCTION("GOOGLETRANSLATE(D341)")," O compromisso do Missouri foi a legislação que previa a admissão nos Estados Unidos do Maine como um estado livre, juntamente com o Missouri como estado de escravo, mantendo assim o equilíbrio de poder entre o norte e o sul no Senado dos Estados Unidos. "&amp;"Como parte do compromisso, a escravidão foi proibida ao norte do paralelo de 36 ° 30 ', excluindo o Missouri. O 16º Congresso dos Estados Unidos aprovou a legislação em 9 de maio de 1820, e o presidente James Monroe assinou em 6 de março de 1820.")</f>
        <v> O compromisso do Missouri foi a legislação que previa a admissão nos Estados Unidos do Maine como um estado livre, juntamente com o Missouri como estado de escravo, mantendo assim o equilíbrio de poder entre o norte e o sul no Senado dos Estados Unidos. Como parte do compromisso, a escravidão foi proibida ao norte do paralelo de 36 ° 30 ', excluindo o Missouri. O 16º Congresso dos Estados Unidos aprovou a legislação em 9 de maio de 1820, e o presidente James Monroe assinou em 6 de março de 1820.</v>
      </c>
      <c r="I341" s="3" t="str">
        <f>IFERROR(__xludf.DUMMYFUNCTION("GOOGLETRANSLATE(E341)"),"#VALUE!")</f>
        <v>#VALUE!</v>
      </c>
    </row>
    <row r="342" ht="15.75" customHeight="1">
      <c r="A342" s="1">
        <v>340.0</v>
      </c>
      <c r="B342" s="3" t="s">
        <v>1252</v>
      </c>
      <c r="C342" s="3" t="s">
        <v>1253</v>
      </c>
      <c r="D342" s="3" t="s">
        <v>1254</v>
      </c>
      <c r="E342" s="3" t="s">
        <v>1255</v>
      </c>
      <c r="F342" s="3" t="str">
        <f>IFERROR(__xludf.DUMMYFUNCTION("GOOGLETRANSLATE(B342)")," Os contos de Canterbury")</f>
        <v> Os contos de Canterbury</v>
      </c>
      <c r="G342" s="3" t="str">
        <f>IFERROR(__xludf.DUMMYFUNCTION("GOOGLETRANSLATE(C342)"),"Quando os contos de Canterbury foram escritos e em que idioma")</f>
        <v>Quando os contos de Canterbury foram escritos e em que idioma</v>
      </c>
      <c r="H342" s="3" t="str">
        <f>IFERROR(__xludf.DUMMYFUNCTION("GOOGLETRANSLATE(D342)")," The Canterbury Tales (Inglês Médio: Contos de Caunterbury) é uma coleção de 24 andares que custa mais de 17.000 linhas escritas em inglês médio por Geoffrey Chaucer entre 1387 e 1400. Em 1386, Chaucer tornou -se controlador de costumes e justiça da paz e"&amp;", em 1389, secretário da obra do rei. Foi nesses anos que Chaucer começou a trabalhar em seu texto mais famoso, The Canterbury Tales. Os contos (principalmente escritos em verso, embora alguns estejam em prosa) são apresentados como parte de uma história "&amp;"- contando um grupo de peregrinos enquanto viajam juntos em uma jornada de Londres a Canterbury para visitar o Santuário de Saint Thomas Becket em Canterbury Catedral. O prêmio para este concurso é uma refeição gratuita no Tabard Inn em Southwark em seu r"&amp;"etorno.")</f>
        <v> The Canterbury Tales (Inglês Médio: Contos de Caunterbury) é uma coleção de 24 andares que custa mais de 17.000 linhas escritas em inglês médio por Geoffrey Chaucer entre 1387 e 1400. Em 1386, Chaucer tornou -se controlador de costumes e justiça da paz e, em 1389, secretário da obra do rei. Foi nesses anos que Chaucer começou a trabalhar em seu texto mais famoso, The Canterbury Tales. Os contos (principalmente escritos em verso, embora alguns estejam em prosa) são apresentados como parte de uma história - contando um grupo de peregrinos enquanto viajam juntos em uma jornada de Londres a Canterbury para visitar o Santuário de Saint Thomas Becket em Canterbury Catedral. O prêmio para este concurso é uma refeição gratuita no Tabard Inn em Southwark em seu retorno.</v>
      </c>
      <c r="I342" s="3" t="str">
        <f>IFERROR(__xludf.DUMMYFUNCTION("GOOGLETRANSLATE(E342)"),"Escrito em inglês médio por Geoffrey Chaucer entre 1387 e 1400")</f>
        <v>Escrito em inglês médio por Geoffrey Chaucer entre 1387 e 1400</v>
      </c>
    </row>
    <row r="343" ht="15.75" customHeight="1">
      <c r="A343" s="1">
        <v>341.0</v>
      </c>
      <c r="B343" s="3" t="s">
        <v>1256</v>
      </c>
      <c r="C343" s="3" t="s">
        <v>1257</v>
      </c>
      <c r="D343" s="3" t="s">
        <v>1258</v>
      </c>
      <c r="E343" s="3" t="s">
        <v>1259</v>
      </c>
      <c r="F343" s="3" t="str">
        <f>IFERROR(__xludf.DUMMYFUNCTION("GOOGLETRANSLATE(B343)")," Angela Carter")</f>
        <v> Angela Carter</v>
      </c>
      <c r="G343" s="3" t="str">
        <f>IFERROR(__xludf.DUMMYFUNCTION("GOOGLETRANSLATE(C343)"),"Escritor inglês do século XX conhecido por suas obras feministas e mágicas")</f>
        <v>Escritor inglês do século XX conhecido por suas obras feministas e mágicas</v>
      </c>
      <c r="H343" s="3" t="str">
        <f>IFERROR(__xludf.DUMMYFUNCTION("GOOGLETRANSLATE(D343)")," Angela Olive Carter - Pearce (née Stalker; 7 de maio de 1940 - 16 de fevereiro de 1992), que publicou sob o pseudônimo Angela Carter, era uma romancista inglesa, escritora e jornalista, conhecida por seu realismo feminista, mágico e Picaresque Works . El"&amp;"a é mais conhecida por seu livro The Bloody Chamber, publicado em 1979. Em 2008, o Times ficou em décimo Carter em sua lista de `` os 50 maiores escritores britânicos desde 1945 ''. Em 2012, as noites no Circus foram selecionadas como o melhor vencedor de"&amp;" todos os tempos do prêmio James Tait Black Memorial.")</f>
        <v> Angela Olive Carter - Pearce (née Stalker; 7 de maio de 1940 - 16 de fevereiro de 1992), que publicou sob o pseudônimo Angela Carter, era uma romancista inglesa, escritora e jornalista, conhecida por seu realismo feminista, mágico e Picaresque Works . Ela é mais conhecida por seu livro The Bloody Chamber, publicado em 1979. Em 2008, o Times ficou em décimo Carter em sua lista de `` os 50 maiores escritores britânicos desde 1945 ''. Em 2012, as noites no Circus foram selecionadas como o melhor vencedor de todos os tempos do prêmio James Tait Black Memorial.</v>
      </c>
      <c r="I343" s="3" t="str">
        <f>IFERROR(__xludf.DUMMYFUNCTION("GOOGLETRANSLATE(E343)"),"Angela Olive Carter - Pearce")</f>
        <v>Angela Olive Carter - Pearce</v>
      </c>
    </row>
    <row r="344" ht="15.75" customHeight="1">
      <c r="A344" s="1">
        <v>342.0</v>
      </c>
      <c r="B344" s="3" t="s">
        <v>1260</v>
      </c>
      <c r="C344" s="3" t="s">
        <v>1261</v>
      </c>
      <c r="D344" s="3" t="s">
        <v>1262</v>
      </c>
      <c r="E344" s="3" t="s">
        <v>1263</v>
      </c>
      <c r="F344" s="3" t="str">
        <f>IFERROR(__xludf.DUMMYFUNCTION("GOOGLETRANSLATE(B344)")," Polo Magnético Norte")</f>
        <v> Polo Magnético Norte</v>
      </c>
      <c r="G344" s="3" t="str">
        <f>IFERROR(__xludf.DUMMYFUNCTION("GOOGLETRANSLATE(C344)"),"onde você encontrará o Magnético Pólo Norte da Terra")</f>
        <v>onde você encontrará o Magnético Pólo Norte da Terra</v>
      </c>
      <c r="H344" s="3" t="str">
        <f>IFERROR(__xludf.DUMMYFUNCTION("GOOGLETRANSLATE(D344)")," O pólo magnético norte se move ao longo do tempo devido a alterações magnéticas no núcleo da Terra. Em 2001, foi determinado pelo Levantamento Geológico do Canadá para ficar a oeste da ilha de Ellesmere, no norte do Canadá, a 81 ° 18 ′ N 110 ° 48 ′ W / 8"&amp;"1,3 ° N 110,8 ° W / 81,3; - 110,8 (Magnetic North Pólo 2001). Estava situado a 83 ° 06 ′ N 117 ° 48 ′ W / 83,1 ° N 117,8 ° W / 83,1; - 117,8 (Magnetic North Pólo 2005 EST) em 2005. Em 2009, enquanto ainda está situado dentro da reivindicação territorial d"&amp;"o Ártico Canadense a 84 ° 54 ′ N 131 ° 00 ′ W / 84,9 ° N 131,0 ° W / 84,9; - 131.0 (Magnetic North Pólo 2009), estava se movendo em direção à Rússia entre 55 e 60 quilômetros (34 e 37 mi) por ano. A partir de 2017, o pólo deve ter passado além da reivindi"&amp;"cação territorial do Ártico Canadense para 86 ° 30 ′ N 172 ° 36 ′ com 86,5 ° N 172,6 ° W / 86,5; - 172,6 (Magnetic North Pólo 2017 EST).")</f>
        <v> O pólo magnético norte se move ao longo do tempo devido a alterações magnéticas no núcleo da Terra. Em 2001, foi determinado pelo Levantamento Geológico do Canadá para ficar a oeste da ilha de Ellesmere, no norte do Canadá, a 81 ° 18 ′ N 110 ° 48 ′ W / 81,3 ° N 110,8 ° W / 81,3; - 110,8 (Magnetic North Pólo 2001). Estava situado a 83 ° 06 ′ N 117 ° 48 ′ W / 83,1 ° N 117,8 ° W / 83,1; - 117,8 (Magnetic North Pólo 2005 EST) em 2005. Em 2009, enquanto ainda está situado dentro da reivindicação territorial do Ártico Canadense a 84 ° 54 ′ N 131 ° 00 ′ W / 84,9 ° N 131,0 ° W / 84,9; - 131.0 (Magnetic North Pólo 2009), estava se movendo em direção à Rússia entre 55 e 60 quilômetros (34 e 37 mi) por ano. A partir de 2017, o pólo deve ter passado além da reivindicação territorial do Ártico Canadense para 86 ° 30 ′ N 172 ° 36 ′ com 86,5 ° N 172,6 ° W / 86,5; - 172,6 (Magnetic North Pólo 2017 EST).</v>
      </c>
      <c r="I344" s="3" t="str">
        <f>IFERROR(__xludf.DUMMYFUNCTION("GOOGLETRANSLATE(E344)"),"86 ° 30 ′ N 172 ° 36 ′ W / 86,5 ° N 172,6 ° W")</f>
        <v>86 ° 30 ′ N 172 ° 36 ′ W / 86,5 ° N 172,6 ° W</v>
      </c>
    </row>
    <row r="345" ht="15.75" customHeight="1">
      <c r="A345" s="1">
        <v>343.0</v>
      </c>
      <c r="B345" s="3" t="s">
        <v>1264</v>
      </c>
      <c r="C345" s="3" t="s">
        <v>1265</v>
      </c>
      <c r="D345" s="3" t="s">
        <v>1266</v>
      </c>
      <c r="E345" s="3" t="s">
        <v>1267</v>
      </c>
      <c r="F345" s="3" t="str">
        <f>IFERROR(__xludf.DUMMYFUNCTION("GOOGLETRANSLATE(B345)")," Espectro visível")</f>
        <v> Espectro visível</v>
      </c>
      <c r="G345" s="3" t="str">
        <f>IFERROR(__xludf.DUMMYFUNCTION("GOOGLETRANSLATE(C345)"),"Qual é o comprimento da onda da luz verde")</f>
        <v>Qual é o comprimento da onda da luz verde</v>
      </c>
      <c r="H345" s="3" t="str">
        <f>IFERROR(__xludf.DUMMYFUNCTION("GOOGLETRANSLATE(D345)"),"       Frequência de comprimento de onda de cor Violet de energia de fótons 380 - 450 nm 668 - 789 THz 2,75 - 3,26 eV azul 450 - 495 nm 606 - 668 THz 2.50 - 2,75 eV Verde 495 - 570 nm 526 - 606 THz 2.17 - - 2,50 eV Amarelo 570 - 590 nm 508 - 526 THz 2.10 "&amp;"- 2,17 eV Orange 590 - 620 nm 484 - 508 THz 2,00 - 2,10 eV RED 620 - 750 NM 400 - 484 THz 1.65 - 2,00 Ev")</f>
        <v>       Frequência de comprimento de onda de cor Violet de energia de fótons 380 - 450 nm 668 - 789 THz 2,75 - 3,26 eV azul 450 - 495 nm 606 - 668 THz 2.50 - 2,75 eV Verde 495 - 570 nm 526 - 606 THz 2.17 - - 2,50 eV Amarelo 570 - 590 nm 508 - 526 THz 2.10 - 2,17 eV Orange 590 - 620 nm 484 - 508 THz 2,00 - 2,10 eV RED 620 - 750 NM 400 - 484 THz 1.65 - 2,00 Ev</v>
      </c>
      <c r="I345" s="3" t="str">
        <f>IFERROR(__xludf.DUMMYFUNCTION("GOOGLETRANSLATE(E345)"),"495 - 570 nm")</f>
        <v>495 - 570 nm</v>
      </c>
    </row>
    <row r="346" ht="15.75" customHeight="1">
      <c r="A346" s="1">
        <v>344.0</v>
      </c>
      <c r="B346" s="3" t="s">
        <v>1268</v>
      </c>
      <c r="C346" s="3" t="s">
        <v>1269</v>
      </c>
      <c r="D346" s="3" t="s">
        <v>1270</v>
      </c>
      <c r="E346" s="3" t="s">
        <v>1271</v>
      </c>
      <c r="F346" s="3" t="str">
        <f>IFERROR(__xludf.DUMMYFUNCTION("GOOGLETRANSLATE(B346)")," Lista de seca pós -temporada da franquia da Major League Baseball")</f>
        <v> Lista de seca pós -temporada da franquia da Major League Baseball</v>
      </c>
      <c r="G346" s="3" t="str">
        <f>IFERROR(__xludf.DUMMYFUNCTION("GOOGLETRANSLATE(C346)"),"equipes de beisebol que nunca foram para a World Series")</f>
        <v>equipes de beisebol que nunca foram para a World Series</v>
      </c>
      <c r="H346" s="3" t="str">
        <f>IFERROR(__xludf.DUMMYFUNCTION("GOOGLETRANSLATE(D346)"),"   A equipe do Seasons Last Pennant 49 Washington Nationals Never (franquia começou em 1969) 41 Seattle Mariners Never (Franchise começou em 1977) 38 Pittsburgh Pirates 1979 35 Milwaukee Brewers 1982 (nunca ingressou no NL em 1998) 34 Baltimore Orioles 27"&amp;" Cincinnati Reds 1990 27 Oks. 1990 26 Minnesota gêmeos 1991 24 Toronto Blue Jays 1993 19 19 San Diego Padres 1998 18 Atlanta Braves 1999 16 Arizona Diamondbacks 2001 15 Los Angeles Angels 2002 14 Miami Marlins 2003 12 New York Yankees 2005 10 Rockies Colo"&amp;"rado 2007 9 Tamppa Baía Raios 2008 8 8 8 2009.")</f>
        <v>   A equipe do Seasons Last Pennant 49 Washington Nationals Never (franquia começou em 1969) 41 Seattle Mariners Never (Franchise começou em 1977) 38 Pittsburgh Pirates 1979 35 Milwaukee Brewers 1982 (nunca ingressou no NL em 1998) 34 Baltimore Orioles 27 Cincinnati Reds 1990 27 Oks. 1990 26 Minnesota gêmeos 1991 24 Toronto Blue Jays 1993 19 19 San Diego Padres 1998 18 Atlanta Braves 1999 16 Arizona Diamondbacks 2001 15 Los Angeles Angels 2002 14 Miami Marlins 2003 12 New York Yankees 2005 10 Rockies Colorado 2007 9 Tamppa Baía Raios 2008 8 8 8 2009.</v>
      </c>
      <c r="I346" s="3" t="str">
        <f>IFERROR(__xludf.DUMMYFUNCTION("GOOGLETRANSLATE(E346)"),"Washington Nationals")</f>
        <v>Washington Nationals</v>
      </c>
    </row>
    <row r="347" ht="15.75" customHeight="1">
      <c r="A347" s="1">
        <v>345.0</v>
      </c>
      <c r="B347" s="3" t="s">
        <v>1272</v>
      </c>
      <c r="C347" s="3" t="s">
        <v>1273</v>
      </c>
      <c r="D347" s="3" t="s">
        <v>1274</v>
      </c>
      <c r="E347" s="3" t="s">
        <v>1275</v>
      </c>
      <c r="F347" s="3" t="str">
        <f>IFERROR(__xludf.DUMMYFUNCTION("GOOGLETRANSLATE(B347)")," Melhor chamar o Saul")</f>
        <v> Melhor chamar o Saul</v>
      </c>
      <c r="G347" s="3" t="str">
        <f>IFERROR(__xludf.DUMMYFUNCTION("GOOGLETRANSLATE(C347)"),"Quando é melhor ligar para Saul sai na Netflix")</f>
        <v>Quando é melhor ligar para Saul sai na Netflix</v>
      </c>
      <c r="H347" s="3" t="str">
        <f>IFERROR(__xludf.DUMMYFUNCTION("GOOGLETRANSLATE(D347)")," Em dezembro de 2013, a Netflix anunciou que toda a primeira temporada estaria disponível para streaming nos EUA após a exibição do final da primeira temporada e, na América Latina e Europa, cada episódio estaria disponível alguns dias após o ar graus nos"&amp;" EUA No entanto, a primeira temporada não foi lançada na Netflix nos EUA até 1º de fevereiro de 2016.")</f>
        <v> Em dezembro de 2013, a Netflix anunciou que toda a primeira temporada estaria disponível para streaming nos EUA após a exibição do final da primeira temporada e, na América Latina e Europa, cada episódio estaria disponível alguns dias após o ar graus nos EUA No entanto, a primeira temporada não foi lançada na Netflix nos EUA até 1º de fevereiro de 2016.</v>
      </c>
      <c r="I347" s="3" t="str">
        <f>IFERROR(__xludf.DUMMYFUNCTION("GOOGLETRANSLATE(E347)"),"1 de fevereiro de 2016")</f>
        <v>1 de fevereiro de 2016</v>
      </c>
    </row>
    <row r="348" ht="15.75" customHeight="1">
      <c r="A348" s="1">
        <v>346.0</v>
      </c>
      <c r="B348" s="3" t="s">
        <v>1276</v>
      </c>
      <c r="C348" s="3" t="s">
        <v>1277</v>
      </c>
      <c r="D348" s="3" t="s">
        <v>1278</v>
      </c>
      <c r="E348" s="3" t="s">
        <v>1279</v>
      </c>
      <c r="F348" s="3" t="str">
        <f>IFERROR(__xludf.DUMMYFUNCTION("GOOGLETRANSLATE(B348)")," Dialeto de Pequim")</f>
        <v> Dialeto de Pequim</v>
      </c>
      <c r="G348" s="3" t="str">
        <f>IFERROR(__xludf.DUMMYFUNCTION("GOOGLETRANSLATE(C348)"),"Que tipo de chinês eles falam em Pequim")</f>
        <v>Que tipo de chinês eles falam em Pequim</v>
      </c>
      <c r="H348" s="3" t="str">
        <f>IFERROR(__xludf.DUMMYFUNCTION("GOOGLETRANSLATE(D348)")," O dialeto de Pequim (chinês simplificado: 北京 话 话; chinês tradicional: 北京 話; pinyin: běijīnghuà), também conhecido como pecinese, é o dialeto de prestígio de mandarim falado na área urbana de Pequim, China. É a base fonológica do chinês padrão, que é o id"&amp;"ioma oficial na República do Povo da China e na República da China e uma das línguas oficiais em Cingapura.")</f>
        <v> O dialeto de Pequim (chinês simplificado: 北京 话 话; chinês tradicional: 北京 話; pinyin: běijīnghuà), também conhecido como pecinese, é o dialeto de prestígio de mandarim falado na área urbana de Pequim, China. É a base fonológica do chinês padrão, que é o idioma oficial na República do Povo da China e na República da China e uma das línguas oficiais em Cingapura.</v>
      </c>
      <c r="I348" s="3" t="str">
        <f>IFERROR(__xludf.DUMMYFUNCTION("GOOGLETRANSLATE(E348)"),"Mandarim")</f>
        <v>Mandarim</v>
      </c>
    </row>
    <row r="349" ht="15.75" customHeight="1">
      <c r="A349" s="1">
        <v>347.0</v>
      </c>
      <c r="B349" s="3" t="s">
        <v>1280</v>
      </c>
      <c r="C349" s="3" t="s">
        <v>1281</v>
      </c>
      <c r="D349" s="3" t="s">
        <v>1282</v>
      </c>
      <c r="E349" s="3" t="s">
        <v>1283</v>
      </c>
      <c r="F349" s="3" t="str">
        <f>IFERROR(__xludf.DUMMYFUNCTION("GOOGLETRANSLATE(B349)")," Uniforme de treinamento físico")</f>
        <v> Uniforme de treinamento físico</v>
      </c>
      <c r="G349" s="3" t="str">
        <f>IFERROR(__xludf.DUMMYFUNCTION("GOOGLETRANSLATE(C349)"),"O que o PT representa no exército")</f>
        <v>O que o PT representa no exército</v>
      </c>
      <c r="H349" s="3" t="str">
        <f>IFERROR(__xludf.DUMMYFUNCTION("GOOGLETRANSLATE(D349)")," Um uniforme de treinamento físico é um uniforme militar usado durante o exercício, calistenia, exercícios e, em alguns casos, períodos de tempo muito casuais (tempo de folga - tempo de serviço durante o treinamento inicial de entrada no Exército dos EUA,"&amp;" por exemplo). O Exército dos Estados Unidos, o Corpo de Fuzileiros Navais, a Marinha, a Força Aérea e a Guarda Costeira exigem o uso de um uniforme de treinamento físico (PT) durante o exercício da unidade (incluindo exercícios de formação, calistenia e "&amp;"condicionamento). Algumas unidades militares produzem camisetas exclusivas com insígnias e lema unitários e, para eventos especiais, esta camisa faz parte do uniforme. Ocasionalmente, o exercício será realizado nos uniformes de utilidade daquela filial, n"&amp;"ormalmente com a blusa removida e a camiseta exposta (também conhecida como `` botas e utes '').")</f>
        <v> Um uniforme de treinamento físico é um uniforme militar usado durante o exercício, calistenia, exercícios e, em alguns casos, períodos de tempo muito casuais (tempo de folga - tempo de serviço durante o treinamento inicial de entrada no Exército dos EUA, por exemplo). O Exército dos Estados Unidos, o Corpo de Fuzileiros Navais, a Marinha, a Força Aérea e a Guarda Costeira exigem o uso de um uniforme de treinamento físico (PT) durante o exercício da unidade (incluindo exercícios de formação, calistenia e condicionamento). Algumas unidades militares produzem camisetas exclusivas com insígnias e lema unitários e, para eventos especiais, esta camisa faz parte do uniforme. Ocasionalmente, o exercício será realizado nos uniformes de utilidade daquela filial, normalmente com a blusa removida e a camiseta exposta (também conhecida como `` botas e utes '').</v>
      </c>
      <c r="I349" s="3" t="str">
        <f>IFERROR(__xludf.DUMMYFUNCTION("GOOGLETRANSLATE(E349)"),"treinamento físico")</f>
        <v>treinamento físico</v>
      </c>
    </row>
    <row r="350" ht="15.75" customHeight="1">
      <c r="A350" s="1">
        <v>348.0</v>
      </c>
      <c r="B350" s="3" t="s">
        <v>1284</v>
      </c>
      <c r="C350" s="3" t="s">
        <v>1285</v>
      </c>
      <c r="D350" s="3" t="s">
        <v>1286</v>
      </c>
      <c r="E350" s="3" t="s">
        <v>1287</v>
      </c>
      <c r="F350" s="3" t="str">
        <f>IFERROR(__xludf.DUMMYFUNCTION("GOOGLETRANSLATE(B350)")," Ray Park")</f>
        <v> Ray Park</v>
      </c>
      <c r="G350" s="3" t="str">
        <f>IFERROR(__xludf.DUMMYFUNCTION("GOOGLETRANSLATE(C350)"),"que desempenhou o papel de olhos de cobra em Gi Joe")</f>
        <v>que desempenhou o papel de olhos de cobra em Gi Joe</v>
      </c>
      <c r="H350" s="3" t="str">
        <f>IFERROR(__xludf.DUMMYFUNCTION("GOOGLETRANSLATE(D350)")," Raymond `` Ray '' Park (nascido em 23 de agosto de 1974) é um ator, autor e artista marcial escocês. Ele é mais conhecido por interpretar Darth Maul em Star Wars: Episódio I - The Phantom Menace, sapo em X -Men, Snake - Olhos em G.I. Joe: A ascensão de C"&amp;"obra e G.I. Joe: retaliação e Edgar em heróis.")</f>
        <v> Raymond `` Ray '' Park (nascido em 23 de agosto de 1974) é um ator, autor e artista marcial escocês. Ele é mais conhecido por interpretar Darth Maul em Star Wars: Episódio I - The Phantom Menace, sapo em X -Men, Snake - Olhos em G.I. Joe: A ascensão de Cobra e G.I. Joe: retaliação e Edgar em heróis.</v>
      </c>
      <c r="I350" s="3" t="str">
        <f>IFERROR(__xludf.DUMMYFUNCTION("GOOGLETRANSLATE(E350)"),"Raymond `` ray '' parque")</f>
        <v>Raymond `` ray '' parque</v>
      </c>
    </row>
    <row r="351" ht="15.75" customHeight="1">
      <c r="A351" s="1">
        <v>349.0</v>
      </c>
      <c r="B351" s="3" t="s">
        <v>1288</v>
      </c>
      <c r="C351" s="3" t="s">
        <v>1289</v>
      </c>
      <c r="D351" s="3" t="s">
        <v>1290</v>
      </c>
      <c r="E351" s="3" t="s">
        <v>1291</v>
      </c>
      <c r="F351" s="3" t="str">
        <f>IFERROR(__xludf.DUMMYFUNCTION("GOOGLETRANSLATE(B351)")," Lista de campeões de singles de Grand Slam Men")</f>
        <v> Lista de campeões de singles de Grand Slam Men</v>
      </c>
      <c r="G351" s="3" t="str">
        <f>IFERROR(__xludf.DUMMYFUNCTION("GOOGLETRANSLATE(C351)"),"que ganhou os títulos de tênis mais grand slam solteiros")</f>
        <v>que ganhou os títulos de tênis mais grand slam solteiros</v>
      </c>
      <c r="H351" s="3" t="str">
        <f>IFERROR(__xludf.DUMMYFUNCTION("GOOGLETRANSLATE(D351)"),"   Jogador de classificação Total anos Australian Open Open Wimbledon US Open Roger Federer 20 2003 - 2018 6 8 5 Rafael Nadal 16 2005 - 2017 10 Pete Sampras 14 1990 - 2002 0 7 5 Roy Emerson 12 1961 - 1967 6 Novak Djokovic 12 2008 - 2016 6 6 Rod Laver 11 1"&amp;"960 - 1969 Björn Borg 11 1974 - 1981 0 6 5 0 8 Bill Tilden 10 1920 - 1930 0 0 7 9 Fred Perry 8 1933 - 1936 Ken Rosewall 8 1953 - 1972 0 Jimmy Connors 8 1974 - 1983 0 5 Ivan Lendl 8 1984 - 1990 0 Andre Agassi 8 1992 - 2003 14 Richard Sears 7 1881 - 1887 0 "&amp;"0 7 William Renshaw 7 1881 - 1889 0 0 7 0 William Larned 7 1901 - 1911 0 0 0 7 René Lacoste 7 1925 - 1929 0 Henri Cochet 7 1926 - 1932 0 John Newcombe 7 1967 - 1975 0 John McEnroe 7 1979 - 1984 0 0 Mats Wilander 7 1982 - 1988 0 0 22 Laurence Doherty 6 190"&amp;"2 - 1906 0 0 5 Tony Wilding 6 1906 - 1913 0 0 Jack Crawford 6 1931 - 1935 0 Don Budge 6 1937 - 1938 Stefan Edberg 6 1985 - 1992 0 Boris Becker 6 1985 - 1996 0 28 Frank Sedgman 5 1949 - 1952 0 Tony Trabert 5 1953 - 1955 0")</f>
        <v>   Jogador de classificação Total anos Australian Open Open Wimbledon US Open Roger Federer 20 2003 - 2018 6 8 5 Rafael Nadal 16 2005 - 2017 10 Pete Sampras 14 1990 - 2002 0 7 5 Roy Emerson 12 1961 - 1967 6 Novak Djokovic 12 2008 - 2016 6 6 Rod Laver 11 1960 - 1969 Björn Borg 11 1974 - 1981 0 6 5 0 8 Bill Tilden 10 1920 - 1930 0 0 7 9 Fred Perry 8 1933 - 1936 Ken Rosewall 8 1953 - 1972 0 Jimmy Connors 8 1974 - 1983 0 5 Ivan Lendl 8 1984 - 1990 0 Andre Agassi 8 1992 - 2003 14 Richard Sears 7 1881 - 1887 0 0 7 William Renshaw 7 1881 - 1889 0 0 7 0 William Larned 7 1901 - 1911 0 0 0 7 René Lacoste 7 1925 - 1929 0 Henri Cochet 7 1926 - 1932 0 John Newcombe 7 1967 - 1975 0 John McEnroe 7 1979 - 1984 0 0 Mats Wilander 7 1982 - 1988 0 0 22 Laurence Doherty 6 1902 - 1906 0 0 5 Tony Wilding 6 1906 - 1913 0 0 Jack Crawford 6 1931 - 1935 0 Don Budge 6 1937 - 1938 Stefan Edberg 6 1985 - 1992 0 Boris Becker 6 1985 - 1996 0 28 Frank Sedgman 5 1949 - 1952 0 Tony Trabert 5 1953 - 1955 0</v>
      </c>
      <c r="I351" s="3" t="str">
        <f>IFERROR(__xludf.DUMMYFUNCTION("GOOGLETRANSLATE(E351)"),"Roger Federer")</f>
        <v>Roger Federer</v>
      </c>
    </row>
    <row r="352" ht="15.75" customHeight="1">
      <c r="A352" s="1">
        <v>350.0</v>
      </c>
      <c r="B352" s="3" t="s">
        <v>1292</v>
      </c>
      <c r="C352" s="3" t="s">
        <v>1293</v>
      </c>
      <c r="D352" s="3" t="s">
        <v>1294</v>
      </c>
      <c r="E352" s="3" t="s">
        <v>1295</v>
      </c>
      <c r="F352" s="3" t="str">
        <f>IFERROR(__xludf.DUMMYFUNCTION("GOOGLETRANSLATE(B352)")," Halloween (filme de 1978)")</f>
        <v> Halloween (filme de 1978)</v>
      </c>
      <c r="G352" s="3" t="str">
        <f>IFERROR(__xludf.DUMMYFUNCTION("GOOGLETRANSLATE(C352)"),"que interpretou o jovem Michael Myers no Halloween 1978")</f>
        <v>que interpretou o jovem Michael Myers no Halloween 1978</v>
      </c>
      <c r="H352" s="3" t="str">
        <f>IFERROR(__xludf.DUMMYFUNCTION("GOOGLETRANSLATE(D352)")," Nick Castle como Michael Myers / The Shape Tony Moran como Michael Myers (desmascarado) Will Sandin como Michael Myers (6 anos)")</f>
        <v> Nick Castle como Michael Myers / The Shape Tony Moran como Michael Myers (desmascarado) Will Sandin como Michael Myers (6 anos)</v>
      </c>
      <c r="I352" s="3" t="str">
        <f>IFERROR(__xludf.DUMMYFUNCTION("GOOGLETRANSLATE(E352)"),"Will Sandin")</f>
        <v>Will Sandin</v>
      </c>
    </row>
    <row r="353" ht="15.75" customHeight="1">
      <c r="A353" s="1">
        <v>351.0</v>
      </c>
      <c r="B353" s="3" t="s">
        <v>1296</v>
      </c>
      <c r="C353" s="3" t="s">
        <v>1297</v>
      </c>
      <c r="D353" s="3" t="s">
        <v>1298</v>
      </c>
      <c r="E353" s="3" t="s">
        <v>1299</v>
      </c>
      <c r="F353" s="3" t="str">
        <f>IFERROR(__xludf.DUMMYFUNCTION("GOOGLETRANSLATE(B353)")," Sol do seu amor")</f>
        <v> Sol do seu amor</v>
      </c>
      <c r="G353" s="3" t="str">
        <f>IFERROR(__xludf.DUMMYFUNCTION("GOOGLETRANSLATE(C353)"),"Quem cantou os vocais líderes no sol do seu amor")</f>
        <v>Quem cantou os vocais líderes no sol do seu amor</v>
      </c>
      <c r="H353" s="3" t="str">
        <f>IFERROR(__xludf.DUMMYFUNCTION("GOOGLETRANSLATE(D353)")," `` Sunshine of Your Love '' é uma música de 1967 da British Rock Band Cream. Com elementos de Hard Rock, Psychedelia e Pop, é uma das músicas mais conhecidas e mais populares de Cream. O baixista de creme e vocalista Jack Bruce baseou -o em um riff de ba"&amp;"ixo distinto, ou frase musical repetida, ele se desenvolveu depois de assistir a um concerto de Jimi Hendrix. O guitarrista Eric Clapton e o letrista Pete Brown mais tarde contribuíram para a música. O engenheiro de gravação Tom Dowd sugeriu o arranjo do "&amp;"ritmo no qual o baterista Ginger Baker interpreta um ritmo distinto de Tom - Tom Drum, embora Baker tenha afirmado que era sua idéia.")</f>
        <v> `` Sunshine of Your Love '' é uma música de 1967 da British Rock Band Cream. Com elementos de Hard Rock, Psychedelia e Pop, é uma das músicas mais conhecidas e mais populares de Cream. O baixista de creme e vocalista Jack Bruce baseou -o em um riff de baixo distinto, ou frase musical repetida, ele se desenvolveu depois de assistir a um concerto de Jimi Hendrix. O guitarrista Eric Clapton e o letrista Pete Brown mais tarde contribuíram para a música. O engenheiro de gravação Tom Dowd sugeriu o arranjo do ritmo no qual o baterista Ginger Baker interpreta um ritmo distinto de Tom - Tom Drum, embora Baker tenha afirmado que era sua idéia.</v>
      </c>
      <c r="I353" s="3" t="str">
        <f>IFERROR(__xludf.DUMMYFUNCTION("GOOGLETRANSLATE(E353)"),"Jack Bruce")</f>
        <v>Jack Bruce</v>
      </c>
    </row>
    <row r="354" ht="15.75" customHeight="1">
      <c r="A354" s="1">
        <v>352.0</v>
      </c>
      <c r="B354" s="3" t="s">
        <v>1300</v>
      </c>
      <c r="C354" s="3" t="s">
        <v>1301</v>
      </c>
      <c r="D354" s="3" t="s">
        <v>1302</v>
      </c>
      <c r="E354" s="3" t="s">
        <v>1303</v>
      </c>
      <c r="F354" s="3" t="str">
        <f>IFERROR(__xludf.DUMMYFUNCTION("GOOGLETRANSLATE(B354)")," 2017 - 18 temporada da NBA")</f>
        <v> 2017 - 18 temporada da NBA</v>
      </c>
      <c r="G354" s="3" t="str">
        <f>IFERROR(__xludf.DUMMYFUNCTION("GOOGLETRANSLATE(C354)"),"Quando a temporada regular da NBA começa em 2017")</f>
        <v>Quando a temporada regular da NBA começa em 2017</v>
      </c>
      <c r="H354" s="3" t="str">
        <f>IFERROR(__xludf.DUMMYFUNCTION("GOOGLETRANSLATE(D354)")," A temporada de 2017 - 18 da NBA é a 72ª temporada da National Basketball Association (NBA). A temporada regular começou em 17 de outubro de 2017, mais cedo do que as temporadas anteriores para reduzir o número de equipes de jogos `` de volta - para trás "&amp;"'' estão programadas para jogar, com os corredores de 2017 - o Cleveland Cavaliers hospedando um jogo contra o Boston Celtics na Quicken Loans Arena, em Cleveland, Ohio. Os jogos de Natal serão disputados em 25 de dezembro. O jogo NBA All - Star 2018 será"&amp;" disputado em 18 de fevereiro de 2018, no Staples Center em Los Angeles, Califórnia. A temporada regular terminará em 11 de abril de 2018 e os playoffs começarão em 14 de abril de 2018.")</f>
        <v> A temporada de 2017 - 18 da NBA é a 72ª temporada da National Basketball Association (NBA). A temporada regular começou em 17 de outubro de 2017, mais cedo do que as temporadas anteriores para reduzir o número de equipes de jogos `` de volta - para trás '' estão programadas para jogar, com os corredores de 2017 - o Cleveland Cavaliers hospedando um jogo contra o Boston Celtics na Quicken Loans Arena, em Cleveland, Ohio. Os jogos de Natal serão disputados em 25 de dezembro. O jogo NBA All - Star 2018 será disputado em 18 de fevereiro de 2018, no Staples Center em Los Angeles, Califórnia. A temporada regular terminará em 11 de abril de 2018 e os playoffs começarão em 14 de abril de 2018.</v>
      </c>
      <c r="I354" s="3" t="str">
        <f>IFERROR(__xludf.DUMMYFUNCTION("GOOGLETRANSLATE(E354)"),"17 de outubro de 2017")</f>
        <v>17 de outubro de 2017</v>
      </c>
    </row>
    <row r="355" ht="15.75" customHeight="1">
      <c r="A355" s="1">
        <v>353.0</v>
      </c>
      <c r="B355" s="3" t="s">
        <v>1304</v>
      </c>
      <c r="C355" s="3" t="s">
        <v>1305</v>
      </c>
      <c r="D355" s="3" t="s">
        <v>1306</v>
      </c>
      <c r="F355" s="3" t="str">
        <f>IFERROR(__xludf.DUMMYFUNCTION("GOOGLETRANSLATE(B355)")," Versões internacionais da roda da fortuna")</f>
        <v> Versões internacionais da roda da fortuna</v>
      </c>
      <c r="G355" s="3" t="str">
        <f>IFERROR(__xludf.DUMMYFUNCTION("GOOGLETRANSLATE(C355)"),"Quantas rodas da fortuna existem em todo o mundo")</f>
        <v>Quantas rodas da fortuna existem em todo o mundo</v>
      </c>
      <c r="H355" s="3" t="str">
        <f>IFERROR(__xludf.DUMMYFUNCTION("GOOGLETRANSLATE(D355)"),"   Nome da região ou country Local Hosts Hostess Datas da rede Argentina Tiempo límite ATP Gerardo Sofovich América TV 2001 Roda da Fortune da Fortune Ernie Sigley (1981 - 84) John Burgess (1984 - 96) Tony Barber (1996) Rob Elliott (1997 - 2003 ) Steve Oe"&amp;"mcke (2004 - 05) Larry Emdur (2006) Adriana Xenides (1981 - 96, 1997 - 99) Kerrie Friend (1996 - 97) Sophie Falkerer (1999 - 2005) Laura Csortan (2006) Seven Network) 21 de julho de 1981 - 2004 Novembro de 2005 - 28 de julho de 2006 Milhões de dólares da "&amp;"fortuna Tim Campbell Kelly Landry Nine Rede 26 de maio de 2008 - 27 de junho de 2008 Bélgica (Flanders) Rad van fortuin (NL) Mike Verdrengh (NL ) Walter Capiau (NL) Bart Kaëll Walter Grootaers (NL; Fr) Koen Wauters Luc Appermont Bart van den Bossche Auror"&amp;"e Be Els Deborah Valerie e Zoe Brt Vtm Canvas 1989 - 97 2004 - 06 Brasil Roletrando (PT) Roda a Roda ( pt )   Silvio Santos Patricia Abravanel   Patricia Salvador Cláudia Barone   SBT   August 23 , 1981 -- September 26 , 1993 October 13 , 2003 -- present "&amp;"    Bulgaria   Колелото на късмета ( bg ) Koleloto na kasmeta   Rumen Lukanov   Jasmina Toshkova   Nova TV   January 18 , 2010     Canada ( Quebec) La Roue Chanceuse (FR) Donald Lautrec Lyne Sarrazin TQs em 1 de maio de 1989 - 1992 Chile La Rueda de la Fo"&amp;"rtuna (ES) Rodolfo Torrealba Canal 13 1978 - 79 Colombia La Rueda de Laurna Mauro Urquiojo Gonloo Vivancho TV RCN 1998 - 99 2012 - 13 Croácia Kolo Sreće Oliver Mlakar (1993 - 2002) Boris Mirković (2015 -) Maja Vracaric (1993 - 2002) Iva Jerković (2015 -) "&amp;"Hrt1 (1993 - 2002) RTL Televisija (2015 -) 1993 - 2002 18 de maio de 2015 - atual República Tcheca Kolotoč Pavel Poulicek Dalibor Gondik Honza Musil Adela Gondikova Radka Ruster TV Nova 1997 - 2002 Dinamarca Lykkkehjulet Michael Meyer (1988) - 96, 1997 - "&amp;"2000) Keld Heick (1996 - 97) Lars Herlow (2000 - 01) Pia Dresner (1988) Carina Jensen (1989 - 94) Maria Millet (1995 - 2001) TV2 1 de outubro de 1988 - 2001 Ecuador la Rueda de la Fortuna Pancho Cabanilla Ecuavisa 2004- Apresentando o Egito egypt} الحياة "&amp;"Dayret Al Hayat Kareem Kojak Heba Sameer Goudah Hayat, 2 de agosto de 19, 2012- 2013 Estonia Õnneratas Supuraspävävik emill Rúsicas de 2012- 2013 Estonia Õnneratas. (2011 - 12) Kristjan Jõekalda (2012 - 13) TV3 (1999 - 2000) Kanal 2 (2011 - 13) 1999 - 200"&amp;"0 2011 - 13 Finlândia Onnenpyörä (Fi) Jethro Rosted (FI) (2018) Piso Kim (FI; DE) (1993) Janne Porkka (FI) (1993 - 2001) Tiina Vierto (1993 - 1995) Susan Sirén (1995 - 1998) Kati Jalojärvi (1998 - 1999) Saija Palin (1999 - 2001) La Roue de la Fortune Mich"&amp;"el Robbe (1987) Christian Morin (1987 - 92) Alexandre Debanne (1993 - 94) Olivier Chiabodo (1995 - 97) Christophe Dechavanne (2006 - 12) Benjamin Casaldi (janeiro - março de 2012 ) Annie Pujol (1987 - 94) Sandra Rossi (1995) Frederique Calvez (1995 - 97) "&amp;"Victoria Silvstedt (2006 - 12) Valerie Begue (janeiro - março de 2012) TF1 5 de janeiro de 1987 - abril de 1997 , 2006 - 23 de março de 2012 Geórgia იღბლიანი ბორბალი Igbliani borbali duta skhirtladze Vaniko Tarkhnishvili Shorena Begashvili Rustavi 2 de ma"&amp;"rço de 2011 - Apresenta a Alemanha Glücksad (De) Frederic Meisner (de) Peter Bond (de) Maren Gilzer (de) Sath.) 1 de novembro de 1988 - 15 de maio de 1998 Frederic Meisner (1998 - 2001) Thomas Ohrner (2001 - 2002) Sonya Kraus (1998 - 2002) Katrin Wrobel ("&amp;"DE) (2002) Kabel Eins, 18 de maio de 1998 - - 31 de outubro de 2002 Frederic Meisner Ramona Drews 9 Live 1 de março de 2004 - 5 de março de 2005 Jan Hahn (de) Isabel Edvardson RtlPlus 17 de outubro de 2016 - Apresentado Kinder - Glücksrad Petra Hausberg N"&amp;"o Hostess Sat. 1 de maio de 1992 - 1993 Glücksrad - Gala Peter Bond e Frederic Meisner Maren Gilzer e Gundis Zambo 1993 - 96 Grécia Chipre ο τροχός της τύχης O TROKÓS TIS TIS TUKIS GEORGE Artsonna Julia Nova ANT1 MEGA Star Channel   1990 -- 96 1997 -- 98 "&amp;"2015 -- present     Hungary   Szerencsekerék ( hu )   Tamás Gajdos ( hu ) Viktor Klausmann ( hu ) Vizy András Dóra Prokopp ( hu ) Andrea Szulák ( hu ; de )   Rácz Zsuzsi   MTV1 TV2 Story4TV 1993 - 97 1997 - 2001 2011 - 12 Roda de surf da Índia da Fortune "&amp;"Mohan Kapoor Zee TV 1995 - 97 Indonésia Roda Impian (ID) Pilih Atau Dia Charles Bonar Sirait Vicki (2001 - 02) Ike (2002) SCTV AntV Indosiar 6 de agosto de 2001 - 2 de agosto de 2002 2003 - 29 de julho de 2005 2 de janeiro de 2006 - 3 de março de 2006 Isr"&amp;"ael גלגל המזל Galgal Hamazal (He) Erez Tal Gil Sassover (He) Efrat Rotem Meirav Levin Galit Burg ( ele) Ruth Gonzales (He) Ingrid Feldman (He) Tal Man (He) Sigal Shachmon Anat Elimelech Channel 2 1994 - 2000 Itália La Ruota della Fortuna Mike Bongiorno (1"&amp;"985, 1989 - 2003) Casti (1987 - 88) Enrico Papi (2007 - 09) Raffaella de Riso (1987 - 88) Michelle Klippenstein (1988) Ylenia Carrisi (1989, 1992) Paola Barale (1989 - 95) Roberta Capua (1995) Antonella (1995 - 96) Claudia) Grego (1996 - 97) Ana Laura Rib"&amp;"as (1997) Miriana Trevisan (1997 - 2002) Nancy Comelli (2002 - 03) Victoria Silvstedt (2007 - 09) Canale 5 (1985) Odeon TV (1987 - 88) RETE 4 (1989 -2003) Italia 1 (2007 -09) 1985 em setembro de 1987 -1988 1989 -2003 2007 -09 Lituânia laimės ratas dos ano"&amp;"s 90 Macedonia iada 11 Malaysia Roda Impian Halim Othman (1996 - 2002) Hani Mohsin (2002 - 06) Kieran (2009) Zalda Zainal Abby Abadi Spelli Liza AF1 Irma Hasmie Fauziah Gous Astro Ria TV3 1996 2006 2009 México lauuua de laura Flores Anastasia Canal de Las"&amp;" Estrellas 1995 - 97 Holanda Rad Van fortuin (NL) Hans van der Togt (NL) Carlo Boszhard Andre Hazes Jr. (2016) Leontine Borsato (NL) Patricia Rietveld Cindy Pielstroom Stephanie Tency (FY; NL) (2016) RTL 4 SBS 6 1989 - 98 2009 22 de agosto de 2016 - 27 de"&amp;" julho de 2017 Roda da Fortune da Fortune Leishman Jason Gunn Gunn Gunn Lana COC - Kroft Sonia Gray TV2 TV em fevereiro de 1991 - 1996 14 de abril de 2008 - 2 de maio de 2009 Noruega Lykkehjulet (NO; SV) Ragnar Otnes (NO) Knut Bjørnsen Vendela Kirsebom Ul"&amp;"rika Nilsson Lise Nilsen TV3 1990 26, 2007 Panamá La Rueda de la Fortuna Rassiel Rodriguez Jorge Ortega Nadage Herrera Telemetro 2001 2011 Peru la Ruleta de la Suerte Christian Rivero Gisela Valcarcel Frecuencia Latina 2011 - 12 Filipinas Rustane Padella "&amp;"Kris Aquinom Victoria London Londres 5 ABS - CBN 19 de novembro de 2001 - outubro de 2002, 14 de janeiro de 2008 - 25 de julho de 2008 Polônia Koło Fortuny Wojciech Pijanowski (1992 - 95) Paweł Wawrzecki (1995) Stanisław Mikulski (1995 - 98) Krzysztof Tyn"&amp;"yiCi (1995) 2007 - 09) Rafał Brzozowski (2017 - presente) Magda Masny (1992 - 98) Marta Lewandowska (2007 - 09) Izabella Krzan (2017 - presente) TVP2 2 de outubro de 1992 - 1 de setembro de 1998 29 de outubro 29 , 2007 - 27 de outubro de 2009 11 de setemb"&amp;"ro de 2017 - Presente Portugal A Roda da Strene (PT) Herman José Ruth e Rita Candido Mota Vanessa Palma (PT) RTP1 SIC 1990 - 94 2008 Romania roata norocului doritrescu mihai calin (2008 1997 - 99) Liviu Varciu (2012 - 13) (Adrian Cristea) Bursucu (2015 - "&amp;"presente) Cristiana Ruduta Ana Maria Barnoschi TVR1 Pro TV Kanal d em março de 1997 П п п п п п ч ч ч ч ч ч ч ч ч ч ч ч ч чеnders pózas de vladislav listyev (1990 - 91) Leonid Yakubovich (1991 - presente) Valdis Pelsh (25 de dezembro de 2002) Rimma Agafos"&amp;"hina (1991 - presente) Vid 1TV, 25 de outubro, 1990 - SERBIA SERBIA KOLOREE MORRAD) Vučelić TV HAPPY 2015 - Apresenta Cingapura Wheel of Fortune Singapore Bernard Lim Eunice Olsen MediaCorp Channel 5 8 de maio de 2002 Eslováquia Kolesso Šťastia Jozef Proč"&amp;"ko Tibor Hlista Roman Feders Laco Híveš Roman POMOVJBO Peter Marcin Luká July 25 , 2016 -- January 23 , 2017     Slovenia   Kolo sreče   Mito Trefalt   Damjana Golavšek   TV SLO1   1990s     Spain   La ruleta de la fortuna La ruleta de la suerte   Mayra G"&amp;"ómez Kemp Ramón García Irma Soriano Bigote Arrocet Mabel Lozano Belén Rueda Fernando Esteso Jesús Vázquez Andoni Ferreño Goyo González Carlos Lozano Jorge Hernandez Diana Fernandez (1991 - 97) Paloma Lopez (2006 - 15) Laura Moure (2015 - presente) Antena "&amp;"3 Telecinco Antena 3 1990 - 92 1993 - 97 2006 - Apresentando o sudoeste Lykkehjjulet. Sv; NÃO) MILJONLOTTERIET LYCKOHJULET RAGNAR OTNES HANS WIKLUND ULRIKA NILSSON HANNAH GRAAF TV3 TV8 TURKEIRA DO EM TURKEIRO DECRIMENTOS MUNZ ümit Güner Tarık Tarcan Halit"&amp;" Kıvançante Yılzo Mehmet Ali Erbila Oğlu Arto Hamdi Alkan Petek Dinçöz İlker Ayrık Trt TRT 2 Show TV Cine5 Kanal D eko TV Super Kanal Tgrt Atv Kanal 1 Fox Türkiye Star TV TNT TNT Türkiye Kanal d 1975 - 92 1986 - 92 1992 - 96, 2005 - 06 1993 - 96 1997 - 20"&amp;"03 1997 - 2000 2000 2000 - 03 2003 - 04 2007 - 08 2008 - 09 2011 - 12 2014 - Apresentando o ATAMAN ERKUL KANAL D 2000 REINO UNIDO DO REINO DO FORTUNE Nicky Campbell (1988 - 96) Bradley Walsh (1997) John Leslie ( 1998 - 2001) Paul Hendy (2001) Angela Ekaet"&amp;"te (1988) Carol Smillie (1989 - 94) Jenny Powell (1995 - 2001) Terri Seymour (2001) ITV 19 de julho de 1988 - 21 de dezembro de 2001 Estados Unidos Canadá (Inglês) Wheel of Fortune Chuck Woolery (1975 - 81) Pat Sajak (1981 - 89) Rolf Benirschke (1989) Bob"&amp;" Goen (1989 - 91) Susan Stafford (1975 - 82) Vanna White (1982 - 91 ) NBC (1975 - 89, 1991) CBS (1989 - 91) 6 de janeiro de 1975 - 30 de junho de 1989 17 de julho de 1989 - 20 de setembro de 1991 Pat Sajak Vanna White Sindication 19 de setembro de 1983 - "&amp;"roda atual 2000 David Sidoni Tanika Ray (como `` Cyber ​​Lucy '') CBS 13 de setembro de 1997 - 7 de fevereiro de 1998 Venezuela La Estrella de La Fortuna Orlando Urdaneta Corina Azopedo Luis Velázco Juan Manuel Montesinos Maru Winkemann) Kỳ Diệu (VI) Lại "&amp;"Văn Sâm (Primeiro show em 2001) Trịnh Long Vũ (2001 - 06) Tuấn Tú (2006 - 13) DANH TùNG (2014 - 15) Bùi ​​ức Bảo (2015 - 2016) Ph. (2001 - 03) Hương Giang (2003 - 06) Maika (2007 - 09, semelhante ao Wheel 2000 nos EUA) Hồng Nhung (2009 - 2016) VTV3 31 de "&amp;"março de 2001 - 24 de dezembro de 2016")</f>
        <v>   Nome da região ou country Local Hosts Hostess Datas da rede Argentina Tiempo límite ATP Gerardo Sofovich América TV 2001 Roda da Fortune da Fortune Ernie Sigley (1981 - 84) John Burgess (1984 - 96) Tony Barber (1996) Rob Elliott (1997 - 2003 ) Steve Oemcke (2004 - 05) Larry Emdur (2006) Adriana Xenides (1981 - 96, 1997 - 99) Kerrie Friend (1996 - 97) Sophie Falkerer (1999 - 2005) Laura Csortan (2006) Seven Network) 21 de julho de 1981 - 2004 Novembro de 2005 - 28 de julho de 2006 Milhões de dólares da fortuna Tim Campbell Kelly Landry Nine Rede 26 de maio de 2008 - 27 de junho de 2008 Bélgica (Flanders) Rad van fortuin (NL) Mike Verdrengh (NL ) Walter Capiau (NL) Bart Kaëll Walter Grootaers (NL; Fr) Koen Wauters Luc Appermont Bart van den Bossche Aurore Be Els Deborah Valerie e Zoe Brt Vtm Canvas 1989 - 97 2004 - 06 Brasil Roletrando (PT) Roda a Roda ( pt )   Silvio Santos Patricia Abravanel   Patricia Salvador Cláudia Barone   SBT   August 23 , 1981 -- September 26 , 1993 October 13 , 2003 -- present     Bulgaria   Колелото на късмета ( bg ) Koleloto na kasmeta   Rumen Lukanov   Jasmina Toshkova   Nova TV   January 18 , 2010     Canada ( Quebec) La Roue Chanceuse (FR) Donald Lautrec Lyne Sarrazin TQs em 1 de maio de 1989 - 1992 Chile La Rueda de la Fortuna (ES) Rodolfo Torrealba Canal 13 1978 - 79 Colombia La Rueda de Laurna Mauro Urquiojo Gonloo Vivancho TV RCN 1998 - 99 2012 - 13 Croácia Kolo Sreće Oliver Mlakar (1993 - 2002) Boris Mirković (2015 -) Maja Vracaric (1993 - 2002) Iva Jerković (2015 -) Hrt1 (1993 - 2002) RTL Televisija (2015 -) 1993 - 2002 18 de maio de 2015 - atual República Tcheca Kolotoč Pavel Poulicek Dalibor Gondik Honza Musil Adela Gondikova Radka Ruster TV Nova 1997 - 2002 Dinamarca Lykkkehjulet Michael Meyer (1988) - 96, 1997 - 2000) Keld Heick (1996 - 97) Lars Herlow (2000 - 01) Pia Dresner (1988) Carina Jensen (1989 - 94) Maria Millet (1995 - 2001) TV2 1 de outubro de 1988 - 2001 Ecuador la Rueda de la Fortuna Pancho Cabanilla Ecuavisa 2004- Apresentando o Egito egypt} الحياة Dayret Al Hayat Kareem Kojak Heba Sameer Goudah Hayat, 2 de agosto de 19, 2012- 2013 Estonia Õnneratas Supuraspävävik emill Rúsicas de 2012- 2013 Estonia Õnneratas. (2011 - 12) Kristjan Jõekalda (2012 - 13) TV3 (1999 - 2000) Kanal 2 (2011 - 13) 1999 - 2000 2011 - 13 Finlândia Onnenpyörä (Fi) Jethro Rosted (FI) (2018) Piso Kim (FI; DE) (1993) Janne Porkka (FI) (1993 - 2001) Tiina Vierto (1993 - 1995) Susan Sirén (1995 - 1998) Kati Jalojärvi (1998 - 1999) Saija Palin (1999 - 2001) La Roue de la Fortune Michel Robbe (1987) Christian Morin (1987 - 92) Alexandre Debanne (1993 - 94) Olivier Chiabodo (1995 - 97) Christophe Dechavanne (2006 - 12) Benjamin Casaldi (janeiro - março de 2012 ) Annie Pujol (1987 - 94) Sandra Rossi (1995) Frederique Calvez (1995 - 97) Victoria Silvstedt (2006 - 12) Valerie Begue (janeiro - março de 2012) TF1 5 de janeiro de 1987 - abril de 1997 , 2006 - 23 de março de 2012 Geórgia იღბლიანი ბორბალი Igbliani borbali duta skhirtladze Vaniko Tarkhnishvili Shorena Begashvili Rustavi 2 de março de 2011 - Apresenta a Alemanha Glücksad (De) Frederic Meisner (de) Peter Bond (de) Maren Gilzer (de) Sath.) 1 de novembro de 1988 - 15 de maio de 1998 Frederic Meisner (1998 - 2001) Thomas Ohrner (2001 - 2002) Sonya Kraus (1998 - 2002) Katrin Wrobel (DE) (2002) Kabel Eins, 18 de maio de 1998 - - 31 de outubro de 2002 Frederic Meisner Ramona Drews 9 Live 1 de março de 2004 - 5 de março de 2005 Jan Hahn (de) Isabel Edvardson RtlPlus 17 de outubro de 2016 - Apresentado Kinder - Glücksrad Petra Hausberg No Hostess Sat. 1 de maio de 1992 - 1993 Glücksrad - Gala Peter Bond e Frederic Meisner Maren Gilzer e Gundis Zambo 1993 - 96 Grécia Chipre ο τροχός της τύχης O TROKÓS TIS TIS TUKIS GEORGE Artsonna Julia Nova ANT1 MEGA Star Channel   1990 -- 96 1997 -- 98 2015 -- present     Hungary   Szerencsekerék ( hu )   Tamás Gajdos ( hu ) Viktor Klausmann ( hu ) Vizy András Dóra Prokopp ( hu ) Andrea Szulák ( hu ; de )   Rácz Zsuzsi   MTV1 TV2 Story4TV 1993 - 97 1997 - 2001 2011 - 12 Roda de surf da Índia da Fortune Mohan Kapoor Zee TV 1995 - 97 Indonésia Roda Impian (ID) Pilih Atau Dia Charles Bonar Sirait Vicki (2001 - 02) Ike (2002) SCTV AntV Indosiar 6 de agosto de 2001 - 2 de agosto de 2002 2003 - 29 de julho de 2005 2 de janeiro de 2006 - 3 de março de 2006 Israel גלגל המזל Galgal Hamazal (He) Erez Tal Gil Sassover (He) Efrat Rotem Meirav Levin Galit Burg ( ele) Ruth Gonzales (He) Ingrid Feldman (He) Tal Man (He) Sigal Shachmon Anat Elimelech Channel 2 1994 - 2000 Itália La Ruota della Fortuna Mike Bongiorno (1985, 1989 - 2003) Casti (1987 - 88) Enrico Papi (2007 - 09) Raffaella de Riso (1987 - 88) Michelle Klippenstein (1988) Ylenia Carrisi (1989, 1992) Paola Barale (1989 - 95) Roberta Capua (1995) Antonella (1995 - 96) Claudia) Grego (1996 - 97) Ana Laura Ribas (1997) Miriana Trevisan (1997 - 2002) Nancy Comelli (2002 - 03) Victoria Silvstedt (2007 - 09) Canale 5 (1985) Odeon TV (1987 - 88) RETE 4 (1989 -2003) Italia 1 (2007 -09) 1985 em setembro de 1987 -1988 1989 -2003 2007 -09 Lituânia laimės ratas dos anos 90 Macedonia iada 11 Malaysia Roda Impian Halim Othman (1996 - 2002) Hani Mohsin (2002 - 06) Kieran (2009) Zalda Zainal Abby Abadi Spelli Liza AF1 Irma Hasmie Fauziah Gous Astro Ria TV3 1996 2006 2009 México lauuua de laura Flores Anastasia Canal de Las Estrellas 1995 - 97 Holanda Rad Van fortuin (NL) Hans van der Togt (NL) Carlo Boszhard Andre Hazes Jr. (2016) Leontine Borsato (NL) Patricia Rietveld Cindy Pielstroom Stephanie Tency (FY; NL) (2016) RTL 4 SBS 6 1989 - 98 2009 22 de agosto de 2016 - 27 de julho de 2017 Roda da Fortune da Fortune Leishman Jason Gunn Gunn Gunn Lana COC - Kroft Sonia Gray TV2 TV em fevereiro de 1991 - 1996 14 de abril de 2008 - 2 de maio de 2009 Noruega Lykkehjulet (NO; SV) Ragnar Otnes (NO) Knut Bjørnsen Vendela Kirsebom Ulrika Nilsson Lise Nilsen TV3 1990 26, 2007 Panamá La Rueda de la Fortuna Rassiel Rodriguez Jorge Ortega Nadage Herrera Telemetro 2001 2011 Peru la Ruleta de la Suerte Christian Rivero Gisela Valcarcel Frecuencia Latina 2011 - 12 Filipinas Rustane Padella Kris Aquinom Victoria London Londres 5 ABS - CBN 19 de novembro de 2001 - outubro de 2002, 14 de janeiro de 2008 - 25 de julho de 2008 Polônia Koło Fortuny Wojciech Pijanowski (1992 - 95) Paweł Wawrzecki (1995) Stanisław Mikulski (1995 - 98) Krzysztof TynyiCi (1995) 2007 - 09) Rafał Brzozowski (2017 - presente) Magda Masny (1992 - 98) Marta Lewandowska (2007 - 09) Izabella Krzan (2017 - presente) TVP2 2 de outubro de 1992 - 1 de setembro de 1998 29 de outubro 29 , 2007 - 27 de outubro de 2009 11 de setembro de 2017 - Presente Portugal A Roda da Strene (PT) Herman José Ruth e Rita Candido Mota Vanessa Palma (PT) RTP1 SIC 1990 - 94 2008 Romania roata norocului doritrescu mihai calin (2008 1997 - 99) Liviu Varciu (2012 - 13) (Adrian Cristea) Bursucu (2015 - presente) Cristiana Ruduta Ana Maria Barnoschi TVR1 Pro TV Kanal d em março de 1997 П п п п п п ч ч ч ч ч ч ч ч ч ч ч ч ч чеnders pózas de vladislav listyev (1990 - 91) Leonid Yakubovich (1991 - presente) Valdis Pelsh (25 de dezembro de 2002) Rimma Agafoshina (1991 - presente) Vid 1TV, 25 de outubro, 1990 - SERBIA SERBIA KOLOREE MORRAD) Vučelić TV HAPPY 2015 - Apresenta Cingapura Wheel of Fortune Singapore Bernard Lim Eunice Olsen MediaCorp Channel 5 8 de maio de 2002 Eslováquia Kolesso Šťastia Jozef Pročko Tibor Hlista Roman Feders Laco Híveš Roman POMOVJBO Peter Marcin Luká July 25 , 2016 -- January 23 , 2017     Slovenia   Kolo sreče   Mito Trefalt   Damjana Golavšek   TV SLO1   1990s     Spain   La ruleta de la fortuna La ruleta de la suerte   Mayra Gómez Kemp Ramón García Irma Soriano Bigote Arrocet Mabel Lozano Belén Rueda Fernando Esteso Jesús Vázquez Andoni Ferreño Goyo González Carlos Lozano Jorge Hernandez Diana Fernandez (1991 - 97) Paloma Lopez (2006 - 15) Laura Moure (2015 - presente) Antena 3 Telecinco Antena 3 1990 - 92 1993 - 97 2006 - Apresentando o sudoeste Lykkehjjulet. Sv; NÃO) MILJONLOTTERIET LYCKOHJULET RAGNAR OTNES HANS WIKLUND ULRIKA NILSSON HANNAH GRAAF TV3 TV8 TURKEIRA DO EM TURKEIRO DECRIMENTOS MUNZ ümit Güner Tarık Tarcan Halit Kıvançante Yılzo Mehmet Ali Erbila Oğlu Arto Hamdi Alkan Petek Dinçöz İlker Ayrık Trt TRT 2 Show TV Cine5 Kanal D eko TV Super Kanal Tgrt Atv Kanal 1 Fox Türkiye Star TV TNT TNT Türkiye Kanal d 1975 - 92 1986 - 92 1992 - 96, 2005 - 06 1993 - 96 1997 - 2003 1997 - 2000 2000 2000 - 03 2003 - 04 2007 - 08 2008 - 09 2011 - 12 2014 - Apresentando o ATAMAN ERKUL KANAL D 2000 REINO UNIDO DO REINO DO FORTUNE Nicky Campbell (1988 - 96) Bradley Walsh (1997) John Leslie ( 1998 - 2001) Paul Hendy (2001) Angela Ekaette (1988) Carol Smillie (1989 - 94) Jenny Powell (1995 - 2001) Terri Seymour (2001) ITV 19 de julho de 1988 - 21 de dezembro de 2001 Estados Unidos Canadá (Inglês) Wheel of Fortune Chuck Woolery (1975 - 81) Pat Sajak (1981 - 89) Rolf Benirschke (1989) Bob Goen (1989 - 91) Susan Stafford (1975 - 82) Vanna White (1982 - 91 ) NBC (1975 - 89, 1991) CBS (1989 - 91) 6 de janeiro de 1975 - 30 de junho de 1989 17 de julho de 1989 - 20 de setembro de 1991 Pat Sajak Vanna White Sindication 19 de setembro de 1983 - roda atual 2000 David Sidoni Tanika Ray (como `` Cyber ​​Lucy '') CBS 13 de setembro de 1997 - 7 de fevereiro de 1998 Venezuela La Estrella de La Fortuna Orlando Urdaneta Corina Azopedo Luis Velázco Juan Manuel Montesinos Maru Winkemann) Kỳ Diệu (VI) Lại Văn Sâm (Primeiro show em 2001) Trịnh Long Vũ (2001 - 06) Tuấn Tú (2006 - 13) DANH TùNG (2014 - 15) Bùi ​​ức Bảo (2015 - 2016) Ph. (2001 - 03) Hương Giang (2003 - 06) Maika (2007 - 09, semelhante ao Wheel 2000 nos EUA) Hồng Nhung (2009 - 2016) VTV3 31 de março de 2001 - 24 de dezembro de 2016</v>
      </c>
      <c r="I355" s="3" t="str">
        <f>IFERROR(__xludf.DUMMYFUNCTION("GOOGLETRANSLATE(E355)"),"#VALUE!")</f>
        <v>#VALUE!</v>
      </c>
    </row>
    <row r="356" ht="15.75" customHeight="1">
      <c r="A356" s="1">
        <v>354.0</v>
      </c>
      <c r="B356" s="3" t="s">
        <v>1307</v>
      </c>
      <c r="C356" s="3" t="s">
        <v>1308</v>
      </c>
      <c r="D356" s="3" t="s">
        <v>1309</v>
      </c>
      <c r="F356" s="3" t="str">
        <f>IFERROR(__xludf.DUMMYFUNCTION("GOOGLETRANSLATE(B356)")," Infecção por Clostridium difficile")</f>
        <v> Infecção por Clostridium difficile</v>
      </c>
      <c r="G356" s="3" t="str">
        <f>IFERROR(__xludf.DUMMYFUNCTION("GOOGLETRANSLATE(C356)"),"Papel dos esporos no desenvolvimento de c. doença difíceis")</f>
        <v>Papel dos esporos no desenvolvimento de c. doença difíceis</v>
      </c>
      <c r="H356" s="3" t="str">
        <f>IFERROR(__xludf.DUMMYFUNCTION("GOOGLETRANSLATE(D356)")," C. difficile é transmitido de pessoa para pessoa pela via fecal - oral. O organismo forma esporos resistentes ao calor que não são mortos por limpadores de mãos à base de álcool ou limpeza de superfície de rotina. Assim, esses esporos sobrevivem em ambie"&amp;"ntes clínicos por longos períodos. Por esse motivo, as bactérias podem ser cultivadas a partir de quase qualquer superfície. Depois que os esporos são ingeridos, sua resistência ao ácido permite que eles passem pelo estômago ileso. Após a exposição a ácid"&amp;"os biliares, eles germinam e se multiplicam em células vegetativas no cólon.")</f>
        <v> C. difficile é transmitido de pessoa para pessoa pela via fecal - oral. O organismo forma esporos resistentes ao calor que não são mortos por limpadores de mãos à base de álcool ou limpeza de superfície de rotina. Assim, esses esporos sobrevivem em ambientes clínicos por longos períodos. Por esse motivo, as bactérias podem ser cultivadas a partir de quase qualquer superfície. Depois que os esporos são ingeridos, sua resistência ao ácido permite que eles passem pelo estômago ileso. Após a exposição a ácidos biliares, eles germinam e se multiplicam em células vegetativas no cólon.</v>
      </c>
      <c r="I356" s="3" t="str">
        <f>IFERROR(__xludf.DUMMYFUNCTION("GOOGLETRANSLATE(E356)"),"#VALUE!")</f>
        <v>#VALUE!</v>
      </c>
    </row>
    <row r="357" ht="15.75" customHeight="1">
      <c r="A357" s="1">
        <v>355.0</v>
      </c>
      <c r="B357" s="3" t="s">
        <v>1310</v>
      </c>
      <c r="C357" s="3" t="s">
        <v>1311</v>
      </c>
      <c r="D357" s="3" t="s">
        <v>1312</v>
      </c>
      <c r="F357" s="3" t="str">
        <f>IFERROR(__xludf.DUMMYFUNCTION("GOOGLETRANSLATE(B357)")," Super dançarino")</f>
        <v> Super dançarino</v>
      </c>
      <c r="G357" s="3" t="str">
        <f>IFERROR(__xludf.DUMMYFUNCTION("GOOGLETRANSLATE(C357)"),"Quem foi o vencedor do Super Dancer Capítulo 1")</f>
        <v>Quem foi o vencedor do Super Dancer Capítulo 1</v>
      </c>
      <c r="H357" s="3" t="str">
        <f>IFERROR(__xludf.DUMMYFUNCTION("GOOGLETRANSLATE(D357)")," O Super Dancer é uma série de televisão de dança do Hindi Kids Indian Kids, que vai ao ar na Sony Entertainment Television e na Sony Entertainment Television Asia. O vencedor da primeira temporada desta série é Ditya Bhande. A série é produzida por Ranje"&amp;"et Thakur e Hemant Ruprell para suas produções de Frames de quadros de produção. O show foi vencido por Ditya Bhande e o coreógrafo Ruel Dausan.")</f>
        <v> O Super Dancer é uma série de televisão de dança do Hindi Kids Indian Kids, que vai ao ar na Sony Entertainment Television e na Sony Entertainment Television Asia. O vencedor da primeira temporada desta série é Ditya Bhande. A série é produzida por Ranjeet Thakur e Hemant Ruprell para suas produções de Frames de quadros de produção. O show foi vencido por Ditya Bhande e o coreógrafo Ruel Dausan.</v>
      </c>
      <c r="I357" s="3" t="str">
        <f>IFERROR(__xludf.DUMMYFUNCTION("GOOGLETRANSLATE(E357)"),"#VALUE!")</f>
        <v>#VALUE!</v>
      </c>
    </row>
    <row r="358" ht="15.75" customHeight="1">
      <c r="A358" s="1">
        <v>356.0</v>
      </c>
      <c r="B358" s="3" t="s">
        <v>1313</v>
      </c>
      <c r="C358" s="3" t="s">
        <v>1314</v>
      </c>
      <c r="D358" s="3" t="s">
        <v>1315</v>
      </c>
      <c r="E358" s="3" t="s">
        <v>1316</v>
      </c>
      <c r="F358" s="3" t="str">
        <f>IFERROR(__xludf.DUMMYFUNCTION("GOOGLETRANSLATE(B358)")," Um cavalo sem nome")</f>
        <v> Um cavalo sem nome</v>
      </c>
      <c r="G358" s="3" t="str">
        <f>IFERROR(__xludf.DUMMYFUNCTION("GOOGLETRANSLATE(C358)"),"Quem cantou o deserto em um cavalo sem nome")</f>
        <v>Quem cantou o deserto em um cavalo sem nome</v>
      </c>
      <c r="H358" s="3" t="str">
        <f>IFERROR(__xludf.DUMMYFUNCTION("GOOGLETRANSLATE(D358)")," `` Um cavalo sem nome '' é uma música escrita por Dewey Bunnell e originalmente gravada pela banda de rock folk America. Foi o primeiro e mais sucesso single da banda, lançado no final de 1971 na Europa e no início de 1972 nos EUA, e liderou as paradas e"&amp;"m vários países. Foi certificado em ouro pela Associação da Indústria de Gravação da América.")</f>
        <v> `` Um cavalo sem nome '' é uma música escrita por Dewey Bunnell e originalmente gravada pela banda de rock folk America. Foi o primeiro e mais sucesso single da banda, lançado no final de 1971 na Europa e no início de 1972 nos EUA, e liderou as paradas em vários países. Foi certificado em ouro pela Associação da Indústria de Gravação da América.</v>
      </c>
      <c r="I358" s="3" t="str">
        <f>IFERROR(__xludf.DUMMYFUNCTION("GOOGLETRANSLATE(E358)"),"América")</f>
        <v>América</v>
      </c>
    </row>
    <row r="359" ht="15.75" customHeight="1">
      <c r="A359" s="1">
        <v>357.0</v>
      </c>
      <c r="B359" s="3" t="s">
        <v>1317</v>
      </c>
      <c r="C359" s="3" t="s">
        <v>1318</v>
      </c>
      <c r="D359" s="3" t="s">
        <v>1319</v>
      </c>
      <c r="F359" s="3" t="str">
        <f>IFERROR(__xludf.DUMMYFUNCTION("GOOGLETRANSLATE(B359)")," Bate o tambor o dia todo")</f>
        <v> Bate o tambor o dia todo</v>
      </c>
      <c r="G359" s="3" t="str">
        <f>IFERROR(__xludf.DUMMYFUNCTION("GOOGLETRANSLATE(C359)"),"Eu não quero trabalhar, eu só quero bater nessas bateria o dia todo")</f>
        <v>Eu não quero trabalhar, eu só quero bater nessas bateria o dia todo</v>
      </c>
      <c r="H359" s="3" t="str">
        <f>IFERROR(__xludf.DUMMYFUNCTION("GOOGLETRANSLATE(D359)")," `` Bang the Drum o dia todo '' é uma música de 1983 de Todd Rundgren. As letras descrevem, na primeira pessoa, a unidade do cantor para o `` bate no tambor o dia todo '', com exclusão de todo o resto. Todos os instrumentos nesta faixa são executados pelo"&amp;" Rundgren. A música se tornou popular como um hino anti-trabalho ou hino da celebração.")</f>
        <v> `` Bang the Drum o dia todo '' é uma música de 1983 de Todd Rundgren. As letras descrevem, na primeira pessoa, a unidade do cantor para o `` bate no tambor o dia todo '', com exclusão de todo o resto. Todos os instrumentos nesta faixa são executados pelo Rundgren. A música se tornou popular como um hino anti-trabalho ou hino da celebração.</v>
      </c>
      <c r="I359" s="3" t="str">
        <f>IFERROR(__xludf.DUMMYFUNCTION("GOOGLETRANSLATE(E359)"),"#VALUE!")</f>
        <v>#VALUE!</v>
      </c>
    </row>
    <row r="360" ht="15.75" customHeight="1">
      <c r="A360" s="1">
        <v>358.0</v>
      </c>
      <c r="B360" s="3" t="s">
        <v>1320</v>
      </c>
      <c r="C360" s="3" t="s">
        <v>1321</v>
      </c>
      <c r="D360" s="3" t="s">
        <v>1322</v>
      </c>
      <c r="E360" s="3" t="s">
        <v>1323</v>
      </c>
      <c r="F360" s="3" t="str">
        <f>IFERROR(__xludf.DUMMYFUNCTION("GOOGLETRANSLATE(B360)")," Arremesso perfeito 2")</f>
        <v> Arremesso perfeito 2</v>
      </c>
      <c r="G360" s="3" t="str">
        <f>IFERROR(__xludf.DUMMYFUNCTION("GOOGLETRANSLATE(C360)"),"Quem interpreta o produtor de discos em Pitch Perfect 2")</f>
        <v>Quem interpreta o produtor de discos em Pitch Perfect 2</v>
      </c>
      <c r="H360" s="3" t="str">
        <f>IFERROR(__xludf.DUMMYFUNCTION("GOOGLETRANSLATE(D360)")," Anna Kendrick como Beca Mitchell, a líder sênior dos Bellas, conhecida por criar o som único moderno - do dia dos Bellas. Ela é uma aspirante a produtora de discos e agora é estagiária da Residual Heat, uma gravadora.")</f>
        <v> Anna Kendrick como Beca Mitchell, a líder sênior dos Bellas, conhecida por criar o som único moderno - do dia dos Bellas. Ela é uma aspirante a produtora de discos e agora é estagiária da Residual Heat, uma gravadora.</v>
      </c>
      <c r="I360" s="3" t="str">
        <f>IFERROR(__xludf.DUMMYFUNCTION("GOOGLETRANSLATE(E360)"),"Anna Kendrick")</f>
        <v>Anna Kendrick</v>
      </c>
    </row>
    <row r="361" ht="15.75" customHeight="1">
      <c r="A361" s="1">
        <v>359.0</v>
      </c>
      <c r="B361" s="3" t="s">
        <v>1324</v>
      </c>
      <c r="C361" s="3" t="s">
        <v>1325</v>
      </c>
      <c r="D361" s="3" t="s">
        <v>1326</v>
      </c>
      <c r="E361" s="3" t="s">
        <v>1327</v>
      </c>
      <c r="F361" s="3" t="str">
        <f>IFERROR(__xludf.DUMMYFUNCTION("GOOGLETRANSLATE(B361)")," O que há de errado com o secretário Kim")</f>
        <v> O que há de errado com o secretário Kim</v>
      </c>
      <c r="G361" s="3" t="str">
        <f>IFERROR(__xludf.DUMMYFUNCTION("GOOGLETRANSLATE(C361)"),"Quando o episódio 5 do que há de errado com o secretário Kim sai")</f>
        <v>Quando o episódio 5 do que há de errado com o secretário Kim sai</v>
      </c>
      <c r="H361" s="3" t="str">
        <f>IFERROR(__xludf.DUMMYFUNCTION("GOOGLETRANSLATE(D361)"),"   Episódio # Data de transmissão original Audiência média Compartilhe AGB Nielsen Ratings TNMS Ratings em todo o país Seul 6 de junho de 2018 5.757 % 6,446 % 6,3 % 7 de junho de 2018 5.403 % 5.529 % 5,6 % 13 de junho de 2018 6,950 % 8,252 % 8,3 % 14, 14,"&amp;" 2018 6.379 % 6,945 % 6,3 % 5 de junho 20, 2018 6.855 % 7,500 % 7,0 % 6 de junho 21, 2018 7.687 % 8,554 % 7,7 % 7 de junho 27, 2018 7,281 % 8,201 % 8,5 % 8 Junho 28 de junho de 2018 8,120 % 9,326 % 8.326 8.3 9.3 % 9,5 % 8 de junho 28 de junho de 2018 8,12"&amp;"0 % 9,326 % 8.326 4 de julho de 2018 7.767 % 9.428 % 8,8 % 10 de julho 5 de julho de 2018 8.403 % 9.545 % 9,2 % 11 11 de julho de 2018 8.665 % 10,565 % 10,6 % 12 julho 12, 2018 8.393 % 10.052 % 9,7 % 13 18 18, 2018 7.673 % 8,717 % 8,7 % 14 julho 19 de jul"&amp;"ho de 2018 8,100 % 9,506 % 9,2 % 15 julho 25, 2018 7,107 % 7,725 % 8,0 % 16 julho 26, 2018 8,602 % 10,001 % 9,8 % Média 7.446 % 8,518 % 8,3 %")</f>
        <v>   Episódio # Data de transmissão original Audiência média Compartilhe AGB Nielsen Ratings TNMS Ratings em todo o país Seul 6 de junho de 2018 5.757 % 6,446 % 6,3 % 7 de junho de 2018 5.403 % 5.529 % 5,6 % 13 de junho de 2018 6,950 % 8,252 % 8,3 % 14, 14, 2018 6.379 % 6,945 % 6,3 % 5 de junho 20, 2018 6.855 % 7,500 % 7,0 % 6 de junho 21, 2018 7.687 % 8,554 % 7,7 % 7 de junho 27, 2018 7,281 % 8,201 % 8,5 % 8 Junho 28 de junho de 2018 8,120 % 9,326 % 8.326 8.3 9.3 % 9,5 % 8 de junho 28 de junho de 2018 8,120 % 9,326 % 8.326 4 de julho de 2018 7.767 % 9.428 % 8,8 % 10 de julho 5 de julho de 2018 8.403 % 9.545 % 9,2 % 11 11 de julho de 2018 8.665 % 10,565 % 10,6 % 12 julho 12, 2018 8.393 % 10.052 % 9,7 % 13 18 18, 2018 7.673 % 8,717 % 8,7 % 14 julho 19 de julho de 2018 8,100 % 9,506 % 9,2 % 15 julho 25, 2018 7,107 % 7,725 % 8,0 % 16 julho 26, 2018 8,602 % 10,001 % 9,8 % Média 7.446 % 8,518 % 8,3 %</v>
      </c>
      <c r="I361" s="3" t="str">
        <f>IFERROR(__xludf.DUMMYFUNCTION("GOOGLETRANSLATE(E361)"),"20 de junho de 2018")</f>
        <v>20 de junho de 2018</v>
      </c>
    </row>
    <row r="362" ht="15.75" customHeight="1">
      <c r="A362" s="1">
        <v>360.0</v>
      </c>
      <c r="B362" s="3" t="s">
        <v>1328</v>
      </c>
      <c r="C362" s="3" t="s">
        <v>1329</v>
      </c>
      <c r="D362" s="3" t="s">
        <v>1330</v>
      </c>
      <c r="F362" s="3" t="str">
        <f>IFERROR(__xludf.DUMMYFUNCTION("GOOGLETRANSLATE(B362)")," Władysław Sikorski")</f>
        <v> Władysław Sikorski</v>
      </c>
      <c r="G362" s="3" t="str">
        <f>IFERROR(__xludf.DUMMYFUNCTION("GOOGLETRANSLATE(C362)"),"quem era o líder da Polônia na Segunda Guerra Mundial")</f>
        <v>quem era o líder da Polônia na Segunda Guerra Mundial</v>
      </c>
      <c r="H362" s="3" t="str">
        <f>IFERROR(__xludf.DUMMYFUNCTION("GOOGLETRANSLATE(D362)")," Durante a Segunda Guerra Mundial, Sikorski tornou -se primeiro -ministro do governo polonês no exílio, comandante - em - chefe das forças armadas polonesas e um vigoroso defensor da causa polonesa na esfera diplomática. Ele apoiou o restabelecimento das "&amp;"relações diplomáticas entre a Polônia e a União Soviética, que haviam sido cortadas após o pacto soviético com a Alemanha e a invasão de 1939 da Polônia - no entanto, o líder soviético Joseph Stalin interrompeu as relações diplomáticas soviéticas em abril"&amp;" de 1943 após Sikorski O pedido de que a Cruz Vermelha Internacional investiga o massacre da floresta de Katyń.")</f>
        <v> Durante a Segunda Guerra Mundial, Sikorski tornou -se primeiro -ministro do governo polonês no exílio, comandante - em - chefe das forças armadas polonesas e um vigoroso defensor da causa polonesa na esfera diplomática. Ele apoiou o restabelecimento das relações diplomáticas entre a Polônia e a União Soviética, que haviam sido cortadas após o pacto soviético com a Alemanha e a invasão de 1939 da Polônia - no entanto, o líder soviético Joseph Stalin interrompeu as relações diplomáticas soviéticas em abril de 1943 após Sikorski O pedido de que a Cruz Vermelha Internacional investiga o massacre da floresta de Katyń.</v>
      </c>
      <c r="I362" s="3" t="str">
        <f>IFERROR(__xludf.DUMMYFUNCTION("GOOGLETRANSLATE(E362)"),"#VALUE!")</f>
        <v>#VALUE!</v>
      </c>
    </row>
    <row r="363" ht="15.75" customHeight="1">
      <c r="A363" s="1">
        <v>361.0</v>
      </c>
      <c r="B363" s="3" t="s">
        <v>1230</v>
      </c>
      <c r="C363" s="3" t="s">
        <v>1331</v>
      </c>
      <c r="D363" s="3" t="s">
        <v>1332</v>
      </c>
      <c r="E363" s="3" t="s">
        <v>1333</v>
      </c>
      <c r="F363" s="3" t="str">
        <f>IFERROR(__xludf.DUMMYFUNCTION("GOOGLETRANSLATE(B363)")," Mundo Jurássico: Reino Falado")</f>
        <v> Mundo Jurássico: Reino Falado</v>
      </c>
      <c r="G363" s="3" t="str">
        <f>IFERROR(__xludf.DUMMYFUNCTION("GOOGLETRANSLATE(C363)"),"Quando o mundo da queda do Jurássico Sai")</f>
        <v>Quando o mundo da queda do Jurássico Sai</v>
      </c>
      <c r="H363" s="3" t="str">
        <f>IFERROR(__xludf.DUMMYFUNCTION("GOOGLETRANSLATE(D363)")," As filmagens ocorreram de fevereiro a julho de 2017 no Reino Unido e no Havaí. Produzido e distribuído pela Universal Pictures, Fallen Kingdom estreou em Madri em 21 de maio de 2018 e foi lançado internacionalmente no início de junho de 2018 e nos Estado"&amp;"s Unidos em 22 de junho de 2018. O filme arrecadou mais de US $ 1,2 bilhão em todo o mundo, tornando -o o terceiro filme jurássico a passar pela marca, o terceiro filme de maior bilheteria de 2018 e o 13º filme de bilheteria de todos os tempos. Ele recebe"&amp;"u críticas mistas dos críticos, que elogiaram a performance de Pratt, a direção de Bayona, os visuais e os `` momentos surpreendentemente sombrios '', embora muitos criticassem o roteiro e a falta de inovação, com alguns sugerindo curso . Uma sequência se"&amp;"m título deve ser lançada em 11 de junho de 2021, com Trevorrow retornando para dirigir.")</f>
        <v> As filmagens ocorreram de fevereiro a julho de 2017 no Reino Unido e no Havaí. Produzido e distribuído pela Universal Pictures, Fallen Kingdom estreou em Madri em 21 de maio de 2018 e foi lançado internacionalmente no início de junho de 2018 e nos Estados Unidos em 22 de junho de 2018. O filme arrecadou mais de US $ 1,2 bilhão em todo o mundo, tornando -o o terceiro filme jurássico a passar pela marca, o terceiro filme de maior bilheteria de 2018 e o 13º filme de bilheteria de todos os tempos. Ele recebeu críticas mistas dos críticos, que elogiaram a performance de Pratt, a direção de Bayona, os visuais e os `` momentos surpreendentemente sombrios '', embora muitos criticassem o roteiro e a falta de inovação, com alguns sugerindo curso . Uma sequência sem título deve ser lançada em 11 de junho de 2021, com Trevorrow retornando para dirigir.</v>
      </c>
      <c r="I363" s="3" t="str">
        <f>IFERROR(__xludf.DUMMYFUNCTION("GOOGLETRANSLATE(E363)"),"22 de junho de 2018")</f>
        <v>22 de junho de 2018</v>
      </c>
    </row>
    <row r="364" ht="15.75" customHeight="1">
      <c r="A364" s="1">
        <v>362.0</v>
      </c>
      <c r="B364" s="3" t="s">
        <v>1334</v>
      </c>
      <c r="C364" s="3" t="s">
        <v>1335</v>
      </c>
      <c r="D364" s="3" t="s">
        <v>1336</v>
      </c>
      <c r="E364" s="3" t="s">
        <v>1337</v>
      </c>
      <c r="F364" s="3" t="str">
        <f>IFERROR(__xludf.DUMMYFUNCTION("GOOGLETRANSLATE(B364)")," Missouri Tigers")</f>
        <v> Missouri Tigers</v>
      </c>
      <c r="G364" s="3" t="str">
        <f>IFERROR(__xludf.DUMMYFUNCTION("GOOGLETRANSLATE(C364)"),"onde os tigres do Missouri conseguiram seu nome")</f>
        <v>onde os tigres do Missouri conseguiram seu nome</v>
      </c>
      <c r="H364" s="3" t="str">
        <f>IFERROR(__xludf.DUMMYFUNCTION("GOOGLETRANSLATE(D364)")," Os programas de atletismo do Missouri Tigers incluem as equipes esportivas extramurais e intramurais da Universidade do Missouri, localizadas em Columbia, Missouri, Estados Unidos. O nome vem de um bando de guardas armados chamado The Fighting Tigers of "&amp;"Columbia, que, em 1864, protegeu Columbia de guerrilheiros durante a Guerra Civil.")</f>
        <v> Os programas de atletismo do Missouri Tigers incluem as equipes esportivas extramurais e intramurais da Universidade do Missouri, localizadas em Columbia, Missouri, Estados Unidos. O nome vem de um bando de guardas armados chamado The Fighting Tigers of Columbia, que, em 1864, protegeu Columbia de guerrilheiros durante a Guerra Civil.</v>
      </c>
      <c r="I364" s="3" t="str">
        <f>IFERROR(__xludf.DUMMYFUNCTION("GOOGLETRANSLATE(E364)"),"De um bando de guardas armados chamado The Fighting Tigers of Columbia")</f>
        <v>De um bando de guardas armados chamado The Fighting Tigers of Columbia</v>
      </c>
    </row>
    <row r="365" ht="15.75" customHeight="1">
      <c r="A365" s="1">
        <v>363.0</v>
      </c>
      <c r="B365" s="3" t="s">
        <v>1338</v>
      </c>
      <c r="C365" s="3" t="s">
        <v>1339</v>
      </c>
      <c r="D365" s="3" t="s">
        <v>1340</v>
      </c>
      <c r="E365" s="3" t="s">
        <v>1341</v>
      </c>
      <c r="F365" s="3" t="str">
        <f>IFERROR(__xludf.DUMMYFUNCTION("GOOGLETRANSLATE(B365)")," Sarek")</f>
        <v> Sarek</v>
      </c>
      <c r="G365" s="3" t="str">
        <f>IFERROR(__xludf.DUMMYFUNCTION("GOOGLETRANSLATE(C365)"),"que interpretou o pai de Spock em Star Trek")</f>
        <v>que interpretou o pai de Spock em Star Trek</v>
      </c>
      <c r="H365" s="3" t="str">
        <f>IFERROR(__xludf.DUMMYFUNCTION("GOOGLETRANSLATE(D365)")," Sarek / ˈsærɛk / é um personagem fictício na franquia Star Trek Media. Ele é astrofísico vulcan, o embaixador da Vulcan na Federação dos Planetas Unidos e o pai de Spock. O personagem foi originado por Mark Lenard no episódio de 1967 `` Journey to Babel "&amp;"'' (Lenard anteriormente retratou um comandante romulano em outro episódio da série original, 1966 'S `` Balanço do Terror' '). Lenard mais tarde dublou Sarek na série animada e apareceu nos filmes de Star Trek e na série Star Trek: The Next Generation.")</f>
        <v> Sarek / ˈsærɛk / é um personagem fictício na franquia Star Trek Media. Ele é astrofísico vulcan, o embaixador da Vulcan na Federação dos Planetas Unidos e o pai de Spock. O personagem foi originado por Mark Lenard no episódio de 1967 `` Journey to Babel '' (Lenard anteriormente retratou um comandante romulano em outro episódio da série original, 1966 'S `` Balanço do Terror' '). Lenard mais tarde dublou Sarek na série animada e apareceu nos filmes de Star Trek e na série Star Trek: The Next Generation.</v>
      </c>
      <c r="I365" s="3" t="str">
        <f>IFERROR(__xludf.DUMMYFUNCTION("GOOGLETRANSLATE(E365)"),"Mark Lenard")</f>
        <v>Mark Lenard</v>
      </c>
    </row>
    <row r="366" ht="15.75" customHeight="1">
      <c r="A366" s="1">
        <v>364.0</v>
      </c>
      <c r="B366" s="3" t="s">
        <v>1342</v>
      </c>
      <c r="C366" s="3" t="s">
        <v>1343</v>
      </c>
      <c r="D366" s="3" t="s">
        <v>1344</v>
      </c>
      <c r="E366" s="3" t="s">
        <v>1345</v>
      </c>
      <c r="F366" s="3" t="str">
        <f>IFERROR(__xludf.DUMMYFUNCTION("GOOGLETRANSLATE(B366)")," Quarto Anglo - Guerra de Mysore")</f>
        <v> Quarto Anglo - Guerra de Mysore</v>
      </c>
      <c r="G366" s="3" t="str">
        <f>IFERROR(__xludf.DUMMYFUNCTION("GOOGLETRANSLATE(C366)"),"que foi derrotado e morto na quarta guerra de Mysore em Srirangapatna")</f>
        <v>que foi derrotado e morto na quarta guerra de Mysore em Srirangapatna</v>
      </c>
      <c r="H366" s="3" t="str">
        <f>IFERROR(__xludf.DUMMYFUNCTION("GOOGLETRANSLATE(D366)")," Este foi o conflito final dos quatro Anglo - Mysore Wars. Os britânicos capturaram a capital de Mysore. O governante Tipu Sultan foi morto na batalha. A Grã -Bretanha assumiu o controle indireto de Mysore, restaurando a dinastia Wodeyar ao trono de Mysor"&amp;"e (com um comissário britânico para aconselhá -lo sobre todas as questões). O jovem herdeiro de Tipu Sultan, Fateh Ali, foi enviado para o exílio. O reino de Mysore tornou -se um estado principesco em uma aliança subsidiária com a Índia britânica e cedeu "&amp;"Coimbatore, Dakshina Kannada e Uttara Kannada para os britânicos.")</f>
        <v> Este foi o conflito final dos quatro Anglo - Mysore Wars. Os britânicos capturaram a capital de Mysore. O governante Tipu Sultan foi morto na batalha. A Grã -Bretanha assumiu o controle indireto de Mysore, restaurando a dinastia Wodeyar ao trono de Mysore (com um comissário britânico para aconselhá -lo sobre todas as questões). O jovem herdeiro de Tipu Sultan, Fateh Ali, foi enviado para o exílio. O reino de Mysore tornou -se um estado principesco em uma aliança subsidiária com a Índia britânica e cedeu Coimbatore, Dakshina Kannada e Uttara Kannada para os britânicos.</v>
      </c>
      <c r="I366" s="3" t="str">
        <f>IFERROR(__xludf.DUMMYFUNCTION("GOOGLETRANSLATE(E366)"),"Decepção do sultão")</f>
        <v>Decepção do sultão</v>
      </c>
    </row>
    <row r="367" ht="15.75" customHeight="1">
      <c r="A367" s="1">
        <v>365.0</v>
      </c>
      <c r="B367" s="3" t="s">
        <v>1346</v>
      </c>
      <c r="C367" s="3" t="s">
        <v>1347</v>
      </c>
      <c r="D367" s="3" t="s">
        <v>1348</v>
      </c>
      <c r="E367" s="3" t="s">
        <v>1349</v>
      </c>
      <c r="F367" s="3" t="str">
        <f>IFERROR(__xludf.DUMMYFUNCTION("GOOGLETRANSLATE(B367)")," Saina Nehwal")</f>
        <v> Saina Nehwal</v>
      </c>
      <c r="G367" s="3" t="str">
        <f>IFERROR(__xludf.DUMMYFUNCTION("GOOGLETRANSLATE(C367)"),"quem foi o primeiro indiano que venceu o campeonato mundial de badminton júnior")</f>
        <v>quem foi o primeiro indiano que venceu o campeonato mundial de badminton júnior</v>
      </c>
      <c r="H367" s="3" t="str">
        <f>IFERROR(__xludf.DUMMYFUNCTION("GOOGLETRANSLATE(D367)")," Nehwal alcançou vários marcos em Badminton para a Índia. Ela é a única indiana a ganhar pelo menos uma medalha em todos os eventos individuais do BWF, a saber, as Olimpíadas, o Campeonato Mundial do BWF e o BWF World Junior Championships. Ela é a primeir"&amp;"a jogadora indiana de badminton a ter conquistado uma medalha olímpica, além de ser a única indiana a vencer o BWF World Junior Championships ou ter chegado à final do BWF World Championships. Em 2006, Nehwal se tornou a primeira mulher indiana e a mais j"&amp;"ovem asiática a vencer um torneio de 4 estrelas. Ela também tem a distinção de ser a primeira indiana a ganhar um título da Super Series. Na Uber Cup de 2014, ela capitão a equipe indiana e permaneceu invicto, ajudando a Índia a ganhar medalha de bronze. "&amp;"Foi a primeira medalha da Índia em qualquer evento da BWF Major Team. Ela é um modelo para muitos jovens jogadores de badminton.")</f>
        <v> Nehwal alcançou vários marcos em Badminton para a Índia. Ela é a única indiana a ganhar pelo menos uma medalha em todos os eventos individuais do BWF, a saber, as Olimpíadas, o Campeonato Mundial do BWF e o BWF World Junior Championships. Ela é a primeira jogadora indiana de badminton a ter conquistado uma medalha olímpica, além de ser a única indiana a vencer o BWF World Junior Championships ou ter chegado à final do BWF World Championships. Em 2006, Nehwal se tornou a primeira mulher indiana e a mais jovem asiática a vencer um torneio de 4 estrelas. Ela também tem a distinção de ser a primeira indiana a ganhar um título da Super Series. Na Uber Cup de 2014, ela capitão a equipe indiana e permaneceu invicto, ajudando a Índia a ganhar medalha de bronze. Foi a primeira medalha da Índia em qualquer evento da BWF Major Team. Ela é um modelo para muitos jovens jogadores de badminton.</v>
      </c>
      <c r="I367" s="3" t="str">
        <f>IFERROR(__xludf.DUMMYFUNCTION("GOOGLETRANSLATE(E367)"),"Nehwal")</f>
        <v>Nehwal</v>
      </c>
    </row>
    <row r="368" ht="15.75" customHeight="1">
      <c r="A368" s="1">
        <v>366.0</v>
      </c>
      <c r="B368" s="3" t="s">
        <v>1350</v>
      </c>
      <c r="C368" s="3" t="s">
        <v>1351</v>
      </c>
      <c r="D368" s="3" t="s">
        <v>1352</v>
      </c>
      <c r="E368" s="3" t="s">
        <v>1353</v>
      </c>
      <c r="F368" s="3" t="str">
        <f>IFERROR(__xludf.DUMMYFUNCTION("GOOGLETRANSLATE(B368)")," Museu Nacional de História Natural")</f>
        <v> Museu Nacional de História Natural</v>
      </c>
      <c r="G368" s="3" t="str">
        <f>IFERROR(__xludf.DUMMYFUNCTION("GOOGLETRANSLATE(C368)"),"Quando foi construído o Museu Nacional de História Natural")</f>
        <v>Quando foi construído o Museu Nacional de História Natural</v>
      </c>
      <c r="H368" s="3" t="str">
        <f>IFERROR(__xludf.DUMMYFUNCTION("GOOGLETRANSLATE(D368)")," O Museu Nacional de História Natural é um Museu de História Natural administrado pela Smithsonian Institution, localizada no National Mall em Washington, DC, Estados Unidos. Tem admissão gratuita e está aberto 364 dias por ano. Em 2016, com 7,1 milhões d"&amp;"e visitantes, foi o quarto museu mais visitado do mundo e o museu de história natural mais visitado do mundo. Inaugurado em 1910, o museu no National Mall foi um dos primeiros prédios da Smithsonian construído exclusivamente para realizar as coleções e in"&amp;"stalações de pesquisa nacionais. O edifício principal possui uma área geral de 1.500.000 pés quadrados (140.000 m) com 325.000 pés quadrados (30.200 m) de exposição e espaço público e abriga mais de 1.000 funcionários.")</f>
        <v> O Museu Nacional de História Natural é um Museu de História Natural administrado pela Smithsonian Institution, localizada no National Mall em Washington, DC, Estados Unidos. Tem admissão gratuita e está aberto 364 dias por ano. Em 2016, com 7,1 milhões de visitantes, foi o quarto museu mais visitado do mundo e o museu de história natural mais visitado do mundo. Inaugurado em 1910, o museu no National Mall foi um dos primeiros prédios da Smithsonian construído exclusivamente para realizar as coleções e instalações de pesquisa nacionais. O edifício principal possui uma área geral de 1.500.000 pés quadrados (140.000 m) com 325.000 pés quadrados (30.200 m) de exposição e espaço público e abriga mais de 1.000 funcionários.</v>
      </c>
      <c r="I368" s="3" t="str">
        <f>IFERROR(__xludf.DUMMYFUNCTION("GOOGLETRANSLATE(E368)"),"1910")</f>
        <v>1910</v>
      </c>
    </row>
    <row r="369" ht="15.75" customHeight="1">
      <c r="A369" s="1">
        <v>367.0</v>
      </c>
      <c r="B369" s="3" t="s">
        <v>1354</v>
      </c>
      <c r="C369" s="3" t="s">
        <v>1355</v>
      </c>
      <c r="D369" s="3" t="s">
        <v>1356</v>
      </c>
      <c r="F369" s="3" t="str">
        <f>IFERROR(__xludf.DUMMYFUNCTION("GOOGLETRANSLATE(B369)")," Eleição governamental da Carolina do Sul, 2018")</f>
        <v> Eleição governamental da Carolina do Sul, 2018</v>
      </c>
      <c r="G369" s="3" t="str">
        <f>IFERROR(__xludf.DUMMYFUNCTION("GOOGLETRANSLATE(C369)"),"que está concorrendo ao governador da Carolina do Sul 2018")</f>
        <v>que está concorrendo ao governador da Carolina do Sul 2018</v>
      </c>
      <c r="H369" s="3" t="str">
        <f>IFERROR(__xludf.DUMMYFUNCTION("GOOGLETRANSLATE(D369)"),"  Kevin Bryant, tenente -governador do titular Yancey McGill, ex -tenente -governador democrata e ex -senador democrata Henry McMaster, governador em exercício Catherine Templeton, ex -diretora do Departamento de Saúde e Controle Ambiental da Carolina do "&amp;"Sul e ex -diretora do Departamento de Laborismo, licenciamento e regulamentação")</f>
        <v>  Kevin Bryant, tenente -governador do titular Yancey McGill, ex -tenente -governador democrata e ex -senador democrata Henry McMaster, governador em exercício Catherine Templeton, ex -diretora do Departamento de Saúde e Controle Ambiental da Carolina do Sul e ex -diretora do Departamento de Laborismo, licenciamento e regulamentação</v>
      </c>
      <c r="I369" s="3" t="str">
        <f>IFERROR(__xludf.DUMMYFUNCTION("GOOGLETRANSLATE(E369)"),"#VALUE!")</f>
        <v>#VALUE!</v>
      </c>
    </row>
    <row r="370" ht="15.75" customHeight="1">
      <c r="A370" s="1">
        <v>368.0</v>
      </c>
      <c r="B370" s="3" t="s">
        <v>1357</v>
      </c>
      <c r="C370" s="3" t="s">
        <v>1358</v>
      </c>
      <c r="D370" s="3" t="s">
        <v>1359</v>
      </c>
      <c r="E370" s="3" t="s">
        <v>1360</v>
      </c>
      <c r="F370" s="3" t="str">
        <f>IFERROR(__xludf.DUMMYFUNCTION("GOOGLETRANSLATE(B370)")," Fall Out Boy")</f>
        <v> Fall Out Boy</v>
      </c>
      <c r="G370" s="3" t="str">
        <f>IFERROR(__xludf.DUMMYFUNCTION("GOOGLETRANSLATE(C370)"),"Quem é o vocalista do Fall Out Boy")</f>
        <v>Quem é o vocalista do Fall Out Boy</v>
      </c>
      <c r="H370" s="3" t="str">
        <f>IFERROR(__xludf.DUMMYFUNCTION("GOOGLETRANSLATE(D370)")," Fall Out Boy é uma banda de rock americana formada em Wilmette, Illinois, um subúrbio de Chicago, em 2001. A banda consiste no vocalista e guitarrista do ritmo Patrick Stump, o baixista Pete Wentz, o guitarrista Joe Trohman e o baterista Andy Hurley. A b"&amp;"anda se originou da cena punk hardcore de Chicago, com a qual todos os membros estavam envolvidos em um ponto. O grupo foi formado por Wentz e Trohman como um projeto do lado pop punk das respectivas bandas hardcore dos membros, e Stump se juntou logo dep"&amp;"ois. O grupo passou por uma sucessão de bateristas antes de desembarcar Hurley e gravar o álbum de estréia do grupo, Take This to Your Grave (2003). O álbum se tornou um sucesso subterrâneo e ajudou a banda a ganhar uma base de fãs dedicada através de tur"&amp;"nês pesadas, além de algum sucesso comercial moderado. Leve isso ao seu túmulo tem sido geralmente citado como um plano influente para a música pop punk nos anos 2000.")</f>
        <v> Fall Out Boy é uma banda de rock americana formada em Wilmette, Illinois, um subúrbio de Chicago, em 2001. A banda consiste no vocalista e guitarrista do ritmo Patrick Stump, o baixista Pete Wentz, o guitarrista Joe Trohman e o baterista Andy Hurley. A banda se originou da cena punk hardcore de Chicago, com a qual todos os membros estavam envolvidos em um ponto. O grupo foi formado por Wentz e Trohman como um projeto do lado pop punk das respectivas bandas hardcore dos membros, e Stump se juntou logo depois. O grupo passou por uma sucessão de bateristas antes de desembarcar Hurley e gravar o álbum de estréia do grupo, Take This to Your Grave (2003). O álbum se tornou um sucesso subterrâneo e ajudou a banda a ganhar uma base de fãs dedicada através de turnês pesadas, além de algum sucesso comercial moderado. Leve isso ao seu túmulo tem sido geralmente citado como um plano influente para a música pop punk nos anos 2000.</v>
      </c>
      <c r="I370" s="3" t="str">
        <f>IFERROR(__xludf.DUMMYFUNCTION("GOOGLETRANSLATE(E370)"),"Patrick Stump")</f>
        <v>Patrick Stump</v>
      </c>
    </row>
    <row r="371" ht="15.75" customHeight="1">
      <c r="A371" s="1">
        <v>369.0</v>
      </c>
      <c r="B371" s="3" t="s">
        <v>1361</v>
      </c>
      <c r="C371" s="3" t="s">
        <v>1362</v>
      </c>
      <c r="D371" s="3" t="s">
        <v>1363</v>
      </c>
      <c r="E371" s="3" t="s">
        <v>1364</v>
      </c>
      <c r="F371" s="3" t="str">
        <f>IFERROR(__xludf.DUMMYFUNCTION("GOOGLETRANSLATE(B371)")," 16th Street Baptist Church Bombing")</f>
        <v> 16th Street Baptist Church Bombing</v>
      </c>
      <c r="G371" s="3" t="str">
        <f>IFERROR(__xludf.DUMMYFUNCTION("GOOGLETRANSLATE(C371)"),"que morreu no bombardeio da Igreja Batista da 16th Street")</f>
        <v>que morreu no bombardeio da Igreja Batista da 16th Street</v>
      </c>
      <c r="H371" s="3" t="str">
        <f>IFERROR(__xludf.DUMMYFUNCTION("GOOGLETRANSLATE(D371)")," Quatro meninas, Addie Mae Collins (14 anos, nascida em 18 de abril de 1949), Carol Denise McNair (11 anos, nascida em 17 de novembro de 1951), Carole Robertson (14 anos, nascida em 24 de abril de 1949) e Cynthia Wesley (14 anos , nascido em 30 de abril d"&amp;"e 1949), foram mortos no ataque. A explosão foi tão intensa que um dos corpos das meninas foi decapitado e tão gravemente mutilado na explosão de que seu corpo só podia ser identificado através de suas roupas e um anel, enquanto outra vítima foi morta por"&amp;" um pedaço de argamassa incorporado em seu crânio . Todas as quatro meninas foram declaradas mortas na chegada à Clínica de Emergência Hillman. O então pastor da igreja, o reverendo John Cross, se lembraria de 2001 que os corpos das meninas foram posterio"&amp;"rmente encontrados `` empilhados um no outro, se agarram ''.")</f>
        <v> Quatro meninas, Addie Mae Collins (14 anos, nascida em 18 de abril de 1949), Carol Denise McNair (11 anos, nascida em 17 de novembro de 1951), Carole Robertson (14 anos, nascida em 24 de abril de 1949) e Cynthia Wesley (14 anos , nascido em 30 de abril de 1949), foram mortos no ataque. A explosão foi tão intensa que um dos corpos das meninas foi decapitado e tão gravemente mutilado na explosão de que seu corpo só podia ser identificado através de suas roupas e um anel, enquanto outra vítima foi morta por um pedaço de argamassa incorporado em seu crânio . Todas as quatro meninas foram declaradas mortas na chegada à Clínica de Emergência Hillman. O então pastor da igreja, o reverendo John Cross, se lembraria de 2001 que os corpos das meninas foram posteriormente encontrados `` empilhados um no outro, se agarram ''.</v>
      </c>
      <c r="I371" s="3" t="str">
        <f>IFERROR(__xludf.DUMMYFUNCTION("GOOGLETRANSLATE(E371)"),"Addie Mae Collins")</f>
        <v>Addie Mae Collins</v>
      </c>
    </row>
    <row r="372" ht="15.75" customHeight="1">
      <c r="A372" s="1">
        <v>370.0</v>
      </c>
      <c r="B372" s="3" t="s">
        <v>1365</v>
      </c>
      <c r="C372" s="3" t="s">
        <v>1366</v>
      </c>
      <c r="D372" s="3" t="s">
        <v>1367</v>
      </c>
      <c r="E372" s="3" t="s">
        <v>1368</v>
      </c>
      <c r="F372" s="3" t="str">
        <f>IFERROR(__xludf.DUMMYFUNCTION("GOOGLETRANSLATE(B372)")," Estou apaixonada por um monstro")</f>
        <v> Estou apaixonada por um monstro</v>
      </c>
      <c r="G372" s="3" t="str">
        <f>IFERROR(__xludf.DUMMYFUNCTION("GOOGLETRANSLATE(C372)"),"Quem canta estou apaixonado por um monstro no Hotel Transylvania")</f>
        <v>Quem canta estou apaixonado por um monstro no Hotel Transylvania</v>
      </c>
      <c r="H372" s="3" t="str">
        <f>IFERROR(__xludf.DUMMYFUNCTION("GOOGLETRANSLATE(D372)")," `` I 'estou apaixonado por um monstro' 'é uma música gravada pelo grupo de garotas americano Fifth Harmony para o filme de fantasia de animação por computador - comédia, Hotel Transylvania 2. Foi escrito por Harmony Samuels, Carmen Reece, Sarah Mancuso, "&amp;"Edgar Etienne e Ericka Coulter com produção tratada por Samuels. Foi lançado para varejistas digitais em 14 de agosto de 2015 através da Epic Records e Syco Music e atendida ao Rádio Contemporâneo nos Estados Unidos quatro dias depois em 18 de agosto. `` "&amp;"I 'estou apaixonado por um monstro' 'é uma música pop que combina elementos de R&amp;B, soul, rock e hip hop com ritmos `` jazzy' ', juntamente com batidas pesadas e funky. Os críticos fizeram comparações com o estilo musical de grupos femininos como os supre"&amp;"mos.")</f>
        <v> `` I 'estou apaixonado por um monstro' 'é uma música gravada pelo grupo de garotas americano Fifth Harmony para o filme de fantasia de animação por computador - comédia, Hotel Transylvania 2. Foi escrito por Harmony Samuels, Carmen Reece, Sarah Mancuso, Edgar Etienne e Ericka Coulter com produção tratada por Samuels. Foi lançado para varejistas digitais em 14 de agosto de 2015 através da Epic Records e Syco Music e atendida ao Rádio Contemporâneo nos Estados Unidos quatro dias depois em 18 de agosto. `` I 'estou apaixonado por um monstro' 'é uma música pop que combina elementos de R&amp;B, soul, rock e hip hop com ritmos `` jazzy' ', juntamente com batidas pesadas e funky. Os críticos fizeram comparações com o estilo musical de grupos femininos como os supremos.</v>
      </c>
      <c r="I372" s="3" t="str">
        <f>IFERROR(__xludf.DUMMYFUNCTION("GOOGLETRANSLATE(E372)"),"Quinta Harmonia")</f>
        <v>Quinta Harmonia</v>
      </c>
    </row>
    <row r="373" ht="15.75" customHeight="1">
      <c r="A373" s="1">
        <v>371.0</v>
      </c>
      <c r="B373" s="3" t="s">
        <v>1369</v>
      </c>
      <c r="C373" s="3" t="s">
        <v>1370</v>
      </c>
      <c r="D373" s="3" t="s">
        <v>1371</v>
      </c>
      <c r="E373" s="3" t="s">
        <v>1372</v>
      </c>
      <c r="F373" s="3" t="str">
        <f>IFERROR(__xludf.DUMMYFUNCTION("GOOGLETRANSLATE(B373)")," O último de nós")</f>
        <v> O último de nós</v>
      </c>
      <c r="G373" s="3" t="str">
        <f>IFERROR(__xludf.DUMMYFUNCTION("GOOGLETRANSLATE(C373)"),"como são chamados os zumbis em The Last of Us")</f>
        <v>como são chamados os zumbis em The Last of Us</v>
      </c>
      <c r="H373" s="3" t="str">
        <f>IFERROR(__xludf.DUMMYFUNCTION("GOOGLETRANSLATE(D373)")," Em setembro de 2013, um surto de um fungo mutante Cordyceps devasta os Estados Unidos, transformando seus hospedeiros humanos em monstros canibalistas conhecidos como infectados. Nos subúrbios de Austin, Texas, Joel (Troy Baker) foge do caos com seu irmã"&amp;"o Tommy (Jeffrey Pierce) e a filha Sarah (Hana Hayes). Enquanto fogem, Sarah é baleada por um soldado e morre nos braços de Joel. Nos vinte anos a seguir, a maior parte da civilização é destruída pela infecção. Os sobreviventes vivem em zonas de quarenten"&amp;"a fortemente policiadas, assentamentos independentes e grupos nômades. Joel trabalha como contrabandista com seu parceiro Tess (Annie Wersching) na zona de quarentena, no extremo norte de Boston, Massachusetts. Eles caçam Robert (Robin Atkin Downes), um t"&amp;"raficante de mercado negro, para recuperar um cache de armas roubadas. Antes que Tess o mate, Robert revela que trocou o cache com os vaga -lumes, uma milícia rebelde que se opondo às autoridades da zona de quarentena.")</f>
        <v> Em setembro de 2013, um surto de um fungo mutante Cordyceps devasta os Estados Unidos, transformando seus hospedeiros humanos em monstros canibalistas conhecidos como infectados. Nos subúrbios de Austin, Texas, Joel (Troy Baker) foge do caos com seu irmão Tommy (Jeffrey Pierce) e a filha Sarah (Hana Hayes). Enquanto fogem, Sarah é baleada por um soldado e morre nos braços de Joel. Nos vinte anos a seguir, a maior parte da civilização é destruída pela infecção. Os sobreviventes vivem em zonas de quarentena fortemente policiadas, assentamentos independentes e grupos nômades. Joel trabalha como contrabandista com seu parceiro Tess (Annie Wersching) na zona de quarentena, no extremo norte de Boston, Massachusetts. Eles caçam Robert (Robin Atkin Downes), um traficante de mercado negro, para recuperar um cache de armas roubadas. Antes que Tess o mate, Robert revela que trocou o cache com os vaga -lumes, uma milícia rebelde que se opondo às autoridades da zona de quarentena.</v>
      </c>
      <c r="I373" s="3" t="str">
        <f>IFERROR(__xludf.DUMMYFUNCTION("GOOGLETRANSLATE(E373)"),"infetado")</f>
        <v>infetado</v>
      </c>
    </row>
    <row r="374" ht="15.75" customHeight="1">
      <c r="A374" s="1">
        <v>372.0</v>
      </c>
      <c r="B374" s="3" t="s">
        <v>1373</v>
      </c>
      <c r="C374" s="3" t="s">
        <v>1374</v>
      </c>
      <c r="D374" s="3" t="s">
        <v>1375</v>
      </c>
      <c r="E374" s="3" t="s">
        <v>1376</v>
      </c>
      <c r="F374" s="3" t="str">
        <f>IFERROR(__xludf.DUMMYFUNCTION("GOOGLETRANSLATE(B374)")," GoPro")</f>
        <v> GoPro</v>
      </c>
      <c r="G374" s="3" t="str">
        <f>IFERROR(__xludf.DUMMYFUNCTION("GOOGLETRANSLATE(C374)"),"Quando o primeiro Go Pro foi lançado")</f>
        <v>Quando o primeiro Go Pro foi lançado</v>
      </c>
      <c r="H374" s="3" t="str">
        <f>IFERROR(__xludf.DUMMYFUNCTION("GOOGLETRANSLATE(D374)")," Em 2004, a empresa vendeu seu primeiro sistema de câmera, que usou filme de 35 mm. As câmeras de vídeo e vídeo digitais foram introduzidas posteriormente. A partir de 2014, uma câmera de vídeo fixa - Lens HD com uma ampla lente de 170 graus estava dispon"&amp;"ível; Dois ou mais podem ser emparelhados para criar 360 vídeo.")</f>
        <v> Em 2004, a empresa vendeu seu primeiro sistema de câmera, que usou filme de 35 mm. As câmeras de vídeo e vídeo digitais foram introduzidas posteriormente. A partir de 2014, uma câmera de vídeo fixa - Lens HD com uma ampla lente de 170 graus estava disponível; Dois ou mais podem ser emparelhados para criar 360 vídeo.</v>
      </c>
      <c r="I374" s="3" t="str">
        <f>IFERROR(__xludf.DUMMYFUNCTION("GOOGLETRANSLATE(E374)"),"2004")</f>
        <v>2004</v>
      </c>
    </row>
    <row r="375" ht="15.75" customHeight="1">
      <c r="A375" s="1">
        <v>373.0</v>
      </c>
      <c r="B375" s="3" t="s">
        <v>1377</v>
      </c>
      <c r="C375" s="3" t="s">
        <v>1378</v>
      </c>
      <c r="D375" s="3" t="s">
        <v>1379</v>
      </c>
      <c r="E375" s="3" t="s">
        <v>1380</v>
      </c>
      <c r="F375" s="3" t="str">
        <f>IFERROR(__xludf.DUMMYFUNCTION("GOOGLETRANSLATE(B375)")," Argentina na Copa do Mundo da FIFA")</f>
        <v> Argentina na Copa do Mundo da FIFA</v>
      </c>
      <c r="G375" s="3" t="str">
        <f>IFERROR(__xludf.DUMMYFUNCTION("GOOGLETRANSLATE(C375)"),"Quando foi a última vez que a Argentina venceu a Copa do Mundo")</f>
        <v>Quando foi a última vez que a Argentina venceu a Copa do Mundo</v>
      </c>
      <c r="H375" s="3" t="str">
        <f>IFERROR(__xludf.DUMMYFUNCTION("GOOGLETRANSLATE(D375)"),"   Posição do ano, GP D * GS GA 1930 Segundo 5 0 18 9 1934 Primeira rodada 9 0 0 1938 Não entrou em 1950 não entrou em 1954 não entrou em 1958 Etapa do grupo 13 0 5 10 1962 Etapa 10 1966 Quarter - Finals 5 1970 não qualificar o segundo estágio do grupo do"&amp;" segundo grupo 8 6 9 12 1978 Campeões 7 5 15 1982 Etapa do segundo grupo 11 5 0 8 7 1986 Campeões 7 6 0 14 5 1990 Runners - Up 7 5 1994 Rodada de 16 10 0 8 6 1998 Quarter - Finals 6 5 10 2002 Etapa do grupo 18 2006 Quarter - Finals 6 5 0 11 Quarter - Fina"&amp;"ls 5 5 0 10 6 2014 Runners - UP 7 5 1 * 8 2018 Qualificado 2022 a ser determinado Total 2 Títulos 16/20 77 42 14 21 131 84")</f>
        <v>   Posição do ano, GP D * GS GA 1930 Segundo 5 0 18 9 1934 Primeira rodada 9 0 0 1938 Não entrou em 1950 não entrou em 1954 não entrou em 1958 Etapa do grupo 13 0 5 10 1962 Etapa 10 1966 Quarter - Finals 5 1970 não qualificar o segundo estágio do grupo do segundo grupo 8 6 9 12 1978 Campeões 7 5 15 1982 Etapa do segundo grupo 11 5 0 8 7 1986 Campeões 7 6 0 14 5 1990 Runners - Up 7 5 1994 Rodada de 16 10 0 8 6 1998 Quarter - Finals 6 5 10 2002 Etapa do grupo 18 2006 Quarter - Finals 6 5 0 11 Quarter - Finals 5 5 0 10 6 2014 Runners - UP 7 5 1 * 8 2018 Qualificado 2022 a ser determinado Total 2 Títulos 16/20 77 42 14 21 131 84</v>
      </c>
      <c r="I375" s="3" t="str">
        <f>IFERROR(__xludf.DUMMYFUNCTION("GOOGLETRANSLATE(E375)"),"2014")</f>
        <v>2014</v>
      </c>
    </row>
    <row r="376" ht="15.75" customHeight="1">
      <c r="A376" s="1">
        <v>374.0</v>
      </c>
      <c r="B376" s="3" t="s">
        <v>1381</v>
      </c>
      <c r="C376" s="3" t="s">
        <v>1382</v>
      </c>
      <c r="D376" s="3" t="s">
        <v>1383</v>
      </c>
      <c r="E376" s="3" t="s">
        <v>1384</v>
      </c>
      <c r="F376" s="3" t="str">
        <f>IFERROR(__xludf.DUMMYFUNCTION("GOOGLETRANSLATE(B376)")," Pequenos gigantes")</f>
        <v> Pequenos gigantes</v>
      </c>
      <c r="G376" s="3" t="str">
        <f>IFERROR(__xludf.DUMMYFUNCTION("GOOGLETRANSLATE(C376)"),"quem eram os jogadores de futebol profissional em pequenos gigantes")</f>
        <v>quem eram os jogadores de futebol profissional em pequenos gigantes</v>
      </c>
      <c r="H376" s="3" t="str">
        <f>IFERROR(__xludf.DUMMYFUNCTION("GOOGLETRANSLATE(D376)")," Assim que o time de Danny começa a perder a esperança, um ônibus chega por carregar as estrelas da NFL John Madden, Emmitt Smith, Bruce Smith, Tim Brown e Steve Emtman. Eles ensinam e inspiram os jovens jogadores a acreditar que podem vencer.")</f>
        <v> Assim que o time de Danny começa a perder a esperança, um ônibus chega por carregar as estrelas da NFL John Madden, Emmitt Smith, Bruce Smith, Tim Brown e Steve Emtman. Eles ensinam e inspiram os jovens jogadores a acreditar que podem vencer.</v>
      </c>
      <c r="I376" s="3" t="str">
        <f>IFERROR(__xludf.DUMMYFUNCTION("GOOGLETRANSLATE(E376)"),"John Madden")</f>
        <v>John Madden</v>
      </c>
    </row>
    <row r="377" ht="15.75" customHeight="1">
      <c r="A377" s="1">
        <v>375.0</v>
      </c>
      <c r="B377" s="3" t="s">
        <v>1385</v>
      </c>
      <c r="C377" s="3" t="s">
        <v>1386</v>
      </c>
      <c r="D377" s="3" t="s">
        <v>1387</v>
      </c>
      <c r="F377" s="3" t="str">
        <f>IFERROR(__xludf.DUMMYFUNCTION("GOOGLETRANSLATE(B377)")," Banco de Reserva da África do Sul")</f>
        <v> Banco de Reserva da África do Sul</v>
      </c>
      <c r="G377" s="3" t="str">
        <f>IFERROR(__xludf.DUMMYFUNCTION("GOOGLETRANSLATE(C377)"),"que é dono do Banco de Reserva na África do Sul")</f>
        <v>que é dono do Banco de Reserva na África do Sul</v>
      </c>
      <c r="H377" s="3" t="str">
        <f>IFERROR(__xludf.DUMMYFUNCTION("GOOGLETRANSLATE(D377)")," O Reserve Bank é de propriedade privada, com 2 milhões de ações emitidas. A única limitação da participação acionária é que nenhum acionista único pode possuir mais de 10.000 ações individualmente. Atualmente, existem 696 acionistas, no relatório do índi"&amp;"ce de acionistas de 31 de agosto de 2018, possuindo ações no Banco Reserva da África do Sul.")</f>
        <v> O Reserve Bank é de propriedade privada, com 2 milhões de ações emitidas. A única limitação da participação acionária é que nenhum acionista único pode possuir mais de 10.000 ações individualmente. Atualmente, existem 696 acionistas, no relatório do índice de acionistas de 31 de agosto de 2018, possuindo ações no Banco Reserva da África do Sul.</v>
      </c>
      <c r="I377" s="3" t="str">
        <f>IFERROR(__xludf.DUMMYFUNCTION("GOOGLETRANSLATE(E377)"),"#VALUE!")</f>
        <v>#VALUE!</v>
      </c>
    </row>
    <row r="378" ht="15.75" customHeight="1">
      <c r="A378" s="1">
        <v>376.0</v>
      </c>
      <c r="B378" s="3" t="s">
        <v>1388</v>
      </c>
      <c r="C378" s="3" t="s">
        <v>1389</v>
      </c>
      <c r="D378" s="3" t="s">
        <v>1390</v>
      </c>
      <c r="E378" s="3" t="s">
        <v>1391</v>
      </c>
      <c r="F378" s="3" t="str">
        <f>IFERROR(__xludf.DUMMYFUNCTION("GOOGLETRANSLATE(B378)")," Desenvolvimento das gônadas")</f>
        <v> Desenvolvimento das gônadas</v>
      </c>
      <c r="G378" s="3" t="str">
        <f>IFERROR(__xludf.DUMMYFUNCTION("GOOGLETRANSLATE(C378)"),"onde os testículos se desenvolvem no embrião")</f>
        <v>onde os testículos se desenvolvem no embrião</v>
      </c>
      <c r="H378" s="3" t="str">
        <f>IFERROR(__xludf.DUMMYFUNCTION("GOOGLETRANSLATE(D378)")," O desenvolvimento das gônadas faz parte do desenvolvimento pré -natal do sistema reprodutivo e, finalmente, forma os testículos nos homens e os ovários nas fêmeas. As gônadas se desenvolvem inicialmente a partir da camada mesotelial do peritônio.")</f>
        <v> O desenvolvimento das gônadas faz parte do desenvolvimento pré -natal do sistema reprodutivo e, finalmente, forma os testículos nos homens e os ovários nas fêmeas. As gônadas se desenvolvem inicialmente a partir da camada mesotelial do peritônio.</v>
      </c>
      <c r="I378" s="3" t="str">
        <f>IFERROR(__xludf.DUMMYFUNCTION("GOOGLETRANSLATE(E378)"),"Da camada mesotelial do peritônio")</f>
        <v>Da camada mesotelial do peritônio</v>
      </c>
    </row>
    <row r="379" ht="15.75" customHeight="1">
      <c r="A379" s="1">
        <v>377.0</v>
      </c>
      <c r="B379" s="3" t="s">
        <v>1392</v>
      </c>
      <c r="C379" s="3" t="s">
        <v>1393</v>
      </c>
      <c r="D379" s="3" t="s">
        <v>1394</v>
      </c>
      <c r="F379" s="3" t="str">
        <f>IFERROR(__xludf.DUMMYFUNCTION("GOOGLETRANSLATE(B379)")," Annihilation (filme)")</f>
        <v> Annihilation (filme)</v>
      </c>
      <c r="G379" s="3" t="str">
        <f>IFERROR(__xludf.DUMMYFUNCTION("GOOGLETRANSLATE(C379)"),"é o filme de aniquilação apenas o primeiro livro")</f>
        <v>é o filme de aniquilação apenas o primeiro livro</v>
      </c>
      <c r="H379" s="3" t="str">
        <f>IFERROR(__xludf.DUMMYFUNCTION("GOOGLETRANSLATE(D379)")," Em março de 2013, foi anunciado que a Paramount Pictures e a Scott Rudin Productions haviam adquirido os direitos do cinema à aniquilação, o primeiro romance na trilogia Southern Reach de Jeff Vandermeer e que o filme seria produzido por Scott Rudin e El"&amp;"i Bush. Alex Garland foi contratado para adaptar e dirigir o filme no ano seguinte. Garland revelou à rotina criativa que sua adaptação foi necessariamente baseada apenas no primeiro romance da trilogia:")</f>
        <v> Em março de 2013, foi anunciado que a Paramount Pictures e a Scott Rudin Productions haviam adquirido os direitos do cinema à aniquilação, o primeiro romance na trilogia Southern Reach de Jeff Vandermeer e que o filme seria produzido por Scott Rudin e Eli Bush. Alex Garland foi contratado para adaptar e dirigir o filme no ano seguinte. Garland revelou à rotina criativa que sua adaptação foi necessariamente baseada apenas no primeiro romance da trilogia:</v>
      </c>
      <c r="I379" s="3" t="str">
        <f>IFERROR(__xludf.DUMMYFUNCTION("GOOGLETRANSLATE(E379)"),"#VALUE!")</f>
        <v>#VALUE!</v>
      </c>
    </row>
    <row r="380" ht="15.75" customHeight="1">
      <c r="A380" s="1">
        <v>378.0</v>
      </c>
      <c r="B380" s="3" t="s">
        <v>1395</v>
      </c>
      <c r="C380" s="3" t="s">
        <v>1396</v>
      </c>
      <c r="D380" s="3" t="s">
        <v>1397</v>
      </c>
      <c r="F380" s="3" t="str">
        <f>IFERROR(__xludf.DUMMYFUNCTION("GOOGLETRANSLATE(B380)")," Desculpe incomodá -lo (filme)")</f>
        <v> Desculpe incomodá -lo (filme)</v>
      </c>
      <c r="G380" s="3" t="str">
        <f>IFERROR(__xludf.DUMMYFUNCTION("GOOGLETRANSLATE(C380)"),"quem faz as vozes desculpe incomodá -lo")</f>
        <v>quem faz as vozes desculpe incomodá -lo</v>
      </c>
      <c r="H380" s="3" t="str">
        <f>IFERROR(__xludf.DUMMYFUNCTION("GOOGLETRANSLATE(D380)"),"  Lakeith Stanfield como Cassius `` Cash '' Green David Cross como Cash 'S `` White Voice' 'Mahari Crown como Fake Cash Tessa Thompson como Detroit, a namorada de Cash Lily James como Voz Branca de Detroit Jermaine Fowler como Salvador Omari Hardwick Como"&amp;" o Sr. _______ Patton Oswalt como a voz branca do Sr. _______ como Terry Terry como Sergio Green, o tio Danny Glover, do Cash, como Langston Steven Yeun como armário de Squeeze como Steve Lift Kate Berlant como Diana Debauchery Michael X.. Sommers como Jo"&amp;"hnny Robert Longstreet como Anderson Forest Whitaker como Primeiro Equisapien / DeMarius Rosario Dawson como voz no elevador Tom Woodruff Jr.")</f>
        <v>  Lakeith Stanfield como Cassius `` Cash '' Green David Cross como Cash 'S `` White Voice' 'Mahari Crown como Fake Cash Tessa Thompson como Detroit, a namorada de Cash Lily James como Voz Branca de Detroit Jermaine Fowler como Salvador Omari Hardwick Como o Sr. _______ Patton Oswalt como a voz branca do Sr. _______ como Terry Terry como Sergio Green, o tio Danny Glover, do Cash, como Langston Steven Yeun como armário de Squeeze como Steve Lift Kate Berlant como Diana Debauchery Michael X.. Sommers como Johnny Robert Longstreet como Anderson Forest Whitaker como Primeiro Equisapien / DeMarius Rosario Dawson como voz no elevador Tom Woodruff Jr.</v>
      </c>
      <c r="I380" s="3" t="str">
        <f>IFERROR(__xludf.DUMMYFUNCTION("GOOGLETRANSLATE(E380)"),"#VALUE!")</f>
        <v>#VALUE!</v>
      </c>
    </row>
    <row r="381" ht="15.75" customHeight="1">
      <c r="A381" s="1">
        <v>379.0</v>
      </c>
      <c r="B381" s="3" t="s">
        <v>1398</v>
      </c>
      <c r="C381" s="3" t="s">
        <v>1399</v>
      </c>
      <c r="D381" s="3" t="s">
        <v>1400</v>
      </c>
      <c r="E381" s="3" t="s">
        <v>1401</v>
      </c>
      <c r="F381" s="3" t="str">
        <f>IFERROR(__xludf.DUMMYFUNCTION("GOOGLETRANSLATE(B381)")," Jóias")</f>
        <v> Jóias</v>
      </c>
      <c r="G381" s="3" t="str">
        <f>IFERROR(__xludf.DUMMYFUNCTION("GOOGLETRANSLATE(C381)"),"Quando foi a primeira joia feita")</f>
        <v>Quando foi a primeira joia feita</v>
      </c>
      <c r="H381" s="3" t="str">
        <f>IFERROR(__xludf.DUMMYFUNCTION("GOOGLETRANSLATE(D381)")," As jóias (inglês britânico) ou jóias (inglês americano) consistem em pequenos itens decorativos usados ​​para adorno pessoal, como broches, anéis, colares, brincos, pingentes e pulseiras. As jóias podem ser anexadas ao corpo ou às roupas, e o termo é res"&amp;"trito a ornamentos duráveis, excluindo flores, por exemplo. Por muitos séculos, o metal, geralmente combinado com pedras preciosas, tem sido o material normal para jóias, mas outros materiais como conchas e outros materiais vegetais podem ser usados. É um"&amp;" dos tipos mais antigos de artefato arqueológico - com contas de 100.000 anos - feitas de conchas de Nassarius que se consideram as jóias mais antigas conhecidas. As formas básicas de jóias variam entre culturas, mas geralmente são extremamente longas - v"&amp;"ividas; Nas culturas européias, as formas mais comuns de jóias listadas acima persistiram desde os tempos antigos, enquanto outras formas como adornos para o nariz ou o tornozelo, importantes em outras culturas, são muito menos comuns.")</f>
        <v> As jóias (inglês britânico) ou jóias (inglês americano) consistem em pequenos itens decorativos usados ​​para adorno pessoal, como broches, anéis, colares, brincos, pingentes e pulseiras. As jóias podem ser anexadas ao corpo ou às roupas, e o termo é restrito a ornamentos duráveis, excluindo flores, por exemplo. Por muitos séculos, o metal, geralmente combinado com pedras preciosas, tem sido o material normal para jóias, mas outros materiais como conchas e outros materiais vegetais podem ser usados. É um dos tipos mais antigos de artefato arqueológico - com contas de 100.000 anos - feitas de conchas de Nassarius que se consideram as jóias mais antigas conhecidas. As formas básicas de jóias variam entre culturas, mas geralmente são extremamente longas - vividas; Nas culturas européias, as formas mais comuns de jóias listadas acima persistiram desde os tempos antigos, enquanto outras formas como adornos para o nariz ou o tornozelo, importantes em outras culturas, são muito menos comuns.</v>
      </c>
      <c r="I381" s="3" t="str">
        <f>IFERROR(__xludf.DUMMYFUNCTION("GOOGLETRANSLATE(E381)"),"100.000 - ano - contas antigas feitas de conchas de Nassarius")</f>
        <v>100.000 - ano - contas antigas feitas de conchas de Nassarius</v>
      </c>
    </row>
    <row r="382" ht="15.75" customHeight="1">
      <c r="A382" s="1">
        <v>380.0</v>
      </c>
      <c r="B382" s="3" t="s">
        <v>1402</v>
      </c>
      <c r="C382" s="3" t="s">
        <v>1403</v>
      </c>
      <c r="D382" s="3" t="s">
        <v>1404</v>
      </c>
      <c r="E382" s="3" t="s">
        <v>1405</v>
      </c>
      <c r="F382" s="3" t="str">
        <f>IFERROR(__xludf.DUMMYFUNCTION("GOOGLETRANSLATE(B382)")," Toner (cuidados com a pele)")</f>
        <v> Toner (cuidados com a pele)</v>
      </c>
      <c r="G382" s="3" t="str">
        <f>IFERROR(__xludf.DUMMYFUNCTION("GOOGLETRANSLATE(C382)"),"para que é o toner usado no rosto")</f>
        <v>para que é o toner usado no rosto</v>
      </c>
      <c r="H382" s="3" t="str">
        <f>IFERROR(__xludf.DUMMYFUNCTION("GOOGLETRANSLATE(D382)")," Em cosméticos, toner de pele ou simplesmente toner refere -se a uma loção ou lavagem projetada para limpar a pele e encolher a aparência dos poros, geralmente usados ​​no rosto. Os toners podem ser aplicados à pele de maneiras diferentes:")</f>
        <v> Em cosméticos, toner de pele ou simplesmente toner refere -se a uma loção ou lavagem projetada para limpar a pele e encolher a aparência dos poros, geralmente usados ​​no rosto. Os toners podem ser aplicados à pele de maneiras diferentes:</v>
      </c>
      <c r="I382" s="3" t="str">
        <f>IFERROR(__xludf.DUMMYFUNCTION("GOOGLETRANSLATE(E382)"),"Para limpar a pele e encolher a aparência dos poros")</f>
        <v>Para limpar a pele e encolher a aparência dos poros</v>
      </c>
    </row>
    <row r="383" ht="15.75" customHeight="1">
      <c r="A383" s="1">
        <v>381.0</v>
      </c>
      <c r="B383" s="3" t="s">
        <v>1406</v>
      </c>
      <c r="C383" s="3" t="s">
        <v>1407</v>
      </c>
      <c r="D383" s="3" t="s">
        <v>1408</v>
      </c>
      <c r="F383" s="3" t="str">
        <f>IFERROR(__xludf.DUMMYFUNCTION("GOOGLETRANSLATE(B383)")," Flapper")</f>
        <v> Flapper</v>
      </c>
      <c r="G383" s="3" t="str">
        <f>IFERROR(__xludf.DUMMYFUNCTION("GOOGLETRANSLATE(C383)"),"Quais eram algumas características dos flappers (a mulher moderna dos anos 20)")</f>
        <v>Quais eram algumas características dos flappers (a mulher moderna dos anos 20)</v>
      </c>
      <c r="H383" s="3" t="str">
        <f>IFERROR(__xludf.DUMMYFUNCTION("GOOGLETRANSLATE(D383)")," Os flappers eram uma geração de jovens mulheres ocidentais na década de 1920 que usavam saias curtas, balançavam o cabelo, ouviam o jazz e exibiam seu desdém pelo que foi considerado um comportamento aceitável. Os flappers foram vistos como impetuosos po"&amp;"r usar maquiagem excessiva, beber, tratar o sexo de maneira casual, fumar, dirigir automóveis e desrespeitar normas sociais e sexuais. Os flappers tiveram suas origens no período liberal dos vinte e poucos anos, a turbulência social e social e o aumento d"&amp;"a troca cultural transatlântica que se seguiu ao fim da Primeira Guerra Mundial, bem como a exportação da cultura americana de jazz para a Europa.")</f>
        <v> Os flappers eram uma geração de jovens mulheres ocidentais na década de 1920 que usavam saias curtas, balançavam o cabelo, ouviam o jazz e exibiam seu desdém pelo que foi considerado um comportamento aceitável. Os flappers foram vistos como impetuosos por usar maquiagem excessiva, beber, tratar o sexo de maneira casual, fumar, dirigir automóveis e desrespeitar normas sociais e sexuais. Os flappers tiveram suas origens no período liberal dos vinte e poucos anos, a turbulência social e social e o aumento da troca cultural transatlântica que se seguiu ao fim da Primeira Guerra Mundial, bem como a exportação da cultura americana de jazz para a Europa.</v>
      </c>
      <c r="I383" s="3" t="str">
        <f>IFERROR(__xludf.DUMMYFUNCTION("GOOGLETRANSLATE(E383)"),"#VALUE!")</f>
        <v>#VALUE!</v>
      </c>
    </row>
    <row r="384" ht="15.75" customHeight="1">
      <c r="A384" s="1">
        <v>382.0</v>
      </c>
      <c r="B384" s="3" t="s">
        <v>1409</v>
      </c>
      <c r="C384" s="3" t="s">
        <v>1410</v>
      </c>
      <c r="D384" s="3" t="s">
        <v>1411</v>
      </c>
      <c r="E384" s="3" t="s">
        <v>1412</v>
      </c>
      <c r="F384" s="3" t="str">
        <f>IFERROR(__xludf.DUMMYFUNCTION("GOOGLETRANSLATE(B384)")," Walking Tall (filme de 1973)")</f>
        <v> Walking Tall (filme de 1973)</v>
      </c>
      <c r="G384" s="3" t="str">
        <f>IFERROR(__xludf.DUMMYFUNCTION("GOOGLETRANSLATE(C384)"),"Quem era o ator original em Walking Tall")</f>
        <v>Quem era o ator original em Walking Tall</v>
      </c>
      <c r="H384" s="3" t="str">
        <f>IFERROR(__xludf.DUMMYFUNCTION("GOOGLETRANSLATE(D384)")," Walking Tall é um filme semi -bioópico de ação americano de 1973 do xerife Buford Pusser, um lutador profissional - virou -se Lawman no Condado de McNairy, Tennessee. Ele estrelou Joe Don Baker como Pusser. O filme foi dirigido por Phil Karlson. Com base"&amp;" na vida de Pusser, era uma combinação de fatos muito fracamente baseados e revisionismo de Hollywood. Desde então, tornou -se um clássico cult conhecido, com duas sequências diretas, um filme de TV, uma breve série de TV e um remake que teve suas duas se"&amp;"quências.")</f>
        <v> Walking Tall é um filme semi -bioópico de ação americano de 1973 do xerife Buford Pusser, um lutador profissional - virou -se Lawman no Condado de McNairy, Tennessee. Ele estrelou Joe Don Baker como Pusser. O filme foi dirigido por Phil Karlson. Com base na vida de Pusser, era uma combinação de fatos muito fracamente baseados e revisionismo de Hollywood. Desde então, tornou -se um clássico cult conhecido, com duas sequências diretas, um filme de TV, uma breve série de TV e um remake que teve suas duas sequências.</v>
      </c>
      <c r="I384" s="3" t="str">
        <f>IFERROR(__xludf.DUMMYFUNCTION("GOOGLETRANSLATE(E384)"),"Joe Don Baker")</f>
        <v>Joe Don Baker</v>
      </c>
    </row>
    <row r="385" ht="15.75" customHeight="1">
      <c r="A385" s="1">
        <v>383.0</v>
      </c>
      <c r="B385" s="3" t="s">
        <v>1413</v>
      </c>
      <c r="C385" s="3" t="s">
        <v>1414</v>
      </c>
      <c r="D385" s="3" t="s">
        <v>1415</v>
      </c>
      <c r="F385" s="3" t="str">
        <f>IFERROR(__xludf.DUMMYFUNCTION("GOOGLETRANSLATE(B385)")," Lista da maioria - contas seguidas no Twitter")</f>
        <v> Lista da maioria - contas seguidas no Twitter</v>
      </c>
      <c r="G385" s="3" t="str">
        <f>IFERROR(__xludf.DUMMYFUNCTION("GOOGLETRANSLATE(C385)"),"Quem tem mais seguidores no Twitter na Índia")</f>
        <v>Quem tem mais seguidores no Twitter na Índia</v>
      </c>
      <c r="H385" s="3" t="str">
        <f>IFERROR(__xludf.DUMMYFUNCTION("GOOGLETRANSLATE(D385)"),"   Nome da conta de classificação Seguidores do proprietário (milhões) Profissão Pousio 1. @ Katyperry Katy Perry 106 Músico dos Estados Unidos 2. @ Justinbieber Justin Bieber 103 Canadá 3. @ Barackobama Barack Obama 96 Ex -Presidente dos EUA nos Estados "&amp;"Unidos 4. @ Taylorswift13 Taylor Swift 86 Músico 5. @ Rihanna Rihanna 81 Barbados 6. @ Theellenshow Ellen DeGeneres 75 Comediante Estados Unidos 7. @ Ladygaga Lady Gaga 73 Músico 8. @ YouTube YouTube 70 Plataforma de mídia social 9. @ Jtimberlake Justin T"&amp;"imberlake 63 Músico e Ator 10. @ Cristiano Cristiano Ronaldo 63 jogador de futebol Portugal 11. @ Twitter Twitter 62 Plataforma de mídia social Estados Unidos 12. @ Kimkardashian Kim Kardashian West 57 Reality TV Personalidade 13. @ Britneyspears Britney "&amp;"Spears 56 Músico 14. @ Arianagrande Ariana Grande 55 15. @ Selenagomez Selena Gomez 54 Músico e Atriz 16. @ CNNBRK CNN BURASS NOTÍCIAS 53 Notícias 17. @ ddlovato demi lovato 51 músico e atriz 18. @ Jimmyfallon Jimmy Fallon 49 comediante 19. @ Shakira Shak"&amp;"ira 49 Músico Colômbia 20. @ JLO Jennifer Lopez 44 Músico e Atriz Estados Unidos 21. @ RealDonaldTrump Donald Trump 42 Presidente dos EUA e Personalidade de TV 22. @ Billgates Bill Gates 40 Empresário 23. @ NYTimes The New York Times 40 Newspaper 24. @ Op"&amp;"rah Oprah Winfrey 39 empresária 25. @ Instagram Instagram 39 Plataforma de mídia social 26. @ Kingjames LeBron James 39 Jogador de basquete 27. @ CNN CNN 38 Channel de televisão 28. @ Mileycyrus Miley Cyrus 37 Músico e Atriz 29. @ Brunomars Bruno Mars 36 "&amp;"Músico 30. @ Drake Drake 36 Rapper Canadá 31. @ Narendramodi Narendra Modi 36 Primeiro Ministro da Índia 32. @ Niallofficial Niall Horan 36 Músico Irlanda 33. @ BBCBRAING BBC BUICA NOTÍCIAS 35 NEWS REINO UNIDO 34. @ SportsCenter SportsCenter 35 Canal de t"&amp;"elevisão Estados Unidos 35. @ Kevinhart4real kevin hart 35 comediante 36. @ Neymarjr Neymar 34 jogador de futebol Brasil 37. @ ESPN ESPN 34 Canal de televisão Estados Unidos 38. @ wizkhalifa wiz khalifa 32 rapper 39. @ Liltunechi lil wayne 32 rapper 40. @"&amp;" OneDirection One Direction 32 Banda United Reino / Irlanda 41. @ Harry_styles Harry Styles 31 Músico do Reino Unido 42. @ Pink P! NK 31 Estados Unidos 43. @ Srbachchan Amitabh Bachchan 31 Ator Índia 44. @ IAMSRK SHAH RUKH KHAN 30 45. @ Louis_Tomlinson Lo"&amp;"uis Tomlinson 30 Músico Reino Unido 46. @ Liampayne Liam Payne 29 47. @ Aliciakeys Alicia Keys 29 Estados Unidos 48. @ Adele Adele 29 Reino Unido 49. @ Kaka kaká 29 futebol brasil 50. @ Realmentenph Neil Patrick Harris 28 Ator Unidos em 1 de novembro de 2"&amp;"017")</f>
        <v>   Nome da conta de classificação Seguidores do proprietário (milhões) Profissão Pousio 1. @ Katyperry Katy Perry 106 Músico dos Estados Unidos 2. @ Justinbieber Justin Bieber 103 Canadá 3. @ Barackobama Barack Obama 96 Ex -Presidente dos EUA nos Estados Unidos 4. @ Taylorswift13 Taylor Swift 86 Músico 5. @ Rihanna Rihanna 81 Barbados 6. @ Theellenshow Ellen DeGeneres 75 Comediante Estados Unidos 7. @ Ladygaga Lady Gaga 73 Músico 8. @ YouTube YouTube 70 Plataforma de mídia social 9. @ Jtimberlake Justin Timberlake 63 Músico e Ator 10. @ Cristiano Cristiano Ronaldo 63 jogador de futebol Portugal 11. @ Twitter Twitter 62 Plataforma de mídia social Estados Unidos 12. @ Kimkardashian Kim Kardashian West 57 Reality TV Personalidade 13. @ Britneyspears Britney Spears 56 Músico 14. @ Arianagrande Ariana Grande 55 15. @ Selenagomez Selena Gomez 54 Músico e Atriz 16. @ CNNBRK CNN BURASS NOTÍCIAS 53 Notícias 17. @ ddlovato demi lovato 51 músico e atriz 18. @ Jimmyfallon Jimmy Fallon 49 comediante 19. @ Shakira Shakira 49 Músico Colômbia 20. @ JLO Jennifer Lopez 44 Músico e Atriz Estados Unidos 21. @ RealDonaldTrump Donald Trump 42 Presidente dos EUA e Personalidade de TV 22. @ Billgates Bill Gates 40 Empresário 23. @ NYTimes The New York Times 40 Newspaper 24. @ Oprah Oprah Winfrey 39 empresária 25. @ Instagram Instagram 39 Plataforma de mídia social 26. @ Kingjames LeBron James 39 Jogador de basquete 27. @ CNN CNN 38 Channel de televisão 28. @ Mileycyrus Miley Cyrus 37 Músico e Atriz 29. @ Brunomars Bruno Mars 36 Músico 30. @ Drake Drake 36 Rapper Canadá 31. @ Narendramodi Narendra Modi 36 Primeiro Ministro da Índia 32. @ Niallofficial Niall Horan 36 Músico Irlanda 33. @ BBCBRAING BBC BUICA NOTÍCIAS 35 NEWS REINO UNIDO 34. @ SportsCenter SportsCenter 35 Canal de televisão Estados Unidos 35. @ Kevinhart4real kevin hart 35 comediante 36. @ Neymarjr Neymar 34 jogador de futebol Brasil 37. @ ESPN ESPN 34 Canal de televisão Estados Unidos 38. @ wizkhalifa wiz khalifa 32 rapper 39. @ Liltunechi lil wayne 32 rapper 40. @ OneDirection One Direction 32 Banda United Reino / Irlanda 41. @ Harry_styles Harry Styles 31 Músico do Reino Unido 42. @ Pink P! NK 31 Estados Unidos 43. @ Srbachchan Amitabh Bachchan 31 Ator Índia 44. @ IAMSRK SHAH RUKH KHAN 30 45. @ Louis_Tomlinson Louis Tomlinson 30 Músico Reino Unido 46. @ Liampayne Liam Payne 29 47. @ Aliciakeys Alicia Keys 29 Estados Unidos 48. @ Adele Adele 29 Reino Unido 49. @ Kaka kaká 29 futebol brasil 50. @ Realmentenph Neil Patrick Harris 28 Ator Unidos em 1 de novembro de 2017</v>
      </c>
      <c r="I385" s="3" t="str">
        <f>IFERROR(__xludf.DUMMYFUNCTION("GOOGLETRANSLATE(E385)"),"#VALUE!")</f>
        <v>#VALUE!</v>
      </c>
    </row>
    <row r="386" ht="15.75" customHeight="1">
      <c r="A386" s="1">
        <v>384.0</v>
      </c>
      <c r="B386" s="3" t="s">
        <v>1416</v>
      </c>
      <c r="C386" s="3" t="s">
        <v>1417</v>
      </c>
      <c r="D386" s="3" t="s">
        <v>1418</v>
      </c>
      <c r="F386" s="3" t="str">
        <f>IFERROR(__xludf.DUMMYFUNCTION("GOOGLETRANSLATE(B386)")," Um beijo para construir um sonho")</f>
        <v> Um beijo para construir um sonho</v>
      </c>
      <c r="G386" s="3" t="str">
        <f>IFERROR(__xludf.DUMMYFUNCTION("GOOGLETRANSLATE(C386)"),"quem escreveu a música um beijo para construir um sonho")</f>
        <v>quem escreveu a música um beijo para construir um sonho</v>
      </c>
      <c r="H386" s="3" t="str">
        <f>IFERROR(__xludf.DUMMYFUNCTION("GOOGLETRANSLATE(D386)")," `` Um beijo para construir um sonho '' é uma música composta por Bert Kalmar, Harry Ruby e Oscar Hammerstein II em 1935. Foi registrado por Louis Armstrong em 1951. Também foi realizado por Armstrong e Mickey Rooney com William DeMarest, por Sally Forres"&amp;"t e por Kay Brown (praticamente todo o elenco fez parte ou toda a música) no filme de 1951 `` The Strip '' e foi Uma espécie de tema recorrente no filme. A música foi nomeada para o Oscar de Melhor Música Original em 1951, mas perdeu para `` no legal, leg"&amp;"al, legal da noite ''. Outra gravação popular foi feita por uma das convidadas do filme - Stars, Monica Lewis, e no início de 1952, a versão de Hugo Winterhalter e sua orquestra, com o vocalista Johnny Parker, chegou ao gráfico pop 20 nos Estados Unidos.")</f>
        <v> `` Um beijo para construir um sonho '' é uma música composta por Bert Kalmar, Harry Ruby e Oscar Hammerstein II em 1935. Foi registrado por Louis Armstrong em 1951. Também foi realizado por Armstrong e Mickey Rooney com William DeMarest, por Sally Forrest e por Kay Brown (praticamente todo o elenco fez parte ou toda a música) no filme de 1951 `` The Strip '' e foi Uma espécie de tema recorrente no filme. A música foi nomeada para o Oscar de Melhor Música Original em 1951, mas perdeu para `` no legal, legal, legal da noite ''. Outra gravação popular foi feita por uma das convidadas do filme - Stars, Monica Lewis, e no início de 1952, a versão de Hugo Winterhalter e sua orquestra, com o vocalista Johnny Parker, chegou ao gráfico pop 20 nos Estados Unidos.</v>
      </c>
      <c r="I386" s="3" t="str">
        <f>IFERROR(__xludf.DUMMYFUNCTION("GOOGLETRANSLATE(E386)"),"#VALUE!")</f>
        <v>#VALUE!</v>
      </c>
    </row>
    <row r="387" ht="15.75" customHeight="1">
      <c r="A387" s="1">
        <v>385.0</v>
      </c>
      <c r="B387" s="3" t="s">
        <v>1419</v>
      </c>
      <c r="C387" s="3" t="s">
        <v>1420</v>
      </c>
      <c r="D387" s="3" t="s">
        <v>1421</v>
      </c>
      <c r="E387" s="3" t="s">
        <v>1422</v>
      </c>
      <c r="F387" s="3" t="str">
        <f>IFERROR(__xludf.DUMMYFUNCTION("GOOGLETRANSLATE(B387)")," Terra de Make Believe (parque de diversões)")</f>
        <v> Terra de Make Believe (parque de diversões)</v>
      </c>
      <c r="G387" s="3" t="str">
        <f>IFERROR(__xludf.DUMMYFUNCTION("GOOGLETRANSLATE(C387)"),"a terra de Make Believe Hope New Jersey")</f>
        <v>a terra de Make Believe Hope New Jersey</v>
      </c>
      <c r="H387" s="3" t="str">
        <f>IFERROR(__xludf.DUMMYFUNCTION("GOOGLETRANSLATE(D387)")," A terra de Make Believe é ​​um parque de diversões familiar que atende principalmente a crianças menores de 8 anos de idade. Inaugurado em 1954, está em Hope Township, Nova Jersey, Estados Unidos, na Rota 611 do condado, a três quilômetros da saída 12 da"&amp;" Interstate 80. Ele se centra em torno de `` recreação segura e saudável '', com passeios e atrações divertidas que são apreciadas principalmente por crianças menores de 8 anos, mas também têm algumas atrações para pessoas de todas as idades, mas não tão "&amp;"extremas que assustam crianças pequenas misturadas.")</f>
        <v> A terra de Make Believe é ​​um parque de diversões familiar que atende principalmente a crianças menores de 8 anos de idade. Inaugurado em 1954, está em Hope Township, Nova Jersey, Estados Unidos, na Rota 611 do condado, a três quilômetros da saída 12 da Interstate 80. Ele se centra em torno de `` recreação segura e saudável '', com passeios e atrações divertidas que são apreciadas principalmente por crianças menores de 8 anos, mas também têm algumas atrações para pessoas de todas as idades, mas não tão extremas que assustam crianças pequenas misturadas.</v>
      </c>
      <c r="I387" s="3" t="str">
        <f>IFERROR(__xludf.DUMMYFUNCTION("GOOGLETRANSLATE(E387)"),"Parque de diversões")</f>
        <v>Parque de diversões</v>
      </c>
    </row>
    <row r="388" ht="15.75" customHeight="1">
      <c r="A388" s="1">
        <v>386.0</v>
      </c>
      <c r="B388" s="3" t="s">
        <v>1423</v>
      </c>
      <c r="C388" s="3" t="s">
        <v>1424</v>
      </c>
      <c r="D388" s="3" t="s">
        <v>1425</v>
      </c>
      <c r="E388" s="3" t="s">
        <v>1426</v>
      </c>
      <c r="F388" s="3" t="str">
        <f>IFERROR(__xludf.DUMMYFUNCTION("GOOGLETRANSLATE(B388)")," Tempo real com Bill Maher (temporada 16)")</f>
        <v> Tempo real com Bill Maher (temporada 16)</v>
      </c>
      <c r="G388" s="3" t="str">
        <f>IFERROR(__xludf.DUMMYFUNCTION("GOOGLETRANSLATE(C388)"),"Quando o tempo real com Bill Maher volta")</f>
        <v>Quando o tempo real com Bill Maher volta</v>
      </c>
      <c r="H388" s="3" t="str">
        <f>IFERROR(__xludf.DUMMYFUNCTION("GOOGLETRANSLATE(D388)"),"   Não . No. Nº de convidados da temporada Data do ar original Os espectadores dos EUA (milhões) 446 Larry Wilmore, Michael Wolff, Andrew Sullivan, Saru Jayaraman, 19 de janeiro de 2018 (2018 - 01 - 19) 1.89 447 Roger McNamee, Rick Wilson, Ro Khanna, Mich"&amp;"elle Goldberg, Goldberg , Zooey Deschanel 26 de janeiro de 2018 (2018 - 01 - 26) 1,85 448 Anthony Scaramucci, Donna Brazile, Richard Haass, David Frum 2 de fevereiro de 2018 (2018 - 02 - 02) 1.91 449 Bari Weiss, Adam Schiff, Richard, Richard) Painter, Joh"&amp;"ann Hari 9 de fevereiro de 2018 (2018 - 02 - 09) 1,88 450 5 Salman Rushdie, Vicente Fox, Anna Deavere Smith, Fran Lebowitz 16 de fevereiro de 2018 (2018 - 02 - 16) 1.84 451 6 6 Eric Holder, Jon Meacham, Amy Chua, David Hogg, Cameron Kasky 2 de março de 20"&amp;"18 (2018 - 03 - 02) 1,91 452 7 Kathy Griffin, Ana Navarro, Erick Erickson, Bari Weiss, Trae Crowder 9 de março de 2018 (2018 - 03 - 09) 1.97 453 8 8 Beto O'Rourke, Billy Bush, Andrew Ross Sorkin, Pete Dominick, Nayyera Haq 16 de março de 2018 (2018 - 03 -"&amp;" 16) 1,86 454 9 Chris Hayes, Mitch Landrieu, Gina McCarthy, Mona Charen, Malcolm Nance 23 de março, 2018 (2018 ( 2018 - 03 - 23) 1,80 455 10 Geraldo Rivera, Heather McGhee, Max Boot, Eliot Spitzer, Louie Anderson, 6 de abril de 2018 (2018 - 04 - 06) 1,84 "&amp;"456 11 Brian Schatz, Andy Cohen, Jason Kander, Maya Wiley, Jonathan Chait 13 de abril de 2018 (2018 - 04 - 13) 1,56 457 12 Michael Avenatti, Frank Bruni, Alex Wagner, Jordan Peterson, Jay Inslee, 20 de abril de 2018 (2018 - 04 - 20) 1,75 458 13 Ronan Farr"&amp;"ow, Ross Douthat, ian ian Bremmer, Ana Marie Cox, John Podhoretz 27 de abril de 2018 (2018 - 04 - 27) 1,68 459 14 Jon Meacham, Michael Hayden, Matt Welch, Sally Kohn, Michael Tubbs 4 de maio de 2018 (2018 - 05 - 04) 1.50 460 15 15 15 Ethan Hawke, Robert R"&amp;"eich, Killer Mike, Duncan D. Hunter 11 de maio de 2018 (2018 - 05 - 11) 1,52 461 16 Dan Savage, Bari Weiss, Evan McMullin, Dambisa Moyo, Clint Watts 18 de maio de 2018 (2018 - 05 - 05 - 05 18 )   1.80     462   17   Bernie Sanders , Charlamagne tha God , "&amp;"Paul Begala , Bret Stephens , Natasha Bertrand   June 1 , 2018 ( 2018 - 06 - 01 )   1.77     463   18   Fareed Zakaria , John Heilemann , Michael Eric Dyson , Linda Chavez , Shermichael Singleton   June 8, 2018 (2018 - 06 - 08) 1,46 464 19 George Will, Ka"&amp;"ren Bass, Billy Eichner, Margaret Hoover, Michael Weiss, 15 de junho de 2018 (2018 - 06 - 15) 1.68 465 20 Michael Smerconish, Michael Pollan, Neera Tanden, Tanden, Colion Noir, Josh Barro, 22 de junho de 2018 (2018 - 06 - 22) 1,57 466 21 Michael Moore, Br"&amp;"adley Whitford, Jennifer Rubin, Lawrence Wilkerson, Ben Shapiro 29 de junho de 2018 (2018 - 06 - 29) 1.67 467 22 22 Nancy Maclean, 2018 (2018 - 06 - 29) 1.67 467 22 22 Nancy Maclean, 2018 Steve Schmidt, Charles Blow, Malcolm Nance, Kristen Soltis Anderson"&amp;" 3 de agosto de 2018 (2018 - 08 - 03) 1,44 468 23 D.L. Hughley, Lawrence O'Donnell, Seth Moulton, Steven Pinker, Christina Bellantoni, 10 de agosto de 2018 (2018 - 08 - 10) 1,59 469 24 Preet Bharara, Jennifer Granholm, Charlie Sykes, Jonathan Swan, Adam C"&amp;"onover, 17 de agosto de 2018 (2018 -2018 -2018 -2018 -2018 -2018 -2018 -2018 -2018 -2018 -2018 (2018 08 - 17) 1.69 470 25 John Brennan, David Corn, Rick Wilson, Saru Jayaraman, Kara Swisher 24 de agosto de 2018 (2018 - 08 - 24) 1.66 471 26 Jim Carrey, Dav"&amp;"id Axelrod, Charlie Dent, Michelle Goldberg, Jack Bryan Setembro, setembro 7, 2018 (2018 - 09 - 07) 1.68 472 27 John Kerry, Steve Ballmer, S.E. Cupp, Mark Leibovich, Richard Clarke 14 de setembro de 2018 (2018 - 09 - 14) 1,74 473 28 Michael Moore, Thom Ha"&amp;"rtmann, P.J. O'Rourke, Catherine Rampell, Steve Hilton 21 de setembro de 2018 (2018 - 09 - 21) 1.70 474 29   Steve Bannon , Neil deGrasse Tyson , Evelyn Farkas , Max Brooks , April Ryan   September 28 , 2018 ( 2018 - 09 - 28 )   1.76     475   30   Doris "&amp;"Kearns Goodwin , Soledad O'Brien , David Jolly , Andrew Sullivan , Jeff Bridges   October 5 , 2018 (2018 - 10 - 05) 1,73 476 31 Omarosa Manigault Newman, Eddie Glaude, Steve Kornacki, Reihan Salam, Rebecca Traister 12 de outubro de 2018 (2018 - 10 - 12) 1"&amp;",74 477 32 Stormy Daniels, Anthony Scaramucci, Betsy Woodr, majorx, majorx, majorx, majorx, majorx, majorx, majorx, majerx, main, main -stormy, main -stormy. Boot, Jonathan Haidt 26 de outubro de 2018 (2018 - 10 - 26) TBD 478 33 Barbra Streisand, Chelsea "&amp;"Handler, Jim Vandehei, Anthony Romero 2 de novembro de 2018 (2018 - 11 - 02) TBD 479 34 9 de novembro, 2018 (2018 - 2018 - 11 - 02) 11 - 09) TBD 480 35 16 de novembro de 2018 (2018 - 11 - 16) TBD")</f>
        <v>   Não . No. Nº de convidados da temporada Data do ar original Os espectadores dos EUA (milhões) 446 Larry Wilmore, Michael Wolff, Andrew Sullivan, Saru Jayaraman, 19 de janeiro de 2018 (2018 - 01 - 19) 1.89 447 Roger McNamee, Rick Wilson, Ro Khanna, Michelle Goldberg, Goldberg , Zooey Deschanel 26 de janeiro de 2018 (2018 - 01 - 26) 1,85 448 Anthony Scaramucci, Donna Brazile, Richard Haass, David Frum 2 de fevereiro de 2018 (2018 - 02 - 02) 1.91 449 Bari Weiss, Adam Schiff, Richard, Richard) Painter, Johann Hari 9 de fevereiro de 2018 (2018 - 02 - 09) 1,88 450 5 Salman Rushdie, Vicente Fox, Anna Deavere Smith, Fran Lebowitz 16 de fevereiro de 2018 (2018 - 02 - 16) 1.84 451 6 6 Eric Holder, Jon Meacham, Amy Chua, David Hogg, Cameron Kasky 2 de março de 2018 (2018 - 03 - 02) 1,91 452 7 Kathy Griffin, Ana Navarro, Erick Erickson, Bari Weiss, Trae Crowder 9 de março de 2018 (2018 - 03 - 09) 1.97 453 8 8 Beto O'Rourke, Billy Bush, Andrew Ross Sorkin, Pete Dominick, Nayyera Haq 16 de março de 2018 (2018 - 03 - 16) 1,86 454 9 Chris Hayes, Mitch Landrieu, Gina McCarthy, Mona Charen, Malcolm Nance 23 de março, 2018 (2018 ( 2018 - 03 - 23) 1,80 455 10 Geraldo Rivera, Heather McGhee, Max Boot, Eliot Spitzer, Louie Anderson, 6 de abril de 2018 (2018 - 04 - 06) 1,84 456 11 Brian Schatz, Andy Cohen, Jason Kander, Maya Wiley, Jonathan Chait 13 de abril de 2018 (2018 - 04 - 13) 1,56 457 12 Michael Avenatti, Frank Bruni, Alex Wagner, Jordan Peterson, Jay Inslee, 20 de abril de 2018 (2018 - 04 - 20) 1,75 458 13 Ronan Farrow, Ross Douthat, ian ian Bremmer, Ana Marie Cox, John Podhoretz 27 de abril de 2018 (2018 - 04 - 27) 1,68 459 14 Jon Meacham, Michael Hayden, Matt Welch, Sally Kohn, Michael Tubbs 4 de maio de 2018 (2018 - 05 - 04) 1.50 460 15 15 15 Ethan Hawke, Robert Reich, Killer Mike, Duncan D. Hunter 11 de maio de 2018 (2018 - 05 - 11) 1,52 461 16 Dan Savage, Bari Weiss, Evan McMullin, Dambisa Moyo, Clint Watts 18 de maio de 2018 (2018 - 05 - 05 - 05 18 )   1.80     462   17   Bernie Sanders , Charlamagne tha God , Paul Begala , Bret Stephens , Natasha Bertrand   June 1 , 2018 ( 2018 - 06 - 01 )   1.77     463   18   Fareed Zakaria , John Heilemann , Michael Eric Dyson , Linda Chavez , Shermichael Singleton   June 8, 2018 (2018 - 06 - 08) 1,46 464 19 George Will, Karen Bass, Billy Eichner, Margaret Hoover, Michael Weiss, 15 de junho de 2018 (2018 - 06 - 15) 1.68 465 20 Michael Smerconish, Michael Pollan, Neera Tanden, Tanden, Colion Noir, Josh Barro, 22 de junho de 2018 (2018 - 06 - 22) 1,57 466 21 Michael Moore, Bradley Whitford, Jennifer Rubin, Lawrence Wilkerson, Ben Shapiro 29 de junho de 2018 (2018 - 06 - 29) 1.67 467 22 22 Nancy Maclean, 2018 (2018 - 06 - 29) 1.67 467 22 22 Nancy Maclean, 2018 Steve Schmidt, Charles Blow, Malcolm Nance, Kristen Soltis Anderson 3 de agosto de 2018 (2018 - 08 - 03) 1,44 468 23 D.L. Hughley, Lawrence O'Donnell, Seth Moulton, Steven Pinker, Christina Bellantoni, 10 de agosto de 2018 (2018 - 08 - 10) 1,59 469 24 Preet Bharara, Jennifer Granholm, Charlie Sykes, Jonathan Swan, Adam Conover, 17 de agosto de 2018 (2018 -2018 -2018 -2018 -2018 -2018 -2018 -2018 -2018 -2018 -2018 (2018 08 - 17) 1.69 470 25 John Brennan, David Corn, Rick Wilson, Saru Jayaraman, Kara Swisher 24 de agosto de 2018 (2018 - 08 - 24) 1.66 471 26 Jim Carrey, David Axelrod, Charlie Dent, Michelle Goldberg, Jack Bryan Setembro, setembro 7, 2018 (2018 - 09 - 07) 1.68 472 27 John Kerry, Steve Ballmer, S.E. Cupp, Mark Leibovich, Richard Clarke 14 de setembro de 2018 (2018 - 09 - 14) 1,74 473 28 Michael Moore, Thom Hartmann, P.J. O'Rourke, Catherine Rampell, Steve Hilton 21 de setembro de 2018 (2018 - 09 - 21) 1.70 474 29   Steve Bannon , Neil deGrasse Tyson , Evelyn Farkas , Max Brooks , April Ryan   September 28 , 2018 ( 2018 - 09 - 28 )   1.76     475   30   Doris Kearns Goodwin , Soledad O'Brien , David Jolly , Andrew Sullivan , Jeff Bridges   October 5 , 2018 (2018 - 10 - 05) 1,73 476 31 Omarosa Manigault Newman, Eddie Glaude, Steve Kornacki, Reihan Salam, Rebecca Traister 12 de outubro de 2018 (2018 - 10 - 12) 1,74 477 32 Stormy Daniels, Anthony Scaramucci, Betsy Woodr, majorx, majorx, majorx, majorx, majorx, majorx, majorx, majerx, main, main -stormy, main -stormy. Boot, Jonathan Haidt 26 de outubro de 2018 (2018 - 10 - 26) TBD 478 33 Barbra Streisand, Chelsea Handler, Jim Vandehei, Anthony Romero 2 de novembro de 2018 (2018 - 11 - 02) TBD 479 34 9 de novembro, 2018 (2018 - 2018 - 11 - 02) 11 - 09) TBD 480 35 16 de novembro de 2018 (2018 - 11 - 16) TBD</v>
      </c>
      <c r="I388" s="3" t="str">
        <f>IFERROR(__xludf.DUMMYFUNCTION("GOOGLETRANSLATE(E388)"),"9 de novembro de 2018")</f>
        <v>9 de novembro de 2018</v>
      </c>
    </row>
    <row r="389" ht="15.75" customHeight="1">
      <c r="A389" s="1">
        <v>387.0</v>
      </c>
      <c r="B389" s="3" t="s">
        <v>1427</v>
      </c>
      <c r="C389" s="3" t="s">
        <v>1428</v>
      </c>
      <c r="D389" s="3" t="s">
        <v>1429</v>
      </c>
      <c r="E389" s="3" t="s">
        <v>1430</v>
      </c>
      <c r="F389" s="3" t="str">
        <f>IFERROR(__xludf.DUMMYFUNCTION("GOOGLETRANSLATE(B389)")," Lista de presidentes dos Estados Unidos por tempo no cargo")</f>
        <v> Lista de presidentes dos Estados Unidos por tempo no cargo</v>
      </c>
      <c r="G389" s="3" t="str">
        <f>IFERROR(__xludf.DUMMYFUNCTION("GOOGLETRANSLATE(C389)"),"quem foi o último presidente a não ser reeleito")</f>
        <v>quem foi o último presidente a não ser reeleito</v>
      </c>
      <c r="H389" s="3" t="str">
        <f>IFERROR(__xludf.DUMMYFUNCTION("GOOGLETRANSLATE(D389)"),"   Presidente de classificação Length in Days Ordem de presidência Número de termos Franklin D. Roosevelt 7003442200000000000 ♠ 4.422 32nd 4 de março de 1933 - 12 de abril de 1945 Três termos completos; morreu 2 meses e 23 dias em quarto termo Thomas Jeff"&amp;"erson 7003292200000000000 ♠ 2,922 3 de março 4 de março de 1801 - 4 de março de 1809 Dois termos completos James Madison 700329222000000000 James 2,922 4 de março 4 de março, 1809 - 4 de março, 1817 dois Termos dois dois 70032922000000000 ♠ 2.922 5 de mar"&amp;"ço 4 de março de 1817 -4 de março de 1825 Dois termos completos Andrew Jackson 7003292200000000000 ♠ 2.922 7 de março 4, 1829 -4 de março de 1837 dois termos completos de Ulysses S. Grant 70032922200 @ 1837 21629000000 # 1837 Termos completos S. 4 de març"&amp;"o de 1877 Dois termos completos Grover Cleveland 2.922 22 de março 4 de março de 1885-4 de março de 1889 Dois termos completos (não consecutivos) 24 de março de 1893-4 de março de 1897 Woodrow Wilson 7003292200000000000 ♠ 2,922 28 28 de março, 1913 - 4 de"&amp;" março de 1921 Dois termos completos Dwight D. Eisenhower 7003292200000000000 ♠ 2.922 34 de janeiro de 1953- 20 de janeiro de 1961 Dois termos completos Ronald Reagan 700329222000000000 cos 922 40º 4 de janeiro, 1981- 1989, 1989, dois Termos Termos BILHOS"&amp;" 24 de janeiro, 1989, 1989, 1989, dois Termos Termos, dois Termos, Bill Termos. CLINTON 7003292200000000000 cos. - 20 de janeiro de 2017 Dois termos completos 14 George Washington 7003286500000000000 ♠ 2.865 1º de abril de 30 de abril de 1789 - 4 de março"&amp;" de 1797 Termos completos 15 Harry S. Truman 7003284000000000000 ♠ 2,840 33rd 12, 1945 - 20 de janeiro, 1953 ONE Part 33rd 12, 1945 - 20, 1953, 1950000, 1920000000, 2,840. (3 anos, 9 meses e 8 dias), seguido por um período completo 16 Theodore Roosevelt 7"&amp;"003272800000000000 ♠ 2.728 26 de setembro 14 de setembro de 1901 - 4 de março de 1909 Um termo parcial (3 anos, 5 meses e 18 dias), seguido Por um período completo 17 Calvin Coolidge 7003204100000000000 ♠ 2.041 30 de agosto 2 de 1923 - 4 de março de 1929 "&amp;"Um termo parcial (1 ano, 7 meses e 2 dias), seguido por um período completo 18 de richard nixon 7003202700000000000 cos. , 1969 - 9 de agosto de 1974 Um termo completo; Renunciou 1 ano, 6 meses e 20 dias no segundo mandato 19 Lyndon B. Johnson 70031886000"&amp;"00000000 ♠ 1.886 36 de novembro 22 de novembro de 1963 - 20 de janeiro de 1969 Um termo parcial (1 ano, 1 mês e 29 dias), seguido por um Termo completo 20 William McKinley 7003165400000000000 ♠ 1.654 25 de março de 1897 - 14 de setembro de 1901 Um termo c"&amp;"ompleto; assassinado 6 meses e 2 dias em segundo mandato, morrendo 8 dias depois, 6 meses e 10 dias após o período 21 Abraham Lincoln 7003150300000000000 ♠ 1,503 16 de março, 4 de março de 1861 - 15 de abril de 1865 Um termo; Assassinado 1 mês e 10 dias n"&amp;"o segundo mandato, morrendo 1 dia depois, 1 mês e 11 dias após o termo 22 amarre John Quincy Adams 70031461000000000 ♠ 1,461 6 de março 4 de março de 1825 - 4 de março de 1829 Um período inteiro Martin Van 7003146100000000000 ♠ 1,461 8 de março 4 de março"&amp;" de 1837 - 4 de março de 1841 Um termo completo James K. Polk 7003146100000000000 ♠ 1.461 11 de março 4 de março 1845 - 4 de março de 1849 One Termo Franklin Pierce 7003146100000000000 cost. , 1857 Um termo completo James Buchanan 7003146100000000000 ♠ 1."&amp;"461 15 de março 4 de março de 1857 - 4 de março de 1861 Um termo Rutherford B. Hayes 7003146100000000000 ♠ 1,461 19th 4 de março, 1877 - 4 de março, 1881 One Full Term 23 de março de 4 de março de 1889 - 4 de março de 1893 Um termo William Howard Taft 700"&amp;"3146100000000000 ♠ 1.461 27 de março 4 de março de 1909 - 4 de março de 1913 Um termo completo Herbert Hoover 700314611000000000 ♠ 1,4611113 310 de março, 70031461100000000 cos. Um Jimmy Carter 70031461000000000 ♠ 1.461 39 de janeiro, 20 de janeiro de 197"&amp;"7 - 20 de janeiro de 1981, um termo de George H.W. Bush 7003146100000000000 ♠ 1.461 41 de janeiro 20 de janeiro de 1989 - 20 de janeiro de 1993 Um período inteiro 33 John Adams 70031460000000000 ♠ 1,460 2 de abril, 4, 1797 - 4 de março de 1801 Um termo co"&amp;"mpleto 34 John 4003143, - 4 de março de 1845 Um termo parcial (3 anos e 11 meses) 35 Andrew Johnson 7003141900000000000 ♠ 1.419 17 de abril 15 de abril de 1865 - 4 de março de 1869 Um termo parcial (3 anos, 10 meses e 17 dias) 36 Chester A. Arthur 7003126"&amp;"200000000000 ♠ 1.262 21 de setembro 19 de setembro de 1881 - 4 de março de 1885 Um termo parcial (3 anos, 5 meses e 13 dias) 37 John F. Kennedy 7003103600000000000 ival Anos, 10 meses e 2 dias no mandato 38 Millard Fillmore 7002969000000000000 ♠ 969 13 de"&amp;" julho 9 de julho de 1850 - 4 de março de 1853 Um termo parcial (2 anos, 7 meses e 23 dias) 39 de agosto de 9 de agosto 9 de agosto 700289500000000000000 cos. , 1974 - 20 de janeiro de 1977 Um termo parcial (2 anos, 5 meses e 11 dias) 40 Warren G. Harding"&amp;" 7002881000000000000 ♠ 881 29 de março de 1921 - 2 de agosto de 1923 morreu 2 anos, 4 meses e 29 Dias do Termo 41 Donald Trump 700256800000000000000 ♠ 568 45th 20 de janeiro de 2017 - Servindo o primeiro mandato 42 Zachary Taylor 7002492000000000000 ♠ 492"&amp;" 12 de março, 4 de março, 1849 - 9 de julho, 1850 morreu 1 ano, 4 meses e 5 dias em termos 43 James A. Garfield 70021999000000000000 ♠ 199 20 de março, 4 de março de 1881 - 19 de setembro de 1881 assassinou 3 meses e 28 dias em termo, morrendo 79 dias dep"&amp;"ois, 6 meses e 15 dias no mandato 44 William Henry Harrison 7001310000000000000 ♠ 31 310, 44 de março 4, 4 de março 4, 1841 - 4 de abril de 1841 morreu 31 dias")</f>
        <v>   Presidente de classificação Length in Days Ordem de presidência Número de termos Franklin D. Roosevelt 7003442200000000000 ♠ 4.422 32nd 4 de março de 1933 - 12 de abril de 1945 Três termos completos; morreu 2 meses e 23 dias em quarto termo Thomas Jefferson 7003292200000000000 ♠ 2,922 3 de março 4 de março de 1801 - 4 de março de 1809 Dois termos completos James Madison 700329222000000000 James 2,922 4 de março 4 de março, 1809 - 4 de março, 1817 dois Termos dois dois 70032922000000000 ♠ 2.922 5 de março 4 de março de 1817 -4 de março de 1825 Dois termos completos Andrew Jackson 7003292200000000000 ♠ 2.922 7 de março 4, 1829 -4 de março de 1837 dois termos completos de Ulysses S. Grant 70032922200 @ 1837 21629000000 # 1837 Termos completos S. 4 de março de 1877 Dois termos completos Grover Cleveland 2.922 22 de março 4 de março de 1885-4 de março de 1889 Dois termos completos (não consecutivos) 24 de março de 1893-4 de março de 1897 Woodrow Wilson 7003292200000000000 ♠ 2,922 28 28 de março, 1913 - 4 de março de 1921 Dois termos completos Dwight D. Eisenhower 7003292200000000000 ♠ 2.922 34 de janeiro de 1953- 20 de janeiro de 1961 Dois termos completos Ronald Reagan 700329222000000000 cos 922 40º 4 de janeiro, 1981- 1989, 1989, dois Termos Termos BILHOS 24 de janeiro, 1989, 1989, 1989, dois Termos Termos, dois Termos, Bill Termos. CLINTON 7003292200000000000 cos. - 20 de janeiro de 2017 Dois termos completos 14 George Washington 7003286500000000000 ♠ 2.865 1º de abril de 30 de abril de 1789 - 4 de março de 1797 Termos completos 15 Harry S. Truman 7003284000000000000 ♠ 2,840 33rd 12, 1945 - 20 de janeiro, 1953 ONE Part 33rd 12, 1945 - 20, 1953, 1950000, 1920000000, 2,840. (3 anos, 9 meses e 8 dias), seguido por um período completo 16 Theodore Roosevelt 7003272800000000000 ♠ 2.728 26 de setembro 14 de setembro de 1901 - 4 de março de 1909 Um termo parcial (3 anos, 5 meses e 18 dias), seguido Por um período completo 17 Calvin Coolidge 7003204100000000000 ♠ 2.041 30 de agosto 2 de 1923 - 4 de março de 1929 Um termo parcial (1 ano, 7 meses e 2 dias), seguido por um período completo 18 de richard nixon 7003202700000000000 cos. , 1969 - 9 de agosto de 1974 Um termo completo; Renunciou 1 ano, 6 meses e 20 dias no segundo mandato 19 Lyndon B. Johnson 7003188600000000000 ♠ 1.886 36 de novembro 22 de novembro de 1963 - 20 de janeiro de 1969 Um termo parcial (1 ano, 1 mês e 29 dias), seguido por um Termo completo 20 William McKinley 7003165400000000000 ♠ 1.654 25 de março de 1897 - 14 de setembro de 1901 Um termo completo; assassinado 6 meses e 2 dias em segundo mandato, morrendo 8 dias depois, 6 meses e 10 dias após o período 21 Abraham Lincoln 7003150300000000000 ♠ 1,503 16 de março, 4 de março de 1861 - 15 de abril de 1865 Um termo; Assassinado 1 mês e 10 dias no segundo mandato, morrendo 1 dia depois, 1 mês e 11 dias após o termo 22 amarre John Quincy Adams 70031461000000000 ♠ 1,461 6 de março 4 de março de 1825 - 4 de março de 1829 Um período inteiro Martin Van 7003146100000000000 ♠ 1,461 8 de março 4 de março de 1837 - 4 de março de 1841 Um termo completo James K. Polk 7003146100000000000 ♠ 1.461 11 de março 4 de março 1845 - 4 de março de 1849 One Termo Franklin Pierce 7003146100000000000 cost. , 1857 Um termo completo James Buchanan 7003146100000000000 ♠ 1.461 15 de março 4 de março de 1857 - 4 de março de 1861 Um termo Rutherford B. Hayes 7003146100000000000 ♠ 1,461 19th 4 de março, 1877 - 4 de março, 1881 One Full Term 23 de março de 4 de março de 1889 - 4 de março de 1893 Um termo William Howard Taft 7003146100000000000 ♠ 1.461 27 de março 4 de março de 1909 - 4 de março de 1913 Um termo completo Herbert Hoover 700314611000000000 ♠ 1,4611113 310 de março, 70031461100000000 cos. Um Jimmy Carter 70031461000000000 ♠ 1.461 39 de janeiro, 20 de janeiro de 1977 - 20 de janeiro de 1981, um termo de George H.W. Bush 7003146100000000000 ♠ 1.461 41 de janeiro 20 de janeiro de 1989 - 20 de janeiro de 1993 Um período inteiro 33 John Adams 70031460000000000 ♠ 1,460 2 de abril, 4, 1797 - 4 de março de 1801 Um termo completo 34 John 4003143, - 4 de março de 1845 Um termo parcial (3 anos e 11 meses) 35 Andrew Johnson 7003141900000000000 ♠ 1.419 17 de abril 15 de abril de 1865 - 4 de março de 1869 Um termo parcial (3 anos, 10 meses e 17 dias) 36 Chester A. Arthur 7003126200000000000 ♠ 1.262 21 de setembro 19 de setembro de 1881 - 4 de março de 1885 Um termo parcial (3 anos, 5 meses e 13 dias) 37 John F. Kennedy 7003103600000000000 ival Anos, 10 meses e 2 dias no mandato 38 Millard Fillmore 7002969000000000000 ♠ 969 13 de julho 9 de julho de 1850 - 4 de março de 1853 Um termo parcial (2 anos, 7 meses e 23 dias) 39 de agosto de 9 de agosto 9 de agosto 700289500000000000000 cos. , 1974 - 20 de janeiro de 1977 Um termo parcial (2 anos, 5 meses e 11 dias) 40 Warren G. Harding 7002881000000000000 ♠ 881 29 de março de 1921 - 2 de agosto de 1923 morreu 2 anos, 4 meses e 29 Dias do Termo 41 Donald Trump 700256800000000000000 ♠ 568 45th 20 de janeiro de 2017 - Servindo o primeiro mandato 42 Zachary Taylor 7002492000000000000 ♠ 492 12 de março, 4 de março, 1849 - 9 de julho, 1850 morreu 1 ano, 4 meses e 5 dias em termos 43 James A. Garfield 70021999000000000000 ♠ 199 20 de março, 4 de março de 1881 - 19 de setembro de 1881 assassinou 3 meses e 28 dias em termo, morrendo 79 dias depois, 6 meses e 15 dias no mandato 44 William Henry Harrison 7001310000000000000 ♠ 31 310, 44 de março 4, 4 de março 4, 1841 - 4 de abril de 1841 morreu 31 dias</v>
      </c>
      <c r="I389" s="3" t="str">
        <f>IFERROR(__xludf.DUMMYFUNCTION("GOOGLETRANSLATE(E389)"),"George H.W. Arbusto")</f>
        <v>George H.W. Arbusto</v>
      </c>
    </row>
    <row r="390" ht="15.75" customHeight="1">
      <c r="A390" s="1">
        <v>388.0</v>
      </c>
      <c r="B390" s="3" t="s">
        <v>1431</v>
      </c>
      <c r="C390" s="3" t="s">
        <v>1432</v>
      </c>
      <c r="D390" s="3" t="s">
        <v>1433</v>
      </c>
      <c r="F390" s="3" t="str">
        <f>IFERROR(__xludf.DUMMYFUNCTION("GOOGLETRANSLATE(B390)")," Johnnycake")</f>
        <v> Johnnycake</v>
      </c>
      <c r="G390" s="3" t="str">
        <f>IFERROR(__xludf.DUMMYFUNCTION("GOOGLETRANSLATE(C390)"),"De onde veio o termo bolos de enxada")</f>
        <v>De onde veio o termo bolos de enxada</v>
      </c>
      <c r="H390" s="3" t="str">
        <f>IFERROR(__xludf.DUMMYFUNCTION("GOOGLETRANSLATE(D390)")," De acordo com o Oxford English Dictionary, o termo Hoecake ocorre pela primeira vez em 1745, e o termo é usado por escritores americanos como Joel Barlow e Washington Irving. A origem do nome é o método de preparação: eles foram cozidos em um tipo de pan"&amp;"ela de ferro chamada enxada. Há evidências conflitantes sobre a crença comum de que eles foram cozidos nas lâminas de enxadas de jardinagem. Um Hoecake pode ser feito de massa de pão de milho ou sobras de biscoito. Um pão de milho é mais espesso que uma p"&amp;"anqueca de pão de milho.")</f>
        <v> De acordo com o Oxford English Dictionary, o termo Hoecake ocorre pela primeira vez em 1745, e o termo é usado por escritores americanos como Joel Barlow e Washington Irving. A origem do nome é o método de preparação: eles foram cozidos em um tipo de panela de ferro chamada enxada. Há evidências conflitantes sobre a crença comum de que eles foram cozidos nas lâminas de enxadas de jardinagem. Um Hoecake pode ser feito de massa de pão de milho ou sobras de biscoito. Um pão de milho é mais espesso que uma panqueca de pão de milho.</v>
      </c>
      <c r="I390" s="3" t="str">
        <f>IFERROR(__xludf.DUMMYFUNCTION("GOOGLETRANSLATE(E390)"),"#VALUE!")</f>
        <v>#VALUE!</v>
      </c>
    </row>
    <row r="391" ht="15.75" customHeight="1">
      <c r="A391" s="1">
        <v>389.0</v>
      </c>
      <c r="B391" s="3" t="s">
        <v>1434</v>
      </c>
      <c r="C391" s="3" t="s">
        <v>1435</v>
      </c>
      <c r="D391" s="3" t="s">
        <v>1436</v>
      </c>
      <c r="F391" s="3" t="str">
        <f>IFERROR(__xludf.DUMMYFUNCTION("GOOGLETRANSLATE(B391)")," Dancing With the Stars (temporada 24 dos EUA)")</f>
        <v> Dancing With the Stars (temporada 24 dos EUA)</v>
      </c>
      <c r="G391" s="3" t="str">
        <f>IFERROR(__xludf.DUMMYFUNCTION("GOOGLETRANSLATE(C391)"),"última temporada de dançar com as estrelas elenco")</f>
        <v>última temporada de dançar com as estrelas elenco</v>
      </c>
      <c r="H391" s="3" t="str">
        <f>IFERROR(__xludf.DUMMYFUNCTION("GOOGLETRANSLATE(D391)"),"   Notabilidade da celebridade (conhecida por) status de parceiro profissional ref. O ator e o comediante de Chris Kattan, Witney Carson, eliminou o 1º de 27 de março de 2017, a comediante e o cantor Keo Motsepe eliminou o 2º em 3 de abril de 2017 Sr. T a"&amp;"tor e o ex -lutador Kym Herjavec eliminou o 3º lugar em 10 de abril, 2017 Erika Jayne Singer &amp; Reality Reality &amp; television star   Gleb Savchenko   Eliminated 4th on April 17 , 2017       Heather Morris   Glee actress &amp; dancer   Maksim Chmerkovskiy Alan B"&amp;"ersten ( weeks 2 - 5 )   Eliminated 5th on April 24 , 2017       Nancy Kerrigan   Former Olympic figure skater   Artem Chigvintsev   Eliminated 6th on May 1 , 2017       Nick Viall   The Bachelor star   Peta Murgatroyd     Bonner Bolton   Model &amp; bull rid"&amp;"er   Sharna Burgess   Eliminated 8th on May 8 , 2017       Simone Biles   Olympic artistic gymnast   Sasha Farber   Eliminated 9th on May 15 , 2017       Normani Kordei   Fifth Harmony singer   Valentin Chmerkovskiy   Third place on May 23 , 2017       Da"&amp;"vid Ross ex -apanhador da MLB Lindsay Arnold Runner - Up em 23 de maio de 2017 Rashad Jennings NFL Running Back Emma Slater Winner em 23 de maio de 2017")</f>
        <v>   Notabilidade da celebridade (conhecida por) status de parceiro profissional ref. O ator e o comediante de Chris Kattan, Witney Carson, eliminou o 1º de 27 de março de 2017, a comediante e o cantor Keo Motsepe eliminou o 2º em 3 de abril de 2017 Sr. T ator e o ex -lutador Kym Herjavec eliminou o 3º lugar em 10 de abril, 2017 Erika Jayne Singer &amp; Reality Reality &amp; television star   Gleb Savchenko   Eliminated 4th on April 17 , 2017       Heather Morris   Glee actress &amp; dancer   Maksim Chmerkovskiy Alan Bersten ( weeks 2 - 5 )   Eliminated 5th on April 24 , 2017       Nancy Kerrigan   Former Olympic figure skater   Artem Chigvintsev   Eliminated 6th on May 1 , 2017       Nick Viall   The Bachelor star   Peta Murgatroyd     Bonner Bolton   Model &amp; bull rider   Sharna Burgess   Eliminated 8th on May 8 , 2017       Simone Biles   Olympic artistic gymnast   Sasha Farber   Eliminated 9th on May 15 , 2017       Normani Kordei   Fifth Harmony singer   Valentin Chmerkovskiy   Third place on May 23 , 2017       David Ross ex -apanhador da MLB Lindsay Arnold Runner - Up em 23 de maio de 2017 Rashad Jennings NFL Running Back Emma Slater Winner em 23 de maio de 2017</v>
      </c>
      <c r="I391" s="3" t="str">
        <f>IFERROR(__xludf.DUMMYFUNCTION("GOOGLETRANSLATE(E391)"),"#VALUE!")</f>
        <v>#VALUE!</v>
      </c>
    </row>
    <row r="392" ht="15.75" customHeight="1">
      <c r="A392" s="1">
        <v>390.0</v>
      </c>
      <c r="B392" s="3" t="s">
        <v>1437</v>
      </c>
      <c r="C392" s="3" t="s">
        <v>1438</v>
      </c>
      <c r="D392" s="3" t="s">
        <v>1439</v>
      </c>
      <c r="F392" s="3" t="str">
        <f>IFERROR(__xludf.DUMMYFUNCTION("GOOGLETRANSLATE(B392)")," Parábola dos sábios e dos construtores tolos")</f>
        <v> Parábola dos sábios e dos construtores tolos</v>
      </c>
      <c r="G392" s="3" t="str">
        <f>IFERROR(__xludf.DUMMYFUNCTION("GOOGLETRANSLATE(C392)"),"História da Bíblia sobre construir sua casa na rocha")</f>
        <v>História da Bíblia sobre construir sua casa na rocha</v>
      </c>
      <c r="H392" s="3" t="str">
        <f>IFERROR(__xludf.DUMMYFUNCTION("GOOGLETRANSLATE(D392)")," A parábola dos construtores sábios e tolos (também conhecida como a casa na rocha) é uma parábola de Jesus que aparece no Evangelho de Mateus (7: 24 - 27) e Luke (6: 46 - 49) .")</f>
        <v> A parábola dos construtores sábios e tolos (também conhecida como a casa na rocha) é uma parábola de Jesus que aparece no Evangelho de Mateus (7: 24 - 27) e Luke (6: 46 - 49) .</v>
      </c>
      <c r="I392" s="3" t="str">
        <f>IFERROR(__xludf.DUMMYFUNCTION("GOOGLETRANSLATE(E392)"),"#VALUE!")</f>
        <v>#VALUE!</v>
      </c>
    </row>
    <row r="393" ht="15.75" customHeight="1">
      <c r="A393" s="1">
        <v>391.0</v>
      </c>
      <c r="B393" s="3" t="s">
        <v>1440</v>
      </c>
      <c r="C393" s="3" t="s">
        <v>1441</v>
      </c>
      <c r="D393" s="3" t="s">
        <v>1442</v>
      </c>
      <c r="E393" s="3" t="s">
        <v>1443</v>
      </c>
      <c r="F393" s="3" t="str">
        <f>IFERROR(__xludf.DUMMYFUNCTION("GOOGLETRANSLATE(B393)")," Lista de episódios Odd Mom Out")</f>
        <v> Lista de episódios Odd Mom Out</v>
      </c>
      <c r="G393" s="3" t="str">
        <f>IFERROR(__xludf.DUMMYFUNCTION("GOOGLETRANSLATE(C393)"),"Quantos episódios temporada 3 Odd Mom")</f>
        <v>Quantos episódios temporada 3 Odd Mom</v>
      </c>
      <c r="H393" s="3" t="str">
        <f>IFERROR(__xludf.DUMMYFUNCTION("GOOGLETRANSLATE(D393)"),"   Os episódios da temporada foi ao ar originalmente ao ar pela última vez em 10 de junho de 2015 (2015 - 06 - 08) 3 de agosto de 2015 (2015 - 08 - 03) 10 de junho de 20 de junho de 2016 (2016 - 06 - 20) 29 de agosto de 2016 (2016 - 08 - 29) 10 de julho d"&amp;"e 2017 (2017 - 07 - 12) 13 de setembro de 2017 (2017 - 09 - 13)")</f>
        <v>   Os episódios da temporada foi ao ar originalmente ao ar pela última vez em 10 de junho de 2015 (2015 - 06 - 08) 3 de agosto de 2015 (2015 - 08 - 03) 10 de junho de 20 de junho de 2016 (2016 - 06 - 20) 29 de agosto de 2016 (2016 - 08 - 29) 10 de julho de 2017 (2017 - 07 - 12) 13 de setembro de 2017 (2017 - 09 - 13)</v>
      </c>
      <c r="I393" s="3" t="str">
        <f>IFERROR(__xludf.DUMMYFUNCTION("GOOGLETRANSLATE(E393)"),"10")</f>
        <v>10</v>
      </c>
    </row>
    <row r="394" ht="15.75" customHeight="1">
      <c r="A394" s="1">
        <v>392.0</v>
      </c>
      <c r="B394" s="3" t="s">
        <v>1444</v>
      </c>
      <c r="C394" s="3" t="s">
        <v>1445</v>
      </c>
      <c r="D394" s="3" t="s">
        <v>1446</v>
      </c>
      <c r="E394" s="3" t="s">
        <v>1447</v>
      </c>
      <c r="F394" s="3" t="str">
        <f>IFERROR(__xludf.DUMMYFUNCTION("GOOGLETRANSLATE(B394)")," Livro de Ruth")</f>
        <v> Livro de Ruth</v>
      </c>
      <c r="G394" s="3" t="str">
        <f>IFERROR(__xludf.DUMMYFUNCTION("GOOGLETRANSLATE(C394)"),"Quantos capítulos em Ruth na Bíblia")</f>
        <v>Quantos capítulos em Ruth na Bíblia</v>
      </c>
      <c r="H394" s="3" t="str">
        <f>IFERROR(__xludf.DUMMYFUNCTION("GOOGLETRANSLATE(D394)")," O livro está estruturado em quatro capítulos:")</f>
        <v> O livro está estruturado em quatro capítulos:</v>
      </c>
      <c r="I394" s="3" t="str">
        <f>IFERROR(__xludf.DUMMYFUNCTION("GOOGLETRANSLATE(E394)"),"quatro")</f>
        <v>quatro</v>
      </c>
    </row>
    <row r="395" ht="15.75" customHeight="1">
      <c r="A395" s="1">
        <v>393.0</v>
      </c>
      <c r="B395" s="3" t="s">
        <v>1448</v>
      </c>
      <c r="C395" s="3" t="s">
        <v>1449</v>
      </c>
      <c r="D395" s="3" t="s">
        <v>1450</v>
      </c>
      <c r="F395" s="3" t="str">
        <f>IFERROR(__xludf.DUMMYFUNCTION("GOOGLETRANSLATE(B395)")," Lista de festivais no Paquistão")</f>
        <v> Lista de festivais no Paquistão</v>
      </c>
      <c r="G395" s="3" t="str">
        <f>IFERROR(__xludf.DUMMYFUNCTION("GOOGLETRANSLATE(C395)"),"Existem férias importantes ou festivais no Islã")</f>
        <v>Existem férias importantes ou festivais no Islã</v>
      </c>
      <c r="H395" s="3" t="str">
        <f>IFERROR(__xludf.DUMMYFUNCTION("GOOGLETRANSLATE(D395)"),"   Festival do mês do dia Muharram New Islâmico Ano Primeiro Dia do Calendário Islâmico 12 Rabi 'Al - Awwal Eid - E -Milād - Unnabī Aniversário do Profeta Muhammad 27 Rajab Miraj - Jornada noturna de Ramadan de Un -Nabi Muhammad 27 Ramadan Laylat al - Qad"&amp;"r na noite em que os primeiros versículos do Alcorão foram recebidos por Muhammad 30/11 Ramadã Chaand Raat na última noite do Ramadã comemorou no dia 29 ou 30, dependendo de quando a lua nova é avistada Shawal Eid Ul Fitr a celebração no final do mês em j"&amp;"ejum ( Ramadã) 10 dhu al - hijjah eid al - adha a celebração do sacrifício de Abraham")</f>
        <v>   Festival do mês do dia Muharram New Islâmico Ano Primeiro Dia do Calendário Islâmico 12 Rabi 'Al - Awwal Eid - E -Milād - Unnabī Aniversário do Profeta Muhammad 27 Rajab Miraj - Jornada noturna de Ramadan de Un -Nabi Muhammad 27 Ramadan Laylat al - Qadr na noite em que os primeiros versículos do Alcorão foram recebidos por Muhammad 30/11 Ramadã Chaand Raat na última noite do Ramadã comemorou no dia 29 ou 30, dependendo de quando a lua nova é avistada Shawal Eid Ul Fitr a celebração no final do mês em jejum ( Ramadã) 10 dhu al - hijjah eid al - adha a celebração do sacrifício de Abraham</v>
      </c>
      <c r="I395" s="3" t="str">
        <f>IFERROR(__xludf.DUMMYFUNCTION("GOOGLETRANSLATE(E395)"),"#VALUE!")</f>
        <v>#VALUE!</v>
      </c>
    </row>
    <row r="396" ht="15.75" customHeight="1">
      <c r="A396" s="1">
        <v>394.0</v>
      </c>
      <c r="B396" s="3" t="s">
        <v>1451</v>
      </c>
      <c r="C396" s="3" t="s">
        <v>1452</v>
      </c>
      <c r="D396" s="3" t="s">
        <v>1453</v>
      </c>
      <c r="E396" s="3" t="s">
        <v>1454</v>
      </c>
      <c r="F396" s="3" t="str">
        <f>IFERROR(__xludf.DUMMYFUNCTION("GOOGLETRANSLATE(B396)")," Bolo Tres Leches")</f>
        <v> Bolo Tres Leches</v>
      </c>
      <c r="G396" s="3" t="str">
        <f>IFERROR(__xludf.DUMMYFUNCTION("GOOGLETRANSLATE(C396)"),"Quais são os 3 leites no bolo Tres Leches")</f>
        <v>Quais são os 3 leites no bolo Tres Leches</v>
      </c>
      <c r="H396" s="3" t="str">
        <f>IFERROR(__xludf.DUMMYFUNCTION("GOOGLETRANSLATE(D396)")," Um bolo de Tres Leches (espanhol: pastel de Tres Leches, Tres Leches ou Bizcho de Tres Leches), também conhecido como Pan três leches (`` `Run Three Milks Pão ''), é um bolo de esponja, um bolo de manteiga de receitas - Mergulhado em três tipos de leite:"&amp;" leite evaporado, leite condensado e creme de leite")</f>
        <v> Um bolo de Tres Leches (espanhol: pastel de Tres Leches, Tres Leches ou Bizcho de Tres Leches), também conhecido como Pan três leches (`` `Run Three Milks Pão ''), é um bolo de esponja, um bolo de manteiga de receitas - Mergulhado em três tipos de leite: leite evaporado, leite condensado e creme de leite</v>
      </c>
      <c r="I396" s="3" t="str">
        <f>IFERROR(__xludf.DUMMYFUNCTION("GOOGLETRANSLATE(E396)"),"leite evaporado")</f>
        <v>leite evaporado</v>
      </c>
    </row>
    <row r="397" ht="15.75" customHeight="1">
      <c r="A397" s="1">
        <v>395.0</v>
      </c>
      <c r="B397" s="3" t="s">
        <v>1455</v>
      </c>
      <c r="C397" s="3" t="s">
        <v>1456</v>
      </c>
      <c r="D397" s="3" t="s">
        <v>1457</v>
      </c>
      <c r="E397" s="3" t="s">
        <v>1458</v>
      </c>
      <c r="F397" s="3" t="str">
        <f>IFERROR(__xludf.DUMMYFUNCTION("GOOGLETRANSLATE(B397)")," Esse será o dia (filme)")</f>
        <v> Esse será o dia (filme)</v>
      </c>
      <c r="G397" s="3" t="str">
        <f>IFERROR(__xludf.DUMMYFUNCTION("GOOGLETRANSLATE(C397)"),"onde foi o filme que será o dia filmado")</f>
        <v>onde foi o filme que será o dia filmado</v>
      </c>
      <c r="H397" s="3" t="str">
        <f>IFERROR(__xludf.DUMMYFUNCTION("GOOGLETRANSLATE(D397)")," Esse será o dia em que é um filme de drama britânico de 1973, dirigido por Claude Whatham, escrito por Ray Connolly, e estrelado por David Essex, Rosemary Leach e Ringo Starr. Está ambientado no final da década de 1950 / início da década de 1960 e foi pa"&amp;"rcialmente filmado na Ilha de Wight.")</f>
        <v> Esse será o dia em que é um filme de drama britânico de 1973, dirigido por Claude Whatham, escrito por Ray Connolly, e estrelado por David Essex, Rosemary Leach e Ringo Starr. Está ambientado no final da década de 1950 / início da década de 1960 e foi parcialmente filmado na Ilha de Wight.</v>
      </c>
      <c r="I397" s="3" t="str">
        <f>IFERROR(__xludf.DUMMYFUNCTION("GOOGLETRANSLATE(E397)"),"Ilha de Wight")</f>
        <v>Ilha de Wight</v>
      </c>
    </row>
    <row r="398" ht="15.75" customHeight="1">
      <c r="A398" s="1">
        <v>396.0</v>
      </c>
      <c r="B398" s="3" t="s">
        <v>1459</v>
      </c>
      <c r="C398" s="3" t="s">
        <v>1460</v>
      </c>
      <c r="D398" s="3" t="s">
        <v>1461</v>
      </c>
      <c r="E398" s="3" t="s">
        <v>1462</v>
      </c>
      <c r="F398" s="3" t="str">
        <f>IFERROR(__xludf.DUMMYFUNCTION("GOOGLETRANSLATE(B398)")," Desastre do lago Nyos")</f>
        <v> Desastre do lago Nyos</v>
      </c>
      <c r="G398" s="3" t="str">
        <f>IFERROR(__xludf.DUMMYFUNCTION("GOOGLETRANSLATE(C398)"),"Quantos animais morreram na tragédia do lago Nyos")</f>
        <v>Quantos animais morreram na tragédia do lago Nyos</v>
      </c>
      <c r="H398" s="3" t="str">
        <f>IFERROR(__xludf.DUMMYFUNCTION("GOOGLETRANSLATE(D398)")," Em 21 de agosto de 1986, uma erupção limna no Lago Nyos, no noroeste dos Camarões, matou 1.746 pessoas e 3.500 gado.")</f>
        <v> Em 21 de agosto de 1986, uma erupção limna no Lago Nyos, no noroeste dos Camarões, matou 1.746 pessoas e 3.500 gado.</v>
      </c>
      <c r="I398" s="3" t="str">
        <f>IFERROR(__xludf.DUMMYFUNCTION("GOOGLETRANSLATE(E398)"),"3.500")</f>
        <v>3.500</v>
      </c>
    </row>
    <row r="399" ht="15.75" customHeight="1">
      <c r="A399" s="1">
        <v>397.0</v>
      </c>
      <c r="B399" s="3" t="s">
        <v>1463</v>
      </c>
      <c r="C399" s="3" t="s">
        <v>1464</v>
      </c>
      <c r="D399" s="3" t="s">
        <v>1465</v>
      </c>
      <c r="E399" s="3" t="s">
        <v>1466</v>
      </c>
      <c r="F399" s="3" t="str">
        <f>IFERROR(__xludf.DUMMYFUNCTION("GOOGLETRANSLATE(B399)")," Madeira (música pitbull)")</f>
        <v> Madeira (música pitbull)</v>
      </c>
      <c r="G399" s="3" t="str">
        <f>IFERROR(__xludf.DUMMYFUNCTION("GOOGLETRANSLATE(C399)"),"quem é a garota dançando com pitbull na madeira")</f>
        <v>quem é a garota dançando com pitbull na madeira</v>
      </c>
      <c r="H399" s="3" t="str">
        <f>IFERROR(__xludf.DUMMYFUNCTION("GOOGLETRANSLATE(D399)")," Kesha filmou suas cenas em 5 de novembro de 2013, enquanto Pitbull filmou suas cenas uma semana depois em 12 de novembro de 2013. O vídeo também apresenta uma participação especial da modelo italiana Raffaella Moduguno e da Bloody Jug Band, um grupo amer"&amp;"icano de Orlando, que se apresenta no palco como a banda House do Bar. As cenas da praia foram filmadas em Ilhas Exuma, Bahamas.")</f>
        <v> Kesha filmou suas cenas em 5 de novembro de 2013, enquanto Pitbull filmou suas cenas uma semana depois em 12 de novembro de 2013. O vídeo também apresenta uma participação especial da modelo italiana Raffaella Moduguno e da Bloody Jug Band, um grupo americano de Orlando, que se apresenta no palco como a banda House do Bar. As cenas da praia foram filmadas em Ilhas Exuma, Bahamas.</v>
      </c>
      <c r="I399" s="3" t="str">
        <f>IFERROR(__xludf.DUMMYFUNCTION("GOOGLETRANSLATE(E399)"),"Raffaella Modugno")</f>
        <v>Raffaella Modugno</v>
      </c>
    </row>
    <row r="400" ht="15.75" customHeight="1">
      <c r="A400" s="1">
        <v>398.0</v>
      </c>
      <c r="B400" s="3" t="s">
        <v>1467</v>
      </c>
      <c r="C400" s="3" t="s">
        <v>1468</v>
      </c>
      <c r="D400" s="3" t="s">
        <v>1469</v>
      </c>
      <c r="F400" s="3" t="str">
        <f>IFERROR(__xludf.DUMMYFUNCTION("GOOGLETRANSLATE(B400)")," Campeonatos Nacionais de Futebol da Faculdade na Divisão I NCAA FBS")</f>
        <v> Campeonatos Nacionais de Futebol da Faculdade na Divisão I NCAA FBS</v>
      </c>
      <c r="G400" s="3" t="str">
        <f>IFERROR(__xludf.DUMMYFUNCTION("GOOGLETRANSLATE(C400)"),"que ganhou campeonatos nacionais no futebol universitário")</f>
        <v>que ganhou campeonatos nacionais no futebol universitário</v>
      </c>
      <c r="H400" s="3" t="str">
        <f>IFERROR(__xludf.DUMMYFUNCTION("GOOGLETRANSLATE(D400)"),"   School   Claimed national championships   Seasons   Source     Princeton   28   1869 , 1870 , 1872 , 1873 , 1874 , 1875 , 1877 , 1878 , 1879 , 1880 , 1881 , 1884 , 1885 , 1886 , 1889 , 1893 , 1894 , 1896 , 1898 , 1899 , 1903 , 1906 , 1911 , 1920 , 1922"&amp;" , 1933 , 1935 , 1950       Yale   27   1872 , 1874 , 1876 , 1877 , 1879 , 1880 , 1881 , 1882 , 1883 , 1884 , 1886 , 1887 , 1888 , 1891 , 1892 , 1893 , 1894 , 1895 , 1897, 1900, 1901, 1902, 1905, 1906, 1907, 1909, 1927 Alabama 17 1925, 1926, 1930, 1934, 1"&amp;"941, 1961, 1964, 1965, 1973, 1978, 1979, 1992, 2009, 2011, 2012, 2012, 2012, 1965, 1973, 1978, 1979, 1992, 2009, 2011, 2012, 2012, 2015, 2017 Michigan 11 1901, 1902, 1903, 1904, 1918, 1923, 1932, 1933, 1947, 1948, 1997 Notre Dame 11 1924, 1929, 1930, 1943"&amp;", 1946, 1947, 1949, 1966, 1973, 1988, 1988 USC 11 1928, 1931, 1932, 1939, 1962, 1967, 1972, 1974, 1978, 2003, 2004 Pittsburgh 9 1915, 1916, 1918, 1929, 1931, 1934, 1936, 1937, 1976 State 8 1942, 1931, 1934, 1936, 1937, 1976, 1976, 1929, 1931, 1934, 1936, "&amp;"1937, 1976, 1976, 1929, 1931, 1934, 1936, 1937, 1976, 1920 , 1961 , 1968 , 1970 , 2002 , 2014       Harvard   7   1890 , 1898 , 1899 , 1910 , 1912 , 1913 , 1919       Minnesota   7   1904 , 1934 , 1935 , 1936 , 1940 , 1941 , 1960       Oklahoma   7   1950"&amp;" , 1955 , 1956 , 1974 , 1975, 1985, 2000 Penn 7 1894, 1895, 1897, 1904, 1907, 1908, 1924 Estado de Michigan 6 1951, 1952, 1955, 1957, 1965, 1966 Tennessee 6 1938, 1940, 1950, 1951, 1967, 1998 Califórnia 5 1920 , 1921, 1922, 1923, 1937 Cornell 5 1915, 1921"&amp;", 1922, 1923, 1939 Illinois 5 1914, 1919, 1923, 1927, 1951 Miami (FL) 5 1983, 1987, 1989, 1991, 2001 da Nova York 5 1970, 1971, 1994, 1995. Florida State     1993 , 1999 , 2013       Lafayette     1896 , 1921 , 1926       LSU     1958 , 2003 , 2007       "&amp;"Ole Miss     1959 , 1960 , 1962       SMU     1935 , 1981 , 1982       Texas A&amp;M     1919 , 1927 , 1939       Auburn     1957 , 2010       Chicago     1905 , 1913       Clemson     1981 , 2016 Georgia 1942, 1980 Penn State 1982, 1986 TCU 1935, 1938 Stanfo"&amp;"rd 1926, 1940 Arkansas 1964 Boston College 1940 BYU 1984 Centro 1921 Colorado 1990 Dartmouth 1925 Kentucky 1950 Maryland 1953 Navy 1926 Oklahoma 1945")</f>
        <v>   School   Claimed national championships   Seasons   Source     Princeton   28   1869 , 1870 , 1872 , 1873 , 1874 , 1875 , 1877 , 1878 , 1879 , 1880 , 1881 , 1884 , 1885 , 1886 , 1889 , 1893 , 1894 , 1896 , 1898 , 1899 , 1903 , 1906 , 1911 , 1920 , 1922 , 1933 , 1935 , 1950       Yale   27   1872 , 1874 , 1876 , 1877 , 1879 , 1880 , 1881 , 1882 , 1883 , 1884 , 1886 , 1887 , 1888 , 1891 , 1892 , 1893 , 1894 , 1895 , 1897, 1900, 1901, 1902, 1905, 1906, 1907, 1909, 1927 Alabama 17 1925, 1926, 1930, 1934, 1941, 1961, 1964, 1965, 1973, 1978, 1979, 1992, 2009, 2011, 2012, 2012, 2012, 1965, 1973, 1978, 1979, 1992, 2009, 2011, 2012, 2012, 2015, 2017 Michigan 11 1901, 1902, 1903, 1904, 1918, 1923, 1932, 1933, 1947, 1948, 1997 Notre Dame 11 1924, 1929, 1930, 1943, 1946, 1947, 1949, 1966, 1973, 1988, 1988 USC 11 1928, 1931, 1932, 1939, 1962, 1967, 1972, 1974, 1978, 2003, 2004 Pittsburgh 9 1915, 1916, 1918, 1929, 1931, 1934, 1936, 1937, 1976 State 8 1942, 1931, 1934, 1936, 1937, 1976, 1976, 1929, 1931, 1934, 1936, 1937, 1976, 1976, 1929, 1931, 1934, 1936, 1937, 1976, 1920 , 1961 , 1968 , 1970 , 2002 , 2014       Harvard   7   1890 , 1898 , 1899 , 1910 , 1912 , 1913 , 1919       Minnesota   7   1904 , 1934 , 1935 , 1936 , 1940 , 1941 , 1960       Oklahoma   7   1950 , 1955 , 1956 , 1974 , 1975, 1985, 2000 Penn 7 1894, 1895, 1897, 1904, 1907, 1908, 1924 Estado de Michigan 6 1951, 1952, 1955, 1957, 1965, 1966 Tennessee 6 1938, 1940, 1950, 1951, 1967, 1998 Califórnia 5 1920 , 1921, 1922, 1923, 1937 Cornell 5 1915, 1921, 1922, 1923, 1939 Illinois 5 1914, 1919, 1923, 1927, 1951 Miami (FL) 5 1983, 1987, 1989, 1991, 2001 da Nova York 5 1970, 1971, 1994, 1995. Florida State     1993 , 1999 , 2013       Lafayette     1896 , 1921 , 1926       LSU     1958 , 2003 , 2007       Ole Miss     1959 , 1960 , 1962       SMU     1935 , 1981 , 1982       Texas A&amp;M     1919 , 1927 , 1939       Auburn     1957 , 2010       Chicago     1905 , 1913       Clemson     1981 , 2016 Georgia 1942, 1980 Penn State 1982, 1986 TCU 1935, 1938 Stanford 1926, 1940 Arkansas 1964 Boston College 1940 BYU 1984 Centro 1921 Colorado 1990 Dartmouth 1925 Kentucky 1950 Maryland 1953 Navy 1926 Oklahoma 1945</v>
      </c>
      <c r="I400" s="3" t="str">
        <f>IFERROR(__xludf.DUMMYFUNCTION("GOOGLETRANSLATE(E400)"),"#VALUE!")</f>
        <v>#VALUE!</v>
      </c>
    </row>
    <row r="401" ht="15.75" customHeight="1">
      <c r="A401" s="1">
        <v>399.0</v>
      </c>
      <c r="B401" s="3" t="s">
        <v>1470</v>
      </c>
      <c r="C401" s="3" t="s">
        <v>1471</v>
      </c>
      <c r="D401" s="3" t="s">
        <v>1472</v>
      </c>
      <c r="E401" s="3" t="s">
        <v>1473</v>
      </c>
      <c r="F401" s="3" t="str">
        <f>IFERROR(__xludf.DUMMYFUNCTION("GOOGLETRANSLATE(B401)")," Precisamos falar sobre Kevin (filme)")</f>
        <v> Precisamos falar sobre Kevin (filme)</v>
      </c>
      <c r="G401" s="3" t="str">
        <f>IFERROR(__xludf.DUMMYFUNCTION("GOOGLETRANSLATE(C401)"),"que jogou Kevin, precisamos falar sobre Kevin")</f>
        <v>que jogou Kevin, precisamos falar sobre Kevin</v>
      </c>
      <c r="H401" s="3" t="str">
        <f>IFERROR(__xludf.DUMMYFUNCTION("GOOGLETRANSLATE(D401)"),"  Tilda Swinton como Eva Khatchadourian John C. Reilly como Franklin Plaskett Ezra Miller como Kevin Khatchadourian Jasper Newell como o jovem Kevin Rocky Duer como o bebê Kevin Ashley Gerasimovich como Celia Khatchadoun Siobhan Fallon Hogan como Wanda Al"&amp;"ex Manette como Colin")</f>
        <v>  Tilda Swinton como Eva Khatchadourian John C. Reilly como Franklin Plaskett Ezra Miller como Kevin Khatchadourian Jasper Newell como o jovem Kevin Rocky Duer como o bebê Kevin Ashley Gerasimovich como Celia Khatchadoun Siobhan Fallon Hogan como Wanda Alex Manette como Colin</v>
      </c>
      <c r="I401" s="3" t="str">
        <f>IFERROR(__xludf.DUMMYFUNCTION("GOOGLETRANSLATE(E401)"),"Ezra Miller")</f>
        <v>Ezra Miller</v>
      </c>
    </row>
    <row r="402" ht="15.75" customHeight="1">
      <c r="A402" s="1">
        <v>400.0</v>
      </c>
      <c r="B402" s="3" t="s">
        <v>1474</v>
      </c>
      <c r="C402" s="3" t="s">
        <v>1475</v>
      </c>
      <c r="D402" s="3" t="s">
        <v>1476</v>
      </c>
      <c r="E402" s="3" t="s">
        <v>1477</v>
      </c>
      <c r="F402" s="3" t="str">
        <f>IFERROR(__xludf.DUMMYFUNCTION("GOOGLETRANSLATE(B402)")," Sistema de contabilidade dupla - entrada")</f>
        <v> Sistema de contabilidade dupla - entrada</v>
      </c>
      <c r="G402" s="3" t="str">
        <f>IFERROR(__xludf.DUMMYFUNCTION("GOOGLETRANSLATE(C402)"),"O que você quer dizer com sistema de entrada dupla de contabilidade")</f>
        <v>O que você quer dizer com sistema de entrada dupla de contabilidade</v>
      </c>
      <c r="H402" s="3" t="str">
        <f>IFERROR(__xludf.DUMMYFUNCTION("GOOGLETRANSLATE(D402)")," Double - contabilidade de entrada, em contabilidade, é um sistema de contabilidade assim nomeado porque cada entrada de uma conta requer uma entrada correspondente e oposta a uma conta diferente. Por exemplo, a gravação de ganhos de US $ 100 exigiria faz"&amp;"er duas entradas: uma entrada de débito de US $ 100 em uma conta chamada `` dinheiro '' e uma entrada de crédito de US $ 100 para uma conta chamada `` receita. ''")</f>
        <v> Double - contabilidade de entrada, em contabilidade, é um sistema de contabilidade assim nomeado porque cada entrada de uma conta requer uma entrada correspondente e oposta a uma conta diferente. Por exemplo, a gravação de ganhos de US $ 100 exigiria fazer duas entradas: uma entrada de débito de US $ 100 em uma conta chamada `` dinheiro '' e uma entrada de crédito de US $ 100 para uma conta chamada `` receita. ''</v>
      </c>
      <c r="I402" s="3" t="str">
        <f>IFERROR(__xludf.DUMMYFUNCTION("GOOGLETRANSLATE(E402)"),"Cada entrada para uma conta requer uma entrada correspondente e oposta a uma conta diferente")</f>
        <v>Cada entrada para uma conta requer uma entrada correspondente e oposta a uma conta diferente</v>
      </c>
    </row>
    <row r="403" ht="15.75" customHeight="1">
      <c r="A403" s="1">
        <v>401.0</v>
      </c>
      <c r="B403" s="3" t="s">
        <v>1478</v>
      </c>
      <c r="C403" s="3" t="s">
        <v>1479</v>
      </c>
      <c r="D403" s="3" t="s">
        <v>1480</v>
      </c>
      <c r="E403" s="3" t="s">
        <v>1481</v>
      </c>
      <c r="F403" s="3" t="str">
        <f>IFERROR(__xludf.DUMMYFUNCTION("GOOGLETRANSLATE(B403)")," Propriedades do reino")</f>
        <v> Propriedades do reino</v>
      </c>
      <c r="G403" s="3" t="str">
        <f>IFERROR(__xludf.DUMMYFUNCTION("GOOGLETRANSLATE(C403)"),"quem inventou a primeira propriedade na sociedade francesa")</f>
        <v>quem inventou a primeira propriedade na sociedade francesa</v>
      </c>
      <c r="H403" s="3" t="str">
        <f>IFERROR(__xludf.DUMMYFUNCTION("GOOGLETRANSLATE(D403)")," O sistema mais conhecido é o Régime Antigo Francês (Regime Antigo), um sistema imobiliário de três - usado até a Revolução Francesa (1789 - 1799). A monarquia era para o rei e a rainha e esse sistema era composto de clero (a primeira propriedade), nobres"&amp;" (a segunda propriedade) e camponeses e burguesia (a terceira propriedade). Em algumas regiões, principalmente a Escandinávia e a Rússia, os hambúrgueres (a classe de comerciantes urbanos) e os plebeus rurais foram divididos em propriedades separadas, cri"&amp;"ando um sistema imobiliário de quatro - com plebeus rurais classificando o mais baixo como o quarto patrimônio. Além disso, os pobres que não são da cidade poderiam ser deixados do lado de fora das propriedades, deixando-as sem direitos políticos. Na Ingl"&amp;"aterra, um sistema imobiliário evoluiu que combinava nobreza e bispos em uma propriedade ordens com `` commons '' como a segunda propriedade. Este sistema produziu as duas casas do Parlamento, a Câmara dos Comuns e a Câmara dos Lordes. No sul da Alemanha,"&amp;" um sistema imobiliário de nobreza (príncipes e clero alto), ritters (cavaleiros) e burghers foi usado.")</f>
        <v> O sistema mais conhecido é o Régime Antigo Francês (Regime Antigo), um sistema imobiliário de três - usado até a Revolução Francesa (1789 - 1799). A monarquia era para o rei e a rainha e esse sistema era composto de clero (a primeira propriedade), nobres (a segunda propriedade) e camponeses e burguesia (a terceira propriedade). Em algumas regiões, principalmente a Escandinávia e a Rússia, os hambúrgueres (a classe de comerciantes urbanos) e os plebeus rurais foram divididos em propriedades separadas, criando um sistema imobiliário de quatro - com plebeus rurais classificando o mais baixo como o quarto patrimônio. Além disso, os pobres que não são da cidade poderiam ser deixados do lado de fora das propriedades, deixando-as sem direitos políticos. Na Inglaterra, um sistema imobiliário evoluiu que combinava nobreza e bispos em uma propriedade ordens com `` commons '' como a segunda propriedade. Este sistema produziu as duas casas do Parlamento, a Câmara dos Comuns e a Câmara dos Lordes. No sul da Alemanha, um sistema imobiliário de nobreza (príncipes e clero alto), ritters (cavaleiros) e burghers foi usado.</v>
      </c>
      <c r="I403" s="3" t="str">
        <f>IFERROR(__xludf.DUMMYFUNCTION("GOOGLETRANSLATE(E403)"),"Clero (a primeira propriedade)")</f>
        <v>Clero (a primeira propriedade)</v>
      </c>
    </row>
    <row r="404" ht="15.75" customHeight="1">
      <c r="A404" s="1">
        <v>402.0</v>
      </c>
      <c r="B404" s="3" t="s">
        <v>1482</v>
      </c>
      <c r="C404" s="3" t="s">
        <v>1483</v>
      </c>
      <c r="D404" s="3" t="s">
        <v>1484</v>
      </c>
      <c r="F404" s="3" t="str">
        <f>IFERROR(__xludf.DUMMYFUNCTION("GOOGLETRANSLATE(B404)")," Green Bay Packers")</f>
        <v> Green Bay Packers</v>
      </c>
      <c r="G404" s="3" t="str">
        <f>IFERROR(__xludf.DUMMYFUNCTION("GOOGLETRANSLATE(C404)"),"Quando foi a última vez que Green Bay Packers venceu um superbowl")</f>
        <v>Quando foi a última vez que Green Bay Packers venceu um superbowl</v>
      </c>
      <c r="H404" s="3" t="str">
        <f>IFERROR(__xludf.DUMMYFUNCTION("GOOGLETRANSLATE(D404)"),"   A temporada atual de Green Bay Packers, criada em 11 de agosto de 1919; 98 anos atrás (11 de agosto de 1919) Primeira temporada: 1919 Brincho e sede em Lambeau Field, Green Bay, Wisconsin Logo Wordmark League / Conference Affiliações Independente (1919"&amp;" - 1920) Liga Nacional de Futebol (1921 - presente) Divisão ocidental (Divisão Ocidental (1919 - 1920) (1921 - presente) 1933 - 1949) Conferência Nacional (1950 - 1952) Conferência Oeste (1953 - 1966) Divisão Central (1967 - 1969) Conferência Nacional de "&amp;"Futebol (1970 - presente) Divisão Central (1970 - 2001) Divisão Norte (2002 - Presente) Cores uniformes de equipe de uniforme atual, verde escuro, ouro, música de luta branca `` go! Vocês empacotadores vão! 'Pessoal Proprietário (S) Green Bay Packers, Inc"&amp;". (360.760 acionistas - governados por um presidente do Conselho de Administração) Mark H. Murphy CEO Mark H. Murphy Presidente Mark H. Murphy Gerente Geral Brian Gutekunst Coach Mike McCarthy História da equipe Green Bay Packers (1919 - Presente) Apelido"&amp;"u a equipe Indian Packers (1919) Blues (1922) Big Bay Blues (1920) Bays (1918 - 1940) The Pack (atual) The Green and Gold (Current) Campeonatos da Liga dos Campeonatos (13 ) † Campeonatos da NFL (AFL antes de 1970-fusão da NFL) (11) 1929, 1930, 1931, 1936"&amp;", 1939, 1944, 1961, 1962, 1965, 1966, 1967 AFL-NFL Super Bowl Championships (2) 1966 ( I), 1967 (ii) Campeonatos do Super Bowl (2) 1996 (xxxi), 2010 (xlv) Campeonatos de conferências (9) NFL Western: 1960, 1961, 1962, 1965, 1966, 1967 NFC: 1996, 1997, 201"&amp;"0 Division Championships (18) NFL West: 1936, 1938, 1939, 1944 NFL Central: 1967 NFC Central: 1972, 1995, 1996, 1997 NFC North: 2002, 2003, 2004, 2007, 2011, 2012, 2013, 2014, 2016 † - faz Não inclui os campeonatos da AFL ou da NFL vencidos durante as mes"&amp;"mas temporadas que o AFL - NFL Super Bowl Championships antes das aparências de playoffs de fusão da AFL - NFL de 1970 (32) NFL: 1936, 1938, 1939, 1941, 1944, 1960, 1961, 1962, 1962 , 1965, 1966, 1967, 1972, 1982, 1993, 1994, 1995, 1996, 1997, 1998, 2001,"&amp;" 2002, 2003, 2004, 2007, 2009, 2010, 2012, 2012, 2013, 2014, 2015, 2016 Home Fields HAGEMEISTER PARK (1919 - 1922) BELLEVUE PARK (1923 - 1924) City Stadium (1925 - 1956) Borchert Field (1933) Wisconsin State Fair Park (1934 - 1951) Marquette Stadium (1952"&amp;") Milwaukee County Stadium (1953) - 1994) Lambeau Field (1957 - presente)")</f>
        <v>   A temporada atual de Green Bay Packers, criada em 11 de agosto de 1919; 98 anos atrás (11 de agosto de 1919) Primeira temporada: 1919 Brincho e sede em Lambeau Field, Green Bay, Wisconsin Logo Wordmark League / Conference Affiliações Independente (1919 - 1920) Liga Nacional de Futebol (1921 - presente) Divisão ocidental (Divisão Ocidental (1919 - 1920) (1921 - presente) 1933 - 1949) Conferência Nacional (1950 - 1952) Conferência Oeste (1953 - 1966) Divisão Central (1967 - 1969) Conferência Nacional de Futebol (1970 - presente) Divisão Central (1970 - 2001) Divisão Norte (2002 - Presente) Cores uniformes de equipe de uniforme atual, verde escuro, ouro, música de luta branca `` go! Vocês empacotadores vão! 'Pessoal Proprietário (S) Green Bay Packers, Inc. (360.760 acionistas - governados por um presidente do Conselho de Administração) Mark H. Murphy CEO Mark H. Murphy Presidente Mark H. Murphy Gerente Geral Brian Gutekunst Coach Mike McCarthy História da equipe Green Bay Packers (1919 - Presente) Apelidou a equipe Indian Packers (1919) Blues (1922) Big Bay Blues (1920) Bays (1918 - 1940) The Pack (atual) The Green and Gold (Current) Campeonatos da Liga dos Campeonatos (13 ) † Campeonatos da NFL (AFL antes de 1970-fusão da NFL) (11) 1929, 1930, 1931, 1936, 1939, 1944, 1961, 1962, 1965, 1966, 1967 AFL-NFL Super Bowl Championships (2) 1966 ( I), 1967 (ii) Campeonatos do Super Bowl (2) 1996 (xxxi), 2010 (xlv) Campeonatos de conferências (9) NFL Western: 1960, 1961, 1962, 1965, 1966, 1967 NFC: 1996, 1997, 2010 Division Championships (18) NFL West: 1936, 1938, 1939, 1944 NFL Central: 1967 NFC Central: 1972, 1995, 1996, 1997 NFC North: 2002, 2003, 2004, 2007, 2011, 2012, 2013, 2014, 2016 † - faz Não inclui os campeonatos da AFL ou da NFL vencidos durante as mesmas temporadas que o AFL - NFL Super Bowl Championships antes das aparências de playoffs de fusão da AFL - NFL de 1970 (32) NFL: 1936, 1938, 1939, 1941, 1944, 1960, 1961, 1962, 1962 , 1965, 1966, 1967, 1972, 1982, 1993, 1994, 1995, 1996, 1997, 1998, 2001, 2002, 2003, 2004, 2007, 2009, 2010, 2012, 2012, 2013, 2014, 2015, 2016 Home Fields HAGEMEISTER PARK (1919 - 1922) BELLEVUE PARK (1923 - 1924) City Stadium (1925 - 1956) Borchert Field (1933) Wisconsin State Fair Park (1934 - 1951) Marquette Stadium (1952) Milwaukee County Stadium (1953) - 1994) Lambeau Field (1957 - presente)</v>
      </c>
      <c r="I404" s="3" t="str">
        <f>IFERROR(__xludf.DUMMYFUNCTION("GOOGLETRANSLATE(E404)"),"#VALUE!")</f>
        <v>#VALUE!</v>
      </c>
    </row>
    <row r="405" ht="15.75" customHeight="1">
      <c r="A405" s="1">
        <v>403.0</v>
      </c>
      <c r="B405" s="3" t="s">
        <v>1485</v>
      </c>
      <c r="C405" s="3" t="s">
        <v>1486</v>
      </c>
      <c r="D405" s="3" t="s">
        <v>1487</v>
      </c>
      <c r="E405" s="3" t="s">
        <v>1488</v>
      </c>
      <c r="F405" s="3" t="str">
        <f>IFERROR(__xludf.DUMMYFUNCTION("GOOGLETRANSLATE(B405)")," Raul Esparza")</f>
        <v> Raul Esparza</v>
      </c>
      <c r="G405" s="3" t="str">
        <f>IFERROR(__xludf.DUMMYFUNCTION("GOOGLETRANSLATE(C405)"),"que interpreta Rafael Barba por lei e ordem")</f>
        <v>que interpreta Rafael Barba por lei e ordem</v>
      </c>
      <c r="H405" s="3" t="str">
        <f>IFERROR(__xludf.DUMMYFUNCTION("GOOGLETRANSLATE(D405)")," Raúl Eduardo Esparza (nascido em 24 de outubro de 1970) é um ator, cantor e artista de voz americano, mais conhecido por seu papel como Rafael Barba in Law &amp; Order: Special Victims Unit. Ele recebeu indicações de Tony por seu papel como Philip Salon no t"&amp;"abu musical de Boy George em 2004; Robert, um homem vazio desprovido de conexão na empresa de comédia musical em 2006; Um homem preguiçoso e sarcástico no Harold Pinter's's the Homecoming; e um agressivo produtor de filmes voláteis na velocidade de David "&amp;"Mamet, o arado. Ele desempenhou o papel de Riff Raff na Broadway no renascimento do Rocky Horror Show e no papel de Caractacus Potts no musical da Broadway Chitty Chitty Bang Bang.")</f>
        <v> Raúl Eduardo Esparza (nascido em 24 de outubro de 1970) é um ator, cantor e artista de voz americano, mais conhecido por seu papel como Rafael Barba in Law &amp; Order: Special Victims Unit. Ele recebeu indicações de Tony por seu papel como Philip Salon no tabu musical de Boy George em 2004; Robert, um homem vazio desprovido de conexão na empresa de comédia musical em 2006; Um homem preguiçoso e sarcástico no Harold Pinter's's the Homecoming; e um agressivo produtor de filmes voláteis na velocidade de David Mamet, o arado. Ele desempenhou o papel de Riff Raff na Broadway no renascimento do Rocky Horror Show e no papel de Caractacus Potts no musical da Broadway Chitty Chitty Bang Bang.</v>
      </c>
      <c r="I405" s="3" t="str">
        <f>IFERROR(__xludf.DUMMYFUNCTION("GOOGLETRANSLATE(E405)"),"Raúl Eduardo Esparza")</f>
        <v>Raúl Eduardo Esparza</v>
      </c>
    </row>
    <row r="406" ht="15.75" customHeight="1">
      <c r="A406" s="1">
        <v>404.0</v>
      </c>
      <c r="B406" s="3" t="s">
        <v>1489</v>
      </c>
      <c r="C406" s="3" t="s">
        <v>1490</v>
      </c>
      <c r="D406" s="3" t="s">
        <v>1491</v>
      </c>
      <c r="F406" s="3" t="str">
        <f>IFERROR(__xludf.DUMMYFUNCTION("GOOGLETRANSLATE(B406)")," The Walking Dead (8ª temporada)")</f>
        <v> The Walking Dead (8ª temporada)</v>
      </c>
      <c r="G406" s="3" t="str">
        <f>IFERROR(__xludf.DUMMYFUNCTION("GOOGLETRANSLATE(C406)"),"quem faz na 8ª temporada de The Walking Dead")</f>
        <v>quem faz na 8ª temporada de The Walking Dead</v>
      </c>
      <c r="H406" s="3" t="str">
        <f>IFERROR(__xludf.DUMMYFUNCTION("GOOGLETRANSLATE(D406)"),"   Não . Nº de título geral no título da temporada, dirigido por escrito pelos espectadores originais da Data Aérea dos EUA (milhões) 100 `` Mercy '' Greg Nicotero Scott M. Gimple 22 de outubro de 2017 (2017 - 10 - 22) 11.44 Rick, Maggie e Ezequiel Rally "&amp;"seu comunidades juntas para derrubar Negan. Gregory tenta ter os moradores do Hilltop com Negan, mas todos ficam firmemente atrás de Maggie. O grupo ataca o santuário, derrubando suas cercas e inundando o complexo com os caminhantes. Com o santuário desfi"&amp;"gurado, todo mundo sai, exceto Gabriel, que relutantemente fica para salvar Gregory, mas é deixado para trás quando Gregory o abandonar. Cercado por caminhantes, Gabriel se esconde em um trailer, onde está preso com Negan. 101 `` The Damned '' Rosemary Ro"&amp;"driguez Matthew Negrete &amp; Channing Powell 29 de outubro de 2017 (2017 - 10 - 29) 8.92 As forças de Rick se separaram em partes separadas para atacar vários postos externos dos Savores, durante os quais muitos membros do grupo são mortas ; Eric está gravem"&amp;"ente ferido e apressado por Aaron. Jesus impede Tara e Morgan de executar um grupo de salvadores rendidos. Enquanto limpava um posto avançado com Daryl, Rick é confrontado e mantido à mão armada por Morales, um sobrevivente que ele conheceu no acampamento"&amp;" inicial de Atlanta, que agora está com os salvadores. 102 `` Monsters '' Greg Nicotero Matthew Negrete &amp; Channing Powell 5 de novembro de 2017 (2017 - 11 - 05) 8.52 Daryl encontra Morales ameaçando Rick e o mata; A dupla então persegue um grupo de salvad"&amp;"ores que estão transportando armas para outro posto avançado. Gregory retorna ao Hilltop e, após uma discussão acalorada, Maggie finalmente o permite de volta à comunidade. Eric morre de seus ferimentos, deixando Aaron perturbado. Apesar das objeções de T"&amp;"ara e Morgan, Jesus lidera o grupo de salvadores entregados ao Hilltop. O grupo de Ezequiel ataca outro composto salvador, durante o qual os combatentes do reino são aniquilados enquanto protegem Ezequiel. 103 `` Algum cara '' Dan Liu David Leslie Johnson"&amp;" 12 de novembro de 2017 (2017 - 11 - 12) 8.69 O grupo de Ezequiel está impressionado com os salvadores, que matam todos eles, exceto por Ezequiel e Jerry. Carol limpa o interior do complexo, matando todos, exceto dois salvadores, que quase escapam, mas ac"&amp;"abam sendo pegos por Rick e Daryl. A caminho do reino, Ezequiel, Jerry e Carol estão cercados por caminhantes, mas Shiva se sacrifica para salvá -los. O trio retorna ao reino, onde a confiança de Ezequiel em si mesmo como líder diminuiu. 104 5 `` The Big "&amp;"Scary U '' Michael E. Satrazemis História de: Scott M. Gimple e David Leslie Johnson e Angela Kang Teleplay por: David Leslie Johnson e Angela Kang 19 de novembro de 2017 (2017 - 11 - 19) 7.85 Depois Confessando seus pecados um para o outro, Gabriel e Neg"&amp;"an conseguem escapar do trailer. Simon e os outros tenentes suspeitam um do outro, sabendo que as forças de Rick devem ter informações internas. Os trabalhadores do santuário ficam cada vez mais frustrados com suas condições de vida, e um tumulto quase se"&amp;" segue, até que Negan retorne e restaure a ordem. Gabriel está trancado em uma célula, onde Eugene o descobre doente e sofrimento. Enquanto isso, Rick e Daryl discutem sobre como tirar os salvadores, levando Daryl a abandonar Rick. 105 6 `` O rei, a viúva"&amp;" e Rick '' John Polson Angela Kang e Corey Reed 26 de novembro de 2017 (2017 - 11 - 26) 8.28 Rick visita Jadis na esperança de convencê -la a se voltar contra Negan; Jadis recusa e trava Rick em um contêiner de remessa. Carl encontra Siddiq na floresta e "&amp;"o recruta para Alexandria. Daryl e Tara planejam se desviar dos planos de Rick destruindo o santuário. Ezekiel se isola no reino, onde Carol tenta encorajá -lo a ser o líder que seu povo precisa. Maggie tem o grupo de salvadores capturados colocados em um"&amp;"a área de espera e força Gregory a se juntar a eles como punição por trair o Hilltop. 106 7 `` Time para depois de '' Larry Teng Matthew Negrete e Corey Reed 3 de dezembro de 2017 (2017 - 12 - 03) 7.47 Depois de saber da associação de Dwight com o grupo d"&amp;"e Rick, Eugene afirma sua lealdade a Negan e descreve um Planeje se livrar dos caminhantes em torno do santuário. Com a ajuda de Morgan e Tara, Daryl dirige um caminhão pelas paredes do santuário, inundando seu interior com os caminhantes, matando muitos "&amp;"salvadores. Rick finalmente convence Jadis e os catadores a se alinharem com ele, e planejam forçar os salvadores a se render. No entanto, quando eles chegam ao santuário, Rick fica horrorizado ao ver as paredes violadas e nenhum sinal do rebanho de Walke"&amp;"r. 107 8 `` Como é ser '' Michael E. Satrazemis David Leslie Johnson e Angela Kang 10 de dezembro de 2017 (2017 - 12 - 10) 7.89 O plano de Eugene permite que os salvadores escapem do santuário e separadamente, o separadamente, o separadamente, o Salvadore"&amp;"s Waylay, as forças de Alexandria, Hilltop e Reino. Os catadores abandonam Rick, após o que ele retorna a Alexandria. Aaron e Enid são emboscados por soldados da Oceanside, levando Enid a matar a Natânia. Ezequiel garante que os moradores do reino possam "&amp;"escapar antes de se trancar na comunidade com os salvadores. Eugene ajuda Gabriel e Doutor Carson a escapar do santuário para aliviar sua consciência. Negan ataca Alexandria, mas Carl inventa um plano para permitir que os moradores de Alexandria escapasse"&amp;"m para os esgotos. Carl revela que foi mordido por um caminhante enquanto escolta Siddiq para Alexandria. 108 9 `` Honor '' Greg Nicotero Matthew Negrete &amp; Channing Powell, 25 de fevereiro de 2018 (2018 - 02 - 25) 8.28 Percebendo que seu tempo vivo é limi"&amp;"tado, Carl escreve várias cartas para seus entes queridos. Depois que os salvadores saem de Alexandria, os sobreviventes fazem o topo da colina, enquanto Rick e Michonne ficam para trás para se despedir de um Carl moribundo, que implora a Rick para constr"&amp;"uir um futuro melhor ao lado dos Salvadores. Morgan e Carol lançam uma missão de resgate para Ezequiel e retomam com sucesso o reino dos salvadores invasores; Seu tenente, Gavin, é morto pelo vingativo irmão mais novo de Benjamin, Henry. 109 10 `` The Los"&amp;"t and the Phlenderers '' David Boyd Angela Kang e Channing Powell e Corey Reed 4 de março de 2018 (2018 - 03 - 04) 6.82 Aaron e Enid tentam convencer o Oceanside a se juntar à luta contra os Saviors, mas eles recusar ; Enid retorna ao Hilltop enquanto Aar"&amp;"on opta por ficar em Oceanside até que ele possa convencê -los a se juntar. Ao saber do tanque do tesouro com Rick, Negan ordena que Simon mate apenas um dos pessoas de Jadis. Rick e Michonne viajam para o Junkyard para avisar os Jadis sobre o ataque imin"&amp;"ente dos salvadores, mas eles são tarde demais; Simon ordenou que os salvadores matassem todo o grupo; Jadis, que conseguiu escapar de atrair seus camaradas reanimados em um triturador de lixo para se proteger. 110 11 `` morto ou vivo ou '' Michael E. Sat"&amp;"razemis Eddie Guzelian 11 de março de 2018 (2018 - 03 - 11) 6.60 Os salvadores caçam os alexandrãos sobreviventes enquanto chegam ao topo da colina; Dwight afirma sua lealdade ao grupo de Rick, enquanto distrai os salvadores e ajuda a levar o grupo à segu"&amp;"rança. Eugene lidera uma tripulação de salvadores na criação de balas em um novo posto avançado, enquanto Negan planeja manchar as armas dos salvadoras com o sangue de Walker, a fim de fazer os outros `` girar '' em vez de matá -los. O doutor Carson tenta"&amp;" ajudar um Gabriel febril e quase cego à segurança, mas os salvadores acabam alcançando, matando Carson e recuperando Gabriel. 111 12 `` The Key '' Greg Nicotero Corey Reed &amp; Channing Powell 18 de março de 2018 (2018 - 03 - 18) 6.66 Maggie, Enid, Michonne"&amp;" e Rosita encontram uma mulher aparentemente benevolente chamada Georgie, que lhes dá comida e documentos em troca para registros fonógrafos; Georgie afirma que os documentos são `` uma chave para o futuro ''. Negan lidera os salvadores ao topo da colina "&amp;"para enviar um aviso por meio de suas armas recém -contaminadas; Rick persegue os salvadores e persegue Negan em um prédio. Negan finalmente escapa, apenas para ser capturado à mão armada por Jadis. Incapaz de encontrar Negan, Simon instrui os salvadores "&amp;"a atacar o Hilltop e `` expunir '' a comunidade para sempre. 112 13 `` Não nos desvie '' Jeffrey F. Janeiro Angela Kang e Matthew Negrete 25 de março de 2018 (2018 - 03 - 25) 6.77 Os salvadores atacam o topo da colina com suas armas contaminadas, levando "&amp;"a uma batalha na qual ambos os lados Sofra baixas pesadas. Tara é não fatalmente filmada por Dwight, em um esforço para impedir que Simon a matasse. Durante a noite, os feridos morrem de suas feridas contaminadas e atacam os sobreviventes do sono após a r"&amp;"eanimação. Henry tenta se vingar do assassinato de seu irmão, levando à fuga dos prisioneiros do Salvador e ao desaparecimento de Henry. Tendo visto a atitude insensível dos salvadores, Alden e vários outros salvadores optam por permanecer no Hilltop, em "&amp;"vez de retornar aos Salvadores. 113 14 `` Ainda tenho que dizer algo '' Michael E. Satrazemis Eddie Guzelian 1 de abril de 2018 (2018 - 04 - 01) 6.30 Carol e Morgan procuram Henry enquanto Rick caça os prisioneiros Salvadores escape; Morgan abandona Carol"&amp;" e se junta a Rick, e eles encontram e matam os prisioneiros. Jadis tortura Negan até informar que ele não tinha nada a ver com Simon Massacando seu povo; Um helicóptero voa nas proximidades, mas Jadis não consegue chamar sua atenção. Daryl e Rosita consp"&amp;"iram para impedir Eugene de criar munição para os salvadores. Carol encontra Henry vivo na floresta e eles retornam ao Hilltop. Após o retorno de Rick e Morgan, Michonne incentiva Rick a ler a carta de Carl. 114 15 `` Worth '' Michael Sloveis David Leslie"&amp;" Johnson - McGoldrick &amp; Corey Reed 8 de abril de 2018 (2018 - 04 - 08) 6.67 Negan retorna ao santuário e recupera o controle dos salvadores. Dwight secretamente prepara anotações para Rick sobre os planos de Negan e depois envia Gregory para entregar as n"&amp;"otas. Daryl e Rosita capturam Eugene de seu posto avançado, mas ele consegue escapar e continua empurrando seus trabalhadores a criar balas. Dwight atrai Simon para uma reunião em que Negan o aborda por ir contra suas ordens com os catadores e o mata em u"&amp;"ma briga. Negan então revela que Laura o informou sobre o tapume de Dwight com Rick, e que seu planejamento era um ardil ao saber da deslealdade de Dwight. Negan é contatado por Michonne - que lê a carta de Carl a ele a pedido de fazer as pazes; Negan con"&amp;"tinua com a intenção de matar Rick e seus aliados de uma vez por todas. 115 16 `` Wrath '' Greg Nicotero Scott M. Gimple e Angela Kang e Matthew Negrete 15 de abril de 2018 (2018 - 04 - 15) 7.92 O grupo de Rick segue os falsos planos dados a eles por Greg"&amp;"ory, levando -os a uma armadilha . À medida que os salvadores disparam, suas armas saem pela culatra devido à sua munição ser sabotada por Eugene. Os salvadores sobreviventes se rendem, enquanto Rick persegue Negan; Os dois Brawl e Rick conseguem cortar o"&amp;" pescoço de Negan, mas imediatamente o Siddiq tende a ferir, sabendo que Carl queria que Negan sobrevivesse. Enquanto isso, um ataque no Hilltop é interrompido com a ajuda de Aaron e os soldados da Oceanside. Os sobreviventes se reagrupam e reconstruem su"&amp;"as comunidades, mas a decisão de Rick de poupar Negan Angers Maggie e ela promete agir contra Rick no futuro.")</f>
        <v>   Não . Nº de título geral no título da temporada, dirigido por escrito pelos espectadores originais da Data Aérea dos EUA (milhões) 100 `` Mercy '' Greg Nicotero Scott M. Gimple 22 de outubro de 2017 (2017 - 10 - 22) 11.44 Rick, Maggie e Ezequiel Rally seu comunidades juntas para derrubar Negan. Gregory tenta ter os moradores do Hilltop com Negan, mas todos ficam firmemente atrás de Maggie. O grupo ataca o santuário, derrubando suas cercas e inundando o complexo com os caminhantes. Com o santuário desfigurado, todo mundo sai, exceto Gabriel, que relutantemente fica para salvar Gregory, mas é deixado para trás quando Gregory o abandonar. Cercado por caminhantes, Gabriel se esconde em um trailer, onde está preso com Negan. 101 `` The Damned '' Rosemary Rodriguez Matthew Negrete &amp; Channing Powell 29 de outubro de 2017 (2017 - 10 - 29) 8.92 As forças de Rick se separaram em partes separadas para atacar vários postos externos dos Savores, durante os quais muitos membros do grupo são mortas ; Eric está gravemente ferido e apressado por Aaron. Jesus impede Tara e Morgan de executar um grupo de salvadores rendidos. Enquanto limpava um posto avançado com Daryl, Rick é confrontado e mantido à mão armada por Morales, um sobrevivente que ele conheceu no acampamento inicial de Atlanta, que agora está com os salvadores. 102 `` Monsters '' Greg Nicotero Matthew Negrete &amp; Channing Powell 5 de novembro de 2017 (2017 - 11 - 05) 8.52 Daryl encontra Morales ameaçando Rick e o mata; A dupla então persegue um grupo de salvadores que estão transportando armas para outro posto avançado. Gregory retorna ao Hilltop e, após uma discussão acalorada, Maggie finalmente o permite de volta à comunidade. Eric morre de seus ferimentos, deixando Aaron perturbado. Apesar das objeções de Tara e Morgan, Jesus lidera o grupo de salvadores entregados ao Hilltop. O grupo de Ezequiel ataca outro composto salvador, durante o qual os combatentes do reino são aniquilados enquanto protegem Ezequiel. 103 `` Algum cara '' Dan Liu David Leslie Johnson 12 de novembro de 2017 (2017 - 11 - 12) 8.69 O grupo de Ezequiel está impressionado com os salvadores, que matam todos eles, exceto por Ezequiel e Jerry. Carol limpa o interior do complexo, matando todos, exceto dois salvadores, que quase escapam, mas acabam sendo pegos por Rick e Daryl. A caminho do reino, Ezequiel, Jerry e Carol estão cercados por caminhantes, mas Shiva se sacrifica para salvá -los. O trio retorna ao reino, onde a confiança de Ezequiel em si mesmo como líder diminuiu. 104 5 `` The Big Scary U '' Michael E. Satrazemis História de: Scott M. Gimple e David Leslie Johnson e Angela Kang Teleplay por: David Leslie Johnson e Angela Kang 19 de novembro de 2017 (2017 - 11 - 19) 7.85 Depois Confessando seus pecados um para o outro, Gabriel e Negan conseguem escapar do trailer. Simon e os outros tenentes suspeitam um do outro, sabendo que as forças de Rick devem ter informações internas. Os trabalhadores do santuário ficam cada vez mais frustrados com suas condições de vida, e um tumulto quase se segue, até que Negan retorne e restaure a ordem. Gabriel está trancado em uma célula, onde Eugene o descobre doente e sofrimento. Enquanto isso, Rick e Daryl discutem sobre como tirar os salvadores, levando Daryl a abandonar Rick. 105 6 `` O rei, a viúva e Rick '' John Polson Angela Kang e Corey Reed 26 de novembro de 2017 (2017 - 11 - 26) 8.28 Rick visita Jadis na esperança de convencê -la a se voltar contra Negan; Jadis recusa e trava Rick em um contêiner de remessa. Carl encontra Siddiq na floresta e o recruta para Alexandria. Daryl e Tara planejam se desviar dos planos de Rick destruindo o santuário. Ezekiel se isola no reino, onde Carol tenta encorajá -lo a ser o líder que seu povo precisa. Maggie tem o grupo de salvadores capturados colocados em uma área de espera e força Gregory a se juntar a eles como punição por trair o Hilltop. 106 7 `` Time para depois de '' Larry Teng Matthew Negrete e Corey Reed 3 de dezembro de 2017 (2017 - 12 - 03) 7.47 Depois de saber da associação de Dwight com o grupo de Rick, Eugene afirma sua lealdade a Negan e descreve um Planeje se livrar dos caminhantes em torno do santuário. Com a ajuda de Morgan e Tara, Daryl dirige um caminhão pelas paredes do santuário, inundando seu interior com os caminhantes, matando muitos salvadores. Rick finalmente convence Jadis e os catadores a se alinharem com ele, e planejam forçar os salvadores a se render. No entanto, quando eles chegam ao santuário, Rick fica horrorizado ao ver as paredes violadas e nenhum sinal do rebanho de Walker. 107 8 `` Como é ser '' Michael E. Satrazemis David Leslie Johnson e Angela Kang 10 de dezembro de 2017 (2017 - 12 - 10) 7.89 O plano de Eugene permite que os salvadores escapem do santuário e separadamente, o separadamente, o separadamente, o Salvadores Waylay, as forças de Alexandria, Hilltop e Reino. Os catadores abandonam Rick, após o que ele retorna a Alexandria. Aaron e Enid são emboscados por soldados da Oceanside, levando Enid a matar a Natânia. Ezequiel garante que os moradores do reino possam escapar antes de se trancar na comunidade com os salvadores. Eugene ajuda Gabriel e Doutor Carson a escapar do santuário para aliviar sua consciência. Negan ataca Alexandria, mas Carl inventa um plano para permitir que os moradores de Alexandria escapassem para os esgotos. Carl revela que foi mordido por um caminhante enquanto escolta Siddiq para Alexandria. 108 9 `` Honor '' Greg Nicotero Matthew Negrete &amp; Channing Powell, 25 de fevereiro de 2018 (2018 - 02 - 25) 8.28 Percebendo que seu tempo vivo é limitado, Carl escreve várias cartas para seus entes queridos. Depois que os salvadores saem de Alexandria, os sobreviventes fazem o topo da colina, enquanto Rick e Michonne ficam para trás para se despedir de um Carl moribundo, que implora a Rick para construir um futuro melhor ao lado dos Salvadores. Morgan e Carol lançam uma missão de resgate para Ezequiel e retomam com sucesso o reino dos salvadores invasores; Seu tenente, Gavin, é morto pelo vingativo irmão mais novo de Benjamin, Henry. 109 10 `` The Lost and the Phlenderers '' David Boyd Angela Kang e Channing Powell e Corey Reed 4 de março de 2018 (2018 - 03 - 04) 6.82 Aaron e Enid tentam convencer o Oceanside a se juntar à luta contra os Saviors, mas eles recusar ; Enid retorna ao Hilltop enquanto Aaron opta por ficar em Oceanside até que ele possa convencê -los a se juntar. Ao saber do tanque do tesouro com Rick, Negan ordena que Simon mate apenas um dos pessoas de Jadis. Rick e Michonne viajam para o Junkyard para avisar os Jadis sobre o ataque iminente dos salvadores, mas eles são tarde demais; Simon ordenou que os salvadores matassem todo o grupo; Jadis, que conseguiu escapar de atrair seus camaradas reanimados em um triturador de lixo para se proteger. 110 11 `` morto ou vivo ou '' Michael E. Satrazemis Eddie Guzelian 11 de março de 2018 (2018 - 03 - 11) 6.60 Os salvadores caçam os alexandrãos sobreviventes enquanto chegam ao topo da colina; Dwight afirma sua lealdade ao grupo de Rick, enquanto distrai os salvadores e ajuda a levar o grupo à segurança. Eugene lidera uma tripulação de salvadores na criação de balas em um novo posto avançado, enquanto Negan planeja manchar as armas dos salvadoras com o sangue de Walker, a fim de fazer os outros `` girar '' em vez de matá -los. O doutor Carson tenta ajudar um Gabriel febril e quase cego à segurança, mas os salvadores acabam alcançando, matando Carson e recuperando Gabriel. 111 12 `` The Key '' Greg Nicotero Corey Reed &amp; Channing Powell 18 de março de 2018 (2018 - 03 - 18) 6.66 Maggie, Enid, Michonne e Rosita encontram uma mulher aparentemente benevolente chamada Georgie, que lhes dá comida e documentos em troca para registros fonógrafos; Georgie afirma que os documentos são `` uma chave para o futuro ''. Negan lidera os salvadores ao topo da colina para enviar um aviso por meio de suas armas recém -contaminadas; Rick persegue os salvadores e persegue Negan em um prédio. Negan finalmente escapa, apenas para ser capturado à mão armada por Jadis. Incapaz de encontrar Negan, Simon instrui os salvadores a atacar o Hilltop e `` expunir '' a comunidade para sempre. 112 13 `` Não nos desvie '' Jeffrey F. Janeiro Angela Kang e Matthew Negrete 25 de março de 2018 (2018 - 03 - 25) 6.77 Os salvadores atacam o topo da colina com suas armas contaminadas, levando a uma batalha na qual ambos os lados Sofra baixas pesadas. Tara é não fatalmente filmada por Dwight, em um esforço para impedir que Simon a matasse. Durante a noite, os feridos morrem de suas feridas contaminadas e atacam os sobreviventes do sono após a reanimação. Henry tenta se vingar do assassinato de seu irmão, levando à fuga dos prisioneiros do Salvador e ao desaparecimento de Henry. Tendo visto a atitude insensível dos salvadores, Alden e vários outros salvadores optam por permanecer no Hilltop, em vez de retornar aos Salvadores. 113 14 `` Ainda tenho que dizer algo '' Michael E. Satrazemis Eddie Guzelian 1 de abril de 2018 (2018 - 04 - 01) 6.30 Carol e Morgan procuram Henry enquanto Rick caça os prisioneiros Salvadores escape; Morgan abandona Carol e se junta a Rick, e eles encontram e matam os prisioneiros. Jadis tortura Negan até informar que ele não tinha nada a ver com Simon Massacando seu povo; Um helicóptero voa nas proximidades, mas Jadis não consegue chamar sua atenção. Daryl e Rosita conspiram para impedir Eugene de criar munição para os salvadores. Carol encontra Henry vivo na floresta e eles retornam ao Hilltop. Após o retorno de Rick e Morgan, Michonne incentiva Rick a ler a carta de Carl. 114 15 `` Worth '' Michael Sloveis David Leslie Johnson - McGoldrick &amp; Corey Reed 8 de abril de 2018 (2018 - 04 - 08) 6.67 Negan retorna ao santuário e recupera o controle dos salvadores. Dwight secretamente prepara anotações para Rick sobre os planos de Negan e depois envia Gregory para entregar as notas. Daryl e Rosita capturam Eugene de seu posto avançado, mas ele consegue escapar e continua empurrando seus trabalhadores a criar balas. Dwight atrai Simon para uma reunião em que Negan o aborda por ir contra suas ordens com os catadores e o mata em uma briga. Negan então revela que Laura o informou sobre o tapume de Dwight com Rick, e que seu planejamento era um ardil ao saber da deslealdade de Dwight. Negan é contatado por Michonne - que lê a carta de Carl a ele a pedido de fazer as pazes; Negan continua com a intenção de matar Rick e seus aliados de uma vez por todas. 115 16 `` Wrath '' Greg Nicotero Scott M. Gimple e Angela Kang e Matthew Negrete 15 de abril de 2018 (2018 - 04 - 15) 7.92 O grupo de Rick segue os falsos planos dados a eles por Gregory, levando -os a uma armadilha . À medida que os salvadores disparam, suas armas saem pela culatra devido à sua munição ser sabotada por Eugene. Os salvadores sobreviventes se rendem, enquanto Rick persegue Negan; Os dois Brawl e Rick conseguem cortar o pescoço de Negan, mas imediatamente o Siddiq tende a ferir, sabendo que Carl queria que Negan sobrevivesse. Enquanto isso, um ataque no Hilltop é interrompido com a ajuda de Aaron e os soldados da Oceanside. Os sobreviventes se reagrupam e reconstruem suas comunidades, mas a decisão de Rick de poupar Negan Angers Maggie e ela promete agir contra Rick no futuro.</v>
      </c>
      <c r="I406" s="3" t="str">
        <f>IFERROR(__xludf.DUMMYFUNCTION("GOOGLETRANSLATE(E406)"),"#VALUE!")</f>
        <v>#VALUE!</v>
      </c>
    </row>
    <row r="407" ht="15.75" customHeight="1">
      <c r="A407" s="1">
        <v>405.0</v>
      </c>
      <c r="B407" s="3" t="s">
        <v>1492</v>
      </c>
      <c r="C407" s="3" t="s">
        <v>1493</v>
      </c>
      <c r="D407" s="3" t="s">
        <v>1494</v>
      </c>
      <c r="E407" s="3" t="s">
        <v>1495</v>
      </c>
      <c r="F407" s="3" t="str">
        <f>IFERROR(__xludf.DUMMYFUNCTION("GOOGLETRANSLATE(B407)")," The Love Song of J. Alfred Prufrock")</f>
        <v> The Love Song of J. Alfred Prufrock</v>
      </c>
      <c r="G407" s="3" t="str">
        <f>IFERROR(__xludf.DUMMYFUNCTION("GOOGLETRANSLATE(C407)"),"Quando foi publicado o amor de J Alfred Prufrock")</f>
        <v>Quando foi publicado o amor de J Alfred Prufrock</v>
      </c>
      <c r="H407" s="3" t="str">
        <f>IFERROR(__xludf.DUMMYFUNCTION("GOOGLETRANSLATE(D407)")," `` The Love Song of J. Alfred Prufrock '', comumente conhecido como `` Prufrock '', é o primeiro poema publicado profissionalmente da American - Born, poeta britânico T.S. Eliot (1888 - 1965). Eliot começou a escrever `` Prufrock '' em fevereiro de 1910,"&amp;" e foi publicado pela primeira vez na edição de junho de 1915 da poesia: uma revista de verso por instigação de Ezra Pound (1885 - 1972). Mais tarde, foi impresso como parte de um panfleto de doze - poema (ou livro de capas) intitulado Prufrock e outras o"&amp;"bservações em 1917. Na época de sua publicação, Prufrock era considerado estranho, mas agora é visto como anunciando uma mudança cultural paradigmática do verso romântico do final do século XIX e letras georgianas para o modernismo.")</f>
        <v> `` The Love Song of J. Alfred Prufrock '', comumente conhecido como `` Prufrock '', é o primeiro poema publicado profissionalmente da American - Born, poeta britânico T.S. Eliot (1888 - 1965). Eliot começou a escrever `` Prufrock '' em fevereiro de 1910, e foi publicado pela primeira vez na edição de junho de 1915 da poesia: uma revista de verso por instigação de Ezra Pound (1885 - 1972). Mais tarde, foi impresso como parte de um panfleto de doze - poema (ou livro de capas) intitulado Prufrock e outras observações em 1917. Na época de sua publicação, Prufrock era considerado estranho, mas agora é visto como anunciando uma mudança cultural paradigmática do verso romântico do final do século XIX e letras georgianas para o modernismo.</v>
      </c>
      <c r="I407" s="3" t="str">
        <f>IFERROR(__xludf.DUMMYFUNCTION("GOOGLETRANSLATE(E407)"),"Junho de 1915")</f>
        <v>Junho de 1915</v>
      </c>
    </row>
    <row r="408" ht="15.75" customHeight="1">
      <c r="A408" s="1">
        <v>406.0</v>
      </c>
      <c r="B408" s="3" t="s">
        <v>1496</v>
      </c>
      <c r="C408" s="3" t="s">
        <v>1497</v>
      </c>
      <c r="D408" s="3" t="s">
        <v>1498</v>
      </c>
      <c r="E408" s="3" t="s">
        <v>1499</v>
      </c>
      <c r="F408" s="3" t="str">
        <f>IFERROR(__xludf.DUMMYFUNCTION("GOOGLETRANSLATE(B408)")," A boa bruxa")</f>
        <v> A boa bruxa</v>
      </c>
      <c r="G408" s="3" t="str">
        <f>IFERROR(__xludf.DUMMYFUNCTION("GOOGLETRANSLATE(C408)"),"Onde está a série Hallmark Good Witch Filmed")</f>
        <v>Onde está a série Hallmark Good Witch Filmed</v>
      </c>
      <c r="H408" s="3" t="str">
        <f>IFERROR(__xludf.DUMMYFUNCTION("GOOGLETRANSLATE(D408)")," Embora ambientado em `` Middleton, EUA '', foi filmado em Hamilton e Niagara no lago, Ontário. Na sequência, o charme da Good Witch, o mapa na parede da delegacia mostra Middleton North e West of Chicago, nas proximidades do condado de DuPage. Os nomes d"&amp;"os subúrbios e interestaduais que estão a oeste de Chicago podem ser vistos claramente.")</f>
        <v> Embora ambientado em `` Middleton, EUA '', foi filmado em Hamilton e Niagara no lago, Ontário. Na sequência, o charme da Good Witch, o mapa na parede da delegacia mostra Middleton North e West of Chicago, nas proximidades do condado de DuPage. Os nomes dos subúrbios e interestaduais que estão a oeste de Chicago podem ser vistos claramente.</v>
      </c>
      <c r="I408" s="3" t="str">
        <f>IFERROR(__xludf.DUMMYFUNCTION("GOOGLETRANSLATE(E408)"),"Hamilton e Niagara no lago, Ontário")</f>
        <v>Hamilton e Niagara no lago, Ontário</v>
      </c>
    </row>
    <row r="409" ht="15.75" customHeight="1">
      <c r="A409" s="1">
        <v>407.0</v>
      </c>
      <c r="B409" s="3" t="s">
        <v>1500</v>
      </c>
      <c r="C409" s="3" t="s">
        <v>1501</v>
      </c>
      <c r="D409" s="3" t="s">
        <v>1502</v>
      </c>
      <c r="E409" s="3" t="s">
        <v>1503</v>
      </c>
      <c r="F409" s="3" t="str">
        <f>IFERROR(__xludf.DUMMYFUNCTION("GOOGLETRANSLATE(B409)")," Jesus pessoal")</f>
        <v> Jesus pessoal</v>
      </c>
      <c r="G409" s="3" t="str">
        <f>IFERROR(__xludf.DUMMYFUNCTION("GOOGLETRANSLATE(C409)"),"Quem era o cantor original de Jesus pessoal")</f>
        <v>Quem era o cantor original de Jesus pessoal</v>
      </c>
      <c r="H409" s="3" t="str">
        <f>IFERROR(__xludf.DUMMYFUNCTION("GOOGLETRANSLATE(D409)")," `` Jesus pessoal '' é uma música da banda eletrônica inglesa Depeche Mode, lançada em 28 de agosto de 1989 como o single principal de seu sétimo álbum, Violator (1990). Atingiu o número 13 na parada de singles do Reino Unido e o número 28 na Billboard Ho"&amp;"t 100. O single foi o primeiro a tornar o Top 40 dos EUA desde 1984 'S `` pessoas são pessoas' 'e foi seu primeiro single de ouro - certificado nos EUA (rapidamente seguido por seu sucessor, `` aproveitar o silêncio' ').")</f>
        <v> `` Jesus pessoal '' é uma música da banda eletrônica inglesa Depeche Mode, lançada em 28 de agosto de 1989 como o single principal de seu sétimo álbum, Violator (1990). Atingiu o número 13 na parada de singles do Reino Unido e o número 28 na Billboard Hot 100. O single foi o primeiro a tornar o Top 40 dos EUA desde 1984 'S `` pessoas são pessoas' 'e foi seu primeiro single de ouro - certificado nos EUA (rapidamente seguido por seu sucessor, `` aproveitar o silêncio' ').</v>
      </c>
      <c r="I409" s="3" t="str">
        <f>IFERROR(__xludf.DUMMYFUNCTION("GOOGLETRANSLATE(E409)"),"Modo Depeche")</f>
        <v>Modo Depeche</v>
      </c>
    </row>
    <row r="410" ht="15.75" customHeight="1">
      <c r="A410" s="1">
        <v>408.0</v>
      </c>
      <c r="B410" s="3" t="s">
        <v>1504</v>
      </c>
      <c r="C410" s="3" t="s">
        <v>1505</v>
      </c>
      <c r="D410" s="3" t="s">
        <v>1506</v>
      </c>
      <c r="F410" s="3" t="str">
        <f>IFERROR(__xludf.DUMMYFUNCTION("GOOGLETRANSLATE(B410)")," Dale Dickey")</f>
        <v> Dale Dickey</v>
      </c>
      <c r="G410" s="3" t="str">
        <f>IFERROR(__xludf.DUMMYFUNCTION("GOOGLETRANSLATE(C410)"),"que interpreta a sra. Davis no Homem de Ferro 3")</f>
        <v>que interpreta a sra. Davis no Homem de Ferro 3</v>
      </c>
      <c r="H410" s="3" t="str">
        <f>IFERROR(__xludf.DUMMYFUNCTION("GOOGLETRANSLATE(D410)"),"   Ano no ano notas 1995 A aventura incrivelmente verdadeira de duas garotas no amor Regina 1995 Running Wild Judith 1995 A jornada de agosto do rei Jenny da prisão dos segredos Lynn's Friend 2000 Sordid vive Glyndora 2001 The Pledge Strom 2005 Nossa próp"&amp;"ria frigideira 2005 Domino Edna Edna Fender 2006 Nichts ALS GESESTER ANNIE 2008 Parque de trailer do terror Daryl 2008 Dark Canvas Wilma 2008 Changeling Patient Prêmio da Associação de Críticos de Melhor Ensemble (2º lugar) Nomeado - San Diego Diego Criti"&amp;"cs Society Award de Melhor Atriz Coadjuvante Nomeada - San Diego Critics Society Award de Melhor Ensemble Performance 2011 Child of the Desert Elia 2011 Super 8 Edie 2011 Piratas do The the Caribe: Contos do Código: Evidência Wedlocked Oona 2012 Katrina F"&amp;"leishman 2012 Blues para Willadean Rayleen Hobbs 2012 Contos de magia cotidiana Maggie 2012 A pessoa mais feliz na América Meg 2012 sendo Flynn Marie 2012 O papel de parede amarelo Jennie Gilman 2012 O homem que abriu a mão da mão de Vicente Fernandez Den"&amp;"ise 2012 A viagem de culpa Tammy 2012 perdeu de propósito Retta Lee 2012 9 LONS COMPLETAS Billie 2013 C.O.G. Debbie 2013 Os ensaios de Cate McCall Sra. Stubbs 2013 Teddy Bears Lori 2013 Iron Man 3 Sra. Davis 2013 Southern Baptist Sissies Odette 2014 O que"&amp;" Lola quer mama 2014 Dark Averling the Stars Rita 2014 Bird Bird em A Blizzard Sra. Hillman 2014 A posse de posse de Rita 2014 Michael King Beverly 2014 San Patricios Colleen Donnelly 2015 Regressão Rose Gray 2015 Waffle Street Crazy Kathy 2015 Blood Pai "&amp;"Cherise 2016 Hell ou High Water Elsie 2016")</f>
        <v>   Ano no ano notas 1995 A aventura incrivelmente verdadeira de duas garotas no amor Regina 1995 Running Wild Judith 1995 A jornada de agosto do rei Jenny da prisão dos segredos Lynn's Friend 2000 Sordid vive Glyndora 2001 The Pledge Strom 2005 Nossa própria frigideira 2005 Domino Edna Edna Fender 2006 Nichts ALS GESESTER ANNIE 2008 Parque de trailer do terror Daryl 2008 Dark Canvas Wilma 2008 Changeling Patient Prêmio da Associação de Críticos de Melhor Ensemble (2º lugar) Nomeado - San Diego Diego Critics Society Award de Melhor Atriz Coadjuvante Nomeada - San Diego Critics Society Award de Melhor Ensemble Performance 2011 Child of the Desert Elia 2011 Super 8 Edie 2011 Piratas do The the Caribe: Contos do Código: Evidência Wedlocked Oona 2012 Katrina Fleishman 2012 Blues para Willadean Rayleen Hobbs 2012 Contos de magia cotidiana Maggie 2012 A pessoa mais feliz na América Meg 2012 sendo Flynn Marie 2012 O papel de parede amarelo Jennie Gilman 2012 O homem que abriu a mão da mão de Vicente Fernandez Denise 2012 A viagem de culpa Tammy 2012 perdeu de propósito Retta Lee 2012 9 LONS COMPLETAS Billie 2013 C.O.G. Debbie 2013 Os ensaios de Cate McCall Sra. Stubbs 2013 Teddy Bears Lori 2013 Iron Man 3 Sra. Davis 2013 Southern Baptist Sissies Odette 2014 O que Lola quer mama 2014 Dark Averling the Stars Rita 2014 Bird Bird em A Blizzard Sra. Hillman 2014 A posse de posse de Rita 2014 Michael King Beverly 2014 San Patricios Colleen Donnelly 2015 Regressão Rose Gray 2015 Waffle Street Crazy Kathy 2015 Blood Pai Cherise 2016 Hell ou High Water Elsie 2016</v>
      </c>
      <c r="I410" s="3" t="str">
        <f>IFERROR(__xludf.DUMMYFUNCTION("GOOGLETRANSLATE(E410)"),"#VALUE!")</f>
        <v>#VALUE!</v>
      </c>
    </row>
    <row r="411" ht="15.75" customHeight="1">
      <c r="A411" s="1">
        <v>409.0</v>
      </c>
      <c r="B411" s="3" t="s">
        <v>1507</v>
      </c>
      <c r="C411" s="3" t="s">
        <v>1508</v>
      </c>
      <c r="D411" s="3" t="s">
        <v>1509</v>
      </c>
      <c r="E411" s="3" t="s">
        <v>1510</v>
      </c>
      <c r="F411" s="3" t="str">
        <f>IFERROR(__xludf.DUMMYFUNCTION("GOOGLETRANSLATE(B411)")," Guardiões da galáxia (filme)")</f>
        <v> Guardiões da galáxia (filme)</v>
      </c>
      <c r="G411" s="3" t="str">
        <f>IFERROR(__xludf.DUMMYFUNCTION("GOOGLETRANSLATE(C411)"),"Qual é o nome dos caras azuis de Guardiões da Galáxia")</f>
        <v>Qual é o nome dos caras azuis de Guardiões da Galáxia</v>
      </c>
      <c r="H411" s="3" t="str">
        <f>IFERROR(__xludf.DUMMYFUNCTION("GOOGLETRANSLATE(D411)")," Michael Rooker como Yondu Udonta: um bandido azul - com pele que é o líder dos Ravagers e uma figura paterna a Quill. Yondu ajuda a Quill a roubar a esfera antes de Quill o trai, deixando Yondu e os Ravagers para perseguir os Guardiões. No personagem, di"&amp;"sse Rooker, ele tem `` algumas questões interessantes - não é um cara legal, não um cara mau. Há esperança e há um coração dentro de Yondu. '' Gunn criou a versão do filme do personagem especificamente com Rooker em mente, enquanto empresta o Mohawk do pe"&amp;"rsonagem e o uso de uma seta controlada por apito dos quadrinhos. Rooker, totalmente comprometido com o papel, uma vez que soubesse seu papel na série de TV The Walking Dead estaria terminando. A maquiagem de Rooker levou aproximadamente quatro horas para"&amp;" aplicar.")</f>
        <v> Michael Rooker como Yondu Udonta: um bandido azul - com pele que é o líder dos Ravagers e uma figura paterna a Quill. Yondu ajuda a Quill a roubar a esfera antes de Quill o trai, deixando Yondu e os Ravagers para perseguir os Guardiões. No personagem, disse Rooker, ele tem `` algumas questões interessantes - não é um cara legal, não um cara mau. Há esperança e há um coração dentro de Yondu. '' Gunn criou a versão do filme do personagem especificamente com Rooker em mente, enquanto empresta o Mohawk do personagem e o uso de uma seta controlada por apito dos quadrinhos. Rooker, totalmente comprometido com o papel, uma vez que soubesse seu papel na série de TV The Walking Dead estaria terminando. A maquiagem de Rooker levou aproximadamente quatro horas para aplicar.</v>
      </c>
      <c r="I411" s="3" t="str">
        <f>IFERROR(__xludf.DUMMYFUNCTION("GOOGLETRANSLATE(E411)"),"Yondu Udonta")</f>
        <v>Yondu Udonta</v>
      </c>
    </row>
    <row r="412" ht="15.75" customHeight="1">
      <c r="A412" s="1">
        <v>410.0</v>
      </c>
      <c r="B412" s="3" t="s">
        <v>1511</v>
      </c>
      <c r="C412" s="3" t="s">
        <v>1512</v>
      </c>
      <c r="D412" s="3" t="s">
        <v>1513</v>
      </c>
      <c r="F412" s="3" t="str">
        <f>IFERROR(__xludf.DUMMYFUNCTION("GOOGLETRANSLATE(B412)")," Uma história da Cinderela: uma vez uma música")</f>
        <v> Uma história da Cinderela: uma vez uma música</v>
      </c>
      <c r="G412" s="3" t="str">
        <f>IFERROR(__xludf.DUMMYFUNCTION("GOOGLETRANSLATE(C412)"),"Uma história da Cinderela uma vez uma música Katie e Luke Kiss")</f>
        <v>Uma história da Cinderela uma vez uma música Katie e Luke Kiss</v>
      </c>
      <c r="H412" s="3" t="str">
        <f>IFERROR(__xludf.DUMMYFUNCTION("GOOGLETRANSLATE(D412)")," Luke quer encontrar a garota que cantou para ele. Na sala de música, ele vê Bev Lip - sincronizando a voz de Katie (`` fazer você acreditar ''). Saltando para o óbvio - mas - conclusão errada, Luke se apaixona por Bev e a convida a escrever mais músicas "&amp;"com ele. Muito com o horror de Bev, ele a trata em um restaurante naquela noite. Luke fica impressionado com a aptidão musical de Bev, sem saber que Katie está enviando mensagens para ela o que ela deveria dizer (porque Bev a forçou a ajudar). No dia segu"&amp;"inte, Luke passa pela casa de Bev e a bate com Victor, a quem ele dá aulas de violão. Katie também se reconecta com Luke, que não gosta quando ela tem que sair novamente - desta vez, para jogar fora o retrato premiado de Gail, que Victor arruinou cortando"&amp;" seu rosto. Bev corta Luke, a quem ela força Victor a ajudá -la a enganar usando dispositivos de comunicação eletrônicos em miniatura, para que Katie possa treiná -la até outro encontro. Katie reúne uma música no local (`` possibilidades ''), que Luke can"&amp;"ta, pensando que é bev. Ela e Luke Kiss, que quebra o coração de Katie. Victor notou a angústia de Katie e simpatiza com ela.")</f>
        <v> Luke quer encontrar a garota que cantou para ele. Na sala de música, ele vê Bev Lip - sincronizando a voz de Katie (`` fazer você acreditar ''). Saltando para o óbvio - mas - conclusão errada, Luke se apaixona por Bev e a convida a escrever mais músicas com ele. Muito com o horror de Bev, ele a trata em um restaurante naquela noite. Luke fica impressionado com a aptidão musical de Bev, sem saber que Katie está enviando mensagens para ela o que ela deveria dizer (porque Bev a forçou a ajudar). No dia seguinte, Luke passa pela casa de Bev e a bate com Victor, a quem ele dá aulas de violão. Katie também se reconecta com Luke, que não gosta quando ela tem que sair novamente - desta vez, para jogar fora o retrato premiado de Gail, que Victor arruinou cortando seu rosto. Bev corta Luke, a quem ela força Victor a ajudá -la a enganar usando dispositivos de comunicação eletrônicos em miniatura, para que Katie possa treiná -la até outro encontro. Katie reúne uma música no local (`` possibilidades ''), que Luke canta, pensando que é bev. Ela e Luke Kiss, que quebra o coração de Katie. Victor notou a angústia de Katie e simpatiza com ela.</v>
      </c>
      <c r="I412" s="3" t="str">
        <f>IFERROR(__xludf.DUMMYFUNCTION("GOOGLETRANSLATE(E412)"),"#VALUE!")</f>
        <v>#VALUE!</v>
      </c>
    </row>
    <row r="413" ht="15.75" customHeight="1">
      <c r="A413" s="1">
        <v>411.0</v>
      </c>
      <c r="B413" s="3" t="s">
        <v>192</v>
      </c>
      <c r="C413" s="3" t="s">
        <v>1514</v>
      </c>
      <c r="D413" s="3" t="s">
        <v>1515</v>
      </c>
      <c r="E413" s="3" t="s">
        <v>1516</v>
      </c>
      <c r="F413" s="3" t="str">
        <f>IFERROR(__xludf.DUMMYFUNCTION("GOOGLETRANSLATE(B413)")," Lista da maioria das contas seguidas do Instagram")</f>
        <v> Lista da maioria das contas seguidas do Instagram</v>
      </c>
      <c r="G413" s="3" t="str">
        <f>IFERROR(__xludf.DUMMYFUNCTION("GOOGLETRANSLATE(C413)"),"Quem é o usuário mais seguido no Instagram")</f>
        <v>Quem é o usuário mais seguido no Instagram</v>
      </c>
      <c r="H413" s="3" t="str">
        <f>IFERROR(__xludf.DUMMYFUNCTION("GOOGLETRANSLATE(D413)")," Esta lista contém as 25 principais contas com o maior número de seguidores na foto social - compartilhando o Instagram. Em maio de 2018, o usuário mais seguido é a conta do Instagram, com mais de 235 milhões de seguidores. Selena Gomez é a pessoa mais se"&amp;"guida, com mais de 137 milhões de seguidores. Dez contas excederam 100 milhões de seguidores no site.")</f>
        <v> Esta lista contém as 25 principais contas com o maior número de seguidores na foto social - compartilhando o Instagram. Em maio de 2018, o usuário mais seguido é a conta do Instagram, com mais de 235 milhões de seguidores. Selena Gomez é a pessoa mais seguida, com mais de 137 milhões de seguidores. Dez contas excederam 100 milhões de seguidores no site.</v>
      </c>
      <c r="I413" s="3" t="str">
        <f>IFERROR(__xludf.DUMMYFUNCTION("GOOGLETRANSLATE(E413)"),"A própria conta do Instagram")</f>
        <v>A própria conta do Instagram</v>
      </c>
    </row>
    <row r="414" ht="15.75" customHeight="1">
      <c r="A414" s="1">
        <v>412.0</v>
      </c>
      <c r="B414" s="3" t="s">
        <v>1517</v>
      </c>
      <c r="C414" s="3" t="s">
        <v>1518</v>
      </c>
      <c r="D414" s="3" t="s">
        <v>1519</v>
      </c>
      <c r="E414" s="3" t="s">
        <v>1520</v>
      </c>
      <c r="F414" s="3" t="str">
        <f>IFERROR(__xludf.DUMMYFUNCTION("GOOGLETRANSLATE(B414)")," Proibição de fumantes na Inglaterra")</f>
        <v> Proibição de fumantes na Inglaterra</v>
      </c>
      <c r="G414" s="3" t="str">
        <f>IFERROR(__xludf.DUMMYFUNCTION("GOOGLETRANSLATE(C414)"),"Quando fumava em bares banidos no Reino Unido")</f>
        <v>Quando fumava em bares banidos no Reino Unido</v>
      </c>
      <c r="H414" s="3" t="str">
        <f>IFERROR(__xludf.DUMMYFUNCTION("GOOGLETRANSLATE(D414)")," A proibição de tabagismo na Inglaterra, tornando ilegal fumar em todos os locais de trabalho fechado na Inglaterra, entrou em vigor em 1 de julho de 2007 como conseqüência da Lei de Saúde de 2006. Bans semelhantes já haviam sido introduzidas pelo resto d"&amp;"o Reino Unido: na Escócia em 26 de março de 2006, no País de Gales, em 2 de abril de 2007 e na Irlanda do Norte em 30 de abril de 2007.")</f>
        <v> A proibição de tabagismo na Inglaterra, tornando ilegal fumar em todos os locais de trabalho fechado na Inglaterra, entrou em vigor em 1 de julho de 2007 como conseqüência da Lei de Saúde de 2006. Bans semelhantes já haviam sido introduzidas pelo resto do Reino Unido: na Escócia em 26 de março de 2006, no País de Gales, em 2 de abril de 2007 e na Irlanda do Norte em 30 de abril de 2007.</v>
      </c>
      <c r="I414" s="3" t="str">
        <f>IFERROR(__xludf.DUMMYFUNCTION("GOOGLETRANSLATE(E414)"),"1 de julho de 2007")</f>
        <v>1 de julho de 2007</v>
      </c>
    </row>
    <row r="415" ht="15.75" customHeight="1">
      <c r="A415" s="1">
        <v>413.0</v>
      </c>
      <c r="B415" s="3" t="s">
        <v>1521</v>
      </c>
      <c r="C415" s="3" t="s">
        <v>1522</v>
      </c>
      <c r="D415" s="3" t="s">
        <v>1523</v>
      </c>
      <c r="E415" s="3" t="s">
        <v>1524</v>
      </c>
      <c r="F415" s="3" t="str">
        <f>IFERROR(__xludf.DUMMYFUNCTION("GOOGLETRANSLATE(B415)")," Treinar chifre")</f>
        <v> Treinar chifre</v>
      </c>
      <c r="G415" s="3" t="str">
        <f>IFERROR(__xludf.DUMMYFUNCTION("GOOGLETRANSLATE(C415)"),"Quando os trens precisam soprar as buzinas")</f>
        <v>Quando os trens precisam soprar as buzinas</v>
      </c>
      <c r="H415" s="3" t="str">
        <f>IFERROR(__xludf.DUMMYFUNCTION("GOOGLETRANSLATE(D415)")," Em 27 de abril de 2005, a Federal Railroad Administration (FRA), que aplica os regulamentos de segurança ferroviária, publicou a regra final sobre o uso de chifres de locomotivas nas passagens de classe ferroviária. A partir de 24 de junho de 2005, a reg"&amp;"ra exige que os chifres da locomotiva sejam soados em todas as passagens públicas de pelo menos 15 segundos, mas não mais de 20 segundos antes de entrar em um cruzamento. Esta regra se aplica quando a velocidade do trem está abaixo de 45 mph (70 km / h). "&amp;"A 45 mph ou mais, os trens ainda são obrigados a soar sua buzina no local designado (geralmente indicado com um posto de apito).")</f>
        <v> Em 27 de abril de 2005, a Federal Railroad Administration (FRA), que aplica os regulamentos de segurança ferroviária, publicou a regra final sobre o uso de chifres de locomotivas nas passagens de classe ferroviária. A partir de 24 de junho de 2005, a regra exige que os chifres da locomotiva sejam soados em todas as passagens públicas de pelo menos 15 segundos, mas não mais de 20 segundos antes de entrar em um cruzamento. Esta regra se aplica quando a velocidade do trem está abaixo de 45 mph (70 km / h). A 45 mph ou mais, os trens ainda são obrigados a soar sua buzina no local designado (geralmente indicado com um posto de apito).</v>
      </c>
      <c r="I415" s="3" t="str">
        <f>IFERROR(__xludf.DUMMYFUNCTION("GOOGLETRANSLATE(E415)"),"em todas as passagens de nível público")</f>
        <v>em todas as passagens de nível público</v>
      </c>
    </row>
    <row r="416" ht="15.75" customHeight="1">
      <c r="A416" s="1">
        <v>414.0</v>
      </c>
      <c r="B416" s="3" t="s">
        <v>1525</v>
      </c>
      <c r="C416" s="3" t="s">
        <v>1526</v>
      </c>
      <c r="D416" s="3" t="s">
        <v>1527</v>
      </c>
      <c r="E416" s="3" t="s">
        <v>1528</v>
      </c>
      <c r="F416" s="3" t="str">
        <f>IFERROR(__xludf.DUMMYFUNCTION("GOOGLETRANSLATE(B416)")," Wilshire 5000")</f>
        <v> Wilshire 5000</v>
      </c>
      <c r="G416" s="3" t="str">
        <f>IFERROR(__xludf.DUMMYFUNCTION("GOOGLETRANSLATE(C416)"),"Qual é o índice de mercado total de Wilshire 5000")</f>
        <v>Qual é o índice de mercado total de Wilshire 5000</v>
      </c>
      <c r="H416" s="3" t="str">
        <f>IFERROR(__xludf.DUMMYFUNCTION("GOOGLETRANSLATE(D416)")," O índice total de mercado Wilshire 5000, ou mais simplesmente o Wilshire 5000, é um índice ponderado de capitalização de mercado do mercado do valor de mercado de todas as ações negociadas ativamente nos Estados Unidos. Em 31 de dezembro de 2016, o índic"&amp;"e continha apenas 3.618 componentes. O índice visa medir o desempenho das empresas de capital aberto com sede nos Estados Unidos, com dados de preços prontamente disponíveis (ações do Boletim Board / Penny e ações de empresas extremamente pequenas são exc"&amp;"luídas). Portanto, o índice inclui a maioria das ações ordinárias e os REITs negociados principalmente através da Bolsa de Valores de Nova York, NASDAQ ou American Stock Exchange. Parcerias limitadas e ADRs não estão incluídos. Pode ser rastreado seguindo"&amp;" o ticker ^ W5000.")</f>
        <v> O índice total de mercado Wilshire 5000, ou mais simplesmente o Wilshire 5000, é um índice ponderado de capitalização de mercado do mercado do valor de mercado de todas as ações negociadas ativamente nos Estados Unidos. Em 31 de dezembro de 2016, o índice continha apenas 3.618 componentes. O índice visa medir o desempenho das empresas de capital aberto com sede nos Estados Unidos, com dados de preços prontamente disponíveis (ações do Boletim Board / Penny e ações de empresas extremamente pequenas são excluídas). Portanto, o índice inclui a maioria das ações ordinárias e os REITs negociados principalmente através da Bolsa de Valores de Nova York, NASDAQ ou American Stock Exchange. Parcerias limitadas e ADRs não estão incluídos. Pode ser rastreado seguindo o ticker ^ W5000.</v>
      </c>
      <c r="I416" s="3" t="str">
        <f>IFERROR(__xludf.DUMMYFUNCTION("GOOGLETRANSLATE(E416)"),"Um mercado - Capitalização - índice ponderado do valor de mercado de todas as ações negociadas ativamente nos Estados Unidos")</f>
        <v>Um mercado - Capitalização - índice ponderado do valor de mercado de todas as ações negociadas ativamente nos Estados Unidos</v>
      </c>
    </row>
    <row r="417" ht="15.75" customHeight="1">
      <c r="A417" s="1">
        <v>415.0</v>
      </c>
      <c r="B417" s="3" t="s">
        <v>1529</v>
      </c>
      <c r="C417" s="3" t="s">
        <v>1530</v>
      </c>
      <c r="D417" s="3" t="s">
        <v>1531</v>
      </c>
      <c r="E417" s="3" t="s">
        <v>1532</v>
      </c>
      <c r="F417" s="3" t="str">
        <f>IFERROR(__xludf.DUMMYFUNCTION("GOOGLETRANSLATE(B417)")," Campeonato Nacional de Futebol do ensino médio")</f>
        <v> Campeonato Nacional de Futebol do ensino médio</v>
      </c>
      <c r="G417" s="3" t="str">
        <f>IFERROR(__xludf.DUMMYFUNCTION("GOOGLETRANSLATE(C417)"),"que ganhou o campeonato nacional de futebol do ensino médio")</f>
        <v>que ganhou o campeonato nacional de futebol do ensino médio</v>
      </c>
      <c r="H417" s="3" t="str">
        <f>IFERROR(__xludf.DUMMYFUNCTION("GOOGLETRANSLATE(D417)"),"   Ano Campeão (s) Record Selector (s) 1910 Oak Park, IL 10 - 2 Robert Zupppke NSNS 1911 Oak Park, IL 10 - 0 Robert Zulppke NSNS 1912 Oak Park, IL 13 10 - 0, IL 10 - 1 Glenn Thistlewate NSNS 1914 Envett, MA 13 - 0 Kee O'Donnell NSNS 1915 Detroit, MI, Cent"&amp;"ral 11 - 1 Edbert C. Buss NSNS Niveett, - - - - - - - - - - Cleo O'Donnell NNSNS 1916 San Diego , CA Scott, Toledo, Ohio 12 - 0 0 10 - 0 Nibs Preço Tom Merrell NNSNS 1917 NOWN Champion, Tech 0 Nrisburg G, PA, Tech 12 - 0 Paul Smith NSNS 1920 Everett, WA 9"&amp;" - 0 - 1 Enoch Bagshaw nsns Oak Park, IL 9 - 0 - 1 Glenn Thistlewaite NSNS 1921 Jacksonville, FL, DUVAL 8 - 0 NSNS desconhecido 1922 Toledo, OH, Scott 9 - 0 Dr. William A. Neill NSNS 1923 East Cleveland, OH, Shaw 9 - 1 John Snavely NSNS Toledo, OH, Scott "&amp;"10 - 0 Dr. William A. Neill NSNS 1924 Toledo, OH, Waite 10 - 0 Joe C. Collins NSNS 1925 Pine Bluff, AR 16 - 0 Foy Hammons NSNS 1926 Tuscaloosa, - 0 Purn ns - 0 Purn ns NS Score, 0 Paul Tyson NSSON NSNS 1928 Medford, ou 9 - 0 Pink Callison NSNS 1929 Tuscal"&amp;"oosa, AL 9 - 0 Paul Bulmin nsns 1930 Phoenix, AZ - 0 R.R. ROBINSON NSNS 1931 Ashland , Ky 10 -- 0 Paul Jenkins Nsns 1932 Toledo , Oh , Waitite 12 -- 0 Donald McCallister nsns 1933 Oklahoma City , ok , Capitol Hill 12 - 0 , , McKinley 11 -- 0 Jimmy Aiken N"&amp;"sns 1935 Massellon , Oh, Washington 10 - 0 Paul Brown NSNS 1936 Massellon, OH, Washington - 0 Paul Brown NSNS 1, KY, Manual - 0 Ray Baer LSA, NNSNS 1939 Massellon, OH, Washington 10 - 0 Paul Brown NSNS Pine Bluff Pine Bluff Bluff Pine Bluff , AR 11 - 0 - "&amp;"1 Allen Dunaway LSA 1 Essellon, OH, Wash, IL, Leo 11 - 0 Whitey Cronin NSNS 1942 Miami - 0 Lyles Alley Alley NSNS 1943 Miami, FL 9 - 0 Tom Moore nsns - 0 Raymond Burnett NSNS 1947 East Chicago, Roosevelt 9 - 0 NSNS UNKNOWN Lynn, MA, Classical 11 - 1 Bill "&amp;"Joyce (1) NSNS - 0 Joe Golding NSNS 1950 Massellon, OH, Washington 10 - 0 Chuck Mather nsns 1951 1951 Waymouth, MA 9 - 0 Harry Arlanson (2) NSNS 1952 Massillon, OH Primeiro 1, OH, Washington 10 - 0 Chuck Mather NSNS 1954 Vallejo - 0 Bob Patterson NSNS 195"&amp;"5 San Diego, CA 12 - 0 Dois dois Maleyley , Central, Charles NNS 14 - 0 12 - 0 Wilson Matthews Nnsns Downey HS, Downey, Califórnia 11 - 0 NSNS 1958 Oak Ridge, TN, Oak Ridge 10 - 0 Jack Armstrong Arms 1959 Massillon, OH, foi apenas . 8 - 0 - 2 Ottis Moonye"&amp;"y NSNS 1961 Massellon, OH, Washington 11 - 0 Leo Strang nsns 1962 Valdosta - 0 Wright Bazemore NSNS 1963 Chicago, Rita - 0 Edward Buckley NSNS 1964 Coral Gables, FL 12 - 0 Nick Kot Kots NSNS 1965 Miami, FL 12 - 0 Robert Carlton NSNS 1966 Pico Rivera, CA -"&amp;" 0 Sus 13 -, Reagan 14 - 0 Travis Raven nsns Coral Gables, FL 13 - 0 Nick Kotys nsns 1968 Austin, Reagan - 0 Travis Raven nsns coral nss - - 0 Nick Kotys nsns Valdosta, GA 12 - 0 - 1 Wright Bazemore nsns 1970 Regan, Austin, Texas 14 - 1 Travis Raven NSNS "&amp;"1971 Valdosta, GA 13 - 0 Wright Bazemore NSNS 1972 Bristol, TN 13 - 0 John Cropp NSNS 1973 Chattanooga, TN, Baylor 13 - 0 E.B. Etter Nsns Thomasville , ga 12 -- 1 JIM Hughes Nsns losns Los Angeles , CA , Loyola 13 -- 0 MARTY SHUNESSY NSNSSY NSNSSY NSNS 19"&amp;"76 Moelerller , Cincinnati , Oh erry faust nnsns rovit Robins rovit Robins robust nnsns rovin 13 - 0 Robert Davis SNS 1977 Cincinnati, OH, Moeller 12 - 0 Gerry Faust nsns 1978 Annandale, VA 14 - 0 Bob Hardage nsns - 0 Norry 0 Norry, Oel 12 0 n n n Nes Cin"&amp;"ati, Oh, Moeler - 0 Gerry FAUST NSNS 1981 Warner Robins, GA 15 - 0 Robert Davis NSNS 1982 Cincinnati, OH, Moeller 13 - 0 Steve Klonne NSNS, EUA Berwick Area 15 - 0 Nick Hyder NSNS, EUA 1985 East St. LOUIS, IL 14 - 0 BOB SHANNON NSNS, EUA 1986 VALDOSTA, GA"&amp;" 15 - 0 Nick Hyder NSNS, EUA Fontana, CA 14 - 0 Dick Bruich NPP TX 16 - 0 Gerald Bience nsns Pensacola, Fl, Floresta de Pine 14 - 0 Carl Madison NSNS, EUA Prichard, AL, Vigor 13- 0 Harold Clarand, OH, St. Ignatius 13 - 0 Chuck Kyle USA Odessa, TX, Permian"&amp;" 16 - 0 Gary Gaine, NSNS Houston, Texas Aldine High School 15 - 0 Bill Smith NPP Lawton, OK, Eisenhodwer 14 - 0 Tim Residing 14 - 0 Jimmy `` Chick 'Chick' Childress NSNS 1991 Indianapolis, IN, Ben Davis 14 - 0 Dick Dullaghan NPP, NSNS Lagrange, GA 15 - GA"&amp;" 14 - 0 Nick Hyder NPP, NSNS Cleveland, OH, St. Ignácio 14 -0 Chuck Kyle NPP, NSNS, EUA Concord, CA, De la Salle 13 -0 Bob Ladouceur NPP, NSNS Santa Ana, CA, Mater Dei 14 -0 Bruce Rollinson USA 1995 Berwick Area, PA 15 - 0 George Curry EUA Cleveland, Oh, "&amp;"St. Louis. Ignatius 14 - 0 Chuck Kyle NPP, NSNS Hampton, VA 14 - 0 Mike Smith NPP, NSNS Santa Ana, CA, Mater Dei 14 - 0 Bruce Roll Rollnson USA Canton, McKinley, McKinley 1om VA 13 - 0 Mike Smith NPP, NSNS 1998 CONCORD, CA, DE LA SALLE 12 - 0 BOB LADOUCEU"&amp;"R NPP, NSNS, EUA 1999 Concord, CA, De la Salle - - 0 John Parchman EUA Shreveport, LA, Evangel Christian 15 - 0 Dennis Dunn NPP 2000 Concord, CA, de la Salle 13 - 0 Bob Ladouceur NPP, EUA Concord - 0 Bob Ladou 12 - EUA 2002 Concord, CA, De la Salle 13 - 0"&amp;" Bob Ladouceur NPP, EUA 2003 Concord, CA, De De La Salle 13 - 0 Bob Ladouceur NPP, EUA Southlake, EUA NP, EUA NP, EUA, EUA 2005 Lakeland, FL 15 - 0 Bill Castle US Southlake, TX, Carroll 16 - 0 Todd Dodge NPP, Freeman 2006 Lakeland, FL 15 - 0 Bill Castle N"&amp;"PP Sodgema, Carroll 16 - - 0 a 2007 Cincinnati, OH, St. Xavier 15 - 0 Steve Specht NPP, Freeman Miami, FL, Northwestern 15 - 0 Billy Rolle USA 2008 Fort Lauderdale, FL, St. Tomás de Aquino 15 - 0 George Smith NPP, EUA, Freeman 2009 Ramsey, NJ, Don Bosco P"&amp;"rep 12 - 0 Greg Toal NPP, EUA, Freeman Fort Lauderdale, FL, St. Tomás de Aquino 15 - 0 George Smith NP Panola Sul, MS 15 - 0 Lance Pogue EUA, Freeman 2011 Ramsey, NJ, Don Bosco Prep 11 - 0 Greg Toal NPP, EUA, Freeman 14 - 0 J.T. Curtis NPP, EUA 2013 Miami"&amp;", FL, Booker do Washington 16 - 0 Jason Negro NPP, EUA 2014 Las Vegas, NV, Bispo Gorman 15 - 0 Tony Sanchez, EUA, NV, Bishop Gorman 15 - 0 Kenny Sanchez USA 2016 LAS VEGAS, NV, BISPO GORMAN 15 - 0 KENNY SANCHEZ NPP, EUA, Futebol da escola gratuita América")</f>
        <v>   Ano Campeão (s) Record Selector (s) 1910 Oak Park, IL 10 - 2 Robert Zupppke NSNS 1911 Oak Park, IL 10 - 0 Robert Zulppke NSNS 1912 Oak Park, IL 13 10 - 0, IL 10 - 1 Glenn Thistlewate NSNS 1914 Envett, MA 13 - 0 Kee O'Donnell NSNS 1915 Detroit, MI, Central 11 - 1 Edbert C. Buss NSNS Niveett, - - - - - - - - - - Cleo O'Donnell NNSNS 1916 San Diego , CA Scott, Toledo, Ohio 12 - 0 0 10 - 0 Nibs Preço Tom Merrell NNSNS 1917 NOWN Champion, Tech 0 Nrisburg G, PA, Tech 12 - 0 Paul Smith NSNS 1920 Everett, WA 9 - 0 - 1 Enoch Bagshaw nsns Oak Park, IL 9 - 0 - 1 Glenn Thistlewaite NSNS 1921 Jacksonville, FL, DUVAL 8 - 0 NSNS desconhecido 1922 Toledo, OH, Scott 9 - 0 Dr. William A. Neill NSNS 1923 East Cleveland, OH, Shaw 9 - 1 John Snavely NSNS Toledo, OH, Scott 10 - 0 Dr. William A. Neill NSNS 1924 Toledo, OH, Waite 10 - 0 Joe C. Collins NSNS 1925 Pine Bluff, AR 16 - 0 Foy Hammons NSNS 1926 Tuscaloosa, - 0 Purn ns - 0 Purn ns NS Score, 0 Paul Tyson NSSON NSNS 1928 Medford, ou 9 - 0 Pink Callison NSNS 1929 Tuscaloosa, AL 9 - 0 Paul Bulmin nsns 1930 Phoenix, AZ - 0 R.R. ROBINSON NSNS 1931 Ashland , Ky 10 -- 0 Paul Jenkins Nsns 1932 Toledo , Oh , Waitite 12 -- 0 Donald McCallister nsns 1933 Oklahoma City , ok , Capitol Hill 12 - 0 , , McKinley 11 -- 0 Jimmy Aiken Nsns 1935 Massellon , Oh, Washington 10 - 0 Paul Brown NSNS 1936 Massellon, OH, Washington - 0 Paul Brown NSNS 1, KY, Manual - 0 Ray Baer LSA, NNSNS 1939 Massellon, OH, Washington 10 - 0 Paul Brown NSNS Pine Bluff Pine Bluff Bluff Pine Bluff , AR 11 - 0 - 1 Allen Dunaway LSA 1 Essellon, OH, Wash, IL, Leo 11 - 0 Whitey Cronin NSNS 1942 Miami - 0 Lyles Alley Alley NSNS 1943 Miami, FL 9 - 0 Tom Moore nsns - 0 Raymond Burnett NSNS 1947 East Chicago, Roosevelt 9 - 0 NSNS UNKNOWN Lynn, MA, Classical 11 - 1 Bill Joyce (1) NSNS - 0 Joe Golding NSNS 1950 Massellon, OH, Washington 10 - 0 Chuck Mather nsns 1951 1951 Waymouth, MA 9 - 0 Harry Arlanson (2) NSNS 1952 Massillon, OH Primeiro 1, OH, Washington 10 - 0 Chuck Mather NSNS 1954 Vallejo - 0 Bob Patterson NSNS 1955 San Diego, CA 12 - 0 Dois dois Maleyley , Central, Charles NNS 14 - 0 12 - 0 Wilson Matthews Nnsns Downey HS, Downey, Califórnia 11 - 0 NSNS 1958 Oak Ridge, TN, Oak Ridge 10 - 0 Jack Armstrong Arms 1959 Massillon, OH, foi apenas . 8 - 0 - 2 Ottis Moonyey NSNS 1961 Massellon, OH, Washington 11 - 0 Leo Strang nsns 1962 Valdosta - 0 Wright Bazemore NSNS 1963 Chicago, Rita - 0 Edward Buckley NSNS 1964 Coral Gables, FL 12 - 0 Nick Kot Kots NSNS 1965 Miami, FL 12 - 0 Robert Carlton NSNS 1966 Pico Rivera, CA - 0 Sus 13 -, Reagan 14 - 0 Travis Raven nsns Coral Gables, FL 13 - 0 Nick Kotys nsns 1968 Austin, Reagan - 0 Travis Raven nsns coral nss - - 0 Nick Kotys nsns Valdosta, GA 12 - 0 - 1 Wright Bazemore nsns 1970 Regan, Austin, Texas 14 - 1 Travis Raven NSNS 1971 Valdosta, GA 13 - 0 Wright Bazemore NSNS 1972 Bristol, TN 13 - 0 John Cropp NSNS 1973 Chattanooga, TN, Baylor 13 - 0 E.B. Etter Nsns Thomasville , ga 12 -- 1 JIM Hughes Nsns losns Los Angeles , CA , Loyola 13 -- 0 MARTY SHUNESSY NSNSSY NSNSSY NSNS 1976 Moelerller , Cincinnati , Oh erry faust nnsns rovit Robins rovit Robins robust nnsns rovin 13 - 0 Robert Davis SNS 1977 Cincinnati, OH, Moeller 12 - 0 Gerry Faust nsns 1978 Annandale, VA 14 - 0 Bob Hardage nsns - 0 Norry 0 Norry, Oel 12 0 n n n Nes Cinati, Oh, Moeler - 0 Gerry FAUST NSNS 1981 Warner Robins, GA 15 - 0 Robert Davis NSNS 1982 Cincinnati, OH, Moeller 13 - 0 Steve Klonne NSNS, EUA Berwick Area 15 - 0 Nick Hyder NSNS, EUA 1985 East St. LOUIS, IL 14 - 0 BOB SHANNON NSNS, EUA 1986 VALDOSTA, GA 15 - 0 Nick Hyder NSNS, EUA Fontana, CA 14 - 0 Dick Bruich NPP TX 16 - 0 Gerald Bience nsns Pensacola, Fl, Floresta de Pine 14 - 0 Carl Madison NSNS, EUA Prichard, AL, Vigor 13- 0 Harold Clarand, OH, St. Ignatius 13 - 0 Chuck Kyle USA Odessa, TX, Permian 16 - 0 Gary Gaine, NSNS Houston, Texas Aldine High School 15 - 0 Bill Smith NPP Lawton, OK, Eisenhodwer 14 - 0 Tim Residing 14 - 0 Jimmy `` Chick 'Chick' Childress NSNS 1991 Indianapolis, IN, Ben Davis 14 - 0 Dick Dullaghan NPP, NSNS Lagrange, GA 15 - GA 14 - 0 Nick Hyder NPP, NSNS Cleveland, OH, St. Ignácio 14 -0 Chuck Kyle NPP, NSNS, EUA Concord, CA, De la Salle 13 -0 Bob Ladouceur NPP, NSNS Santa Ana, CA, Mater Dei 14 -0 Bruce Rollinson USA 1995 Berwick Area, PA 15 - 0 George Curry EUA Cleveland, Oh, St. Louis. Ignatius 14 - 0 Chuck Kyle NPP, NSNS Hampton, VA 14 - 0 Mike Smith NPP, NSNS Santa Ana, CA, Mater Dei 14 - 0 Bruce Roll Rollnson USA Canton, McKinley, McKinley 1om VA 13 - 0 Mike Smith NPP, NSNS 1998 CONCORD, CA, DE LA SALLE 12 - 0 BOB LADOUCEUR NPP, NSNS, EUA 1999 Concord, CA, De la Salle - - 0 John Parchman EUA Shreveport, LA, Evangel Christian 15 - 0 Dennis Dunn NPP 2000 Concord, CA, de la Salle 13 - 0 Bob Ladouceur NPP, EUA Concord - 0 Bob Ladou 12 - EUA 2002 Concord, CA, De la Salle 13 - 0 Bob Ladouceur NPP, EUA 2003 Concord, CA, De De La Salle 13 - 0 Bob Ladouceur NPP, EUA Southlake, EUA NP, EUA NP, EUA, EUA 2005 Lakeland, FL 15 - 0 Bill Castle US Southlake, TX, Carroll 16 - 0 Todd Dodge NPP, Freeman 2006 Lakeland, FL 15 - 0 Bill Castle NPP Sodgema, Carroll 16 - - 0 a 2007 Cincinnati, OH, St. Xavier 15 - 0 Steve Specht NPP, Freeman Miami, FL, Northwestern 15 - 0 Billy Rolle USA 2008 Fort Lauderdale, FL, St. Tomás de Aquino 15 - 0 George Smith NPP, EUA, Freeman 2009 Ramsey, NJ, Don Bosco Prep 12 - 0 Greg Toal NPP, EUA, Freeman Fort Lauderdale, FL, St. Tomás de Aquino 15 - 0 George Smith NP Panola Sul, MS 15 - 0 Lance Pogue EUA, Freeman 2011 Ramsey, NJ, Don Bosco Prep 11 - 0 Greg Toal NPP, EUA, Freeman 14 - 0 J.T. Curtis NPP, EUA 2013 Miami, FL, Booker do Washington 16 - 0 Jason Negro NPP, EUA 2014 Las Vegas, NV, Bispo Gorman 15 - 0 Tony Sanchez, EUA, NV, Bishop Gorman 15 - 0 Kenny Sanchez USA 2016 LAS VEGAS, NV, BISPO GORMAN 15 - 0 KENNY SANCHEZ NPP, EUA, Futebol da escola gratuita América</v>
      </c>
      <c r="I417" s="3" t="str">
        <f>IFERROR(__xludf.DUMMYFUNCTION("GOOGLETRANSLATE(E417)"),"Bispo Gorman")</f>
        <v>Bispo Gorman</v>
      </c>
    </row>
    <row r="418" ht="15.75" customHeight="1">
      <c r="A418" s="1">
        <v>416.0</v>
      </c>
      <c r="B418" s="3" t="s">
        <v>1533</v>
      </c>
      <c r="C418" s="3" t="s">
        <v>1534</v>
      </c>
      <c r="D418" s="3" t="s">
        <v>1535</v>
      </c>
      <c r="F418" s="3" t="str">
        <f>IFERROR(__xludf.DUMMYFUNCTION("GOOGLETRANSLATE(B418)")," Ilhas do Estreito de Torres")</f>
        <v> Ilhas do Estreito de Torres</v>
      </c>
      <c r="G418" s="3" t="str">
        <f>IFERROR(__xludf.DUMMYFUNCTION("GOOGLETRANSLATE(C418)"),"Quando os ilhéus do Estreito de Torres vieram para a Austrália")</f>
        <v>Quando os ilhéus do Estreito de Torres vieram para a Austrália</v>
      </c>
      <c r="H418" s="3" t="str">
        <f>IFERROR(__xludf.DUMMYFUNCTION("GOOGLETRANSLATE(D418)")," O tenente James Cook reivindicou pela primeira vez a soberania britânica sobre a parte oriental da Austrália na ilha de possessão em 1770. A missão da Sociedade Missionária de Londres, liderada pelo Rev. Samuel MacFarlane, chegou a Erub (Darnley Island) "&amp;"em 1 de julho de 1871. Os ilhéus se referem a isso como `` a vinda da luz '', e todas as comunidades da ilha comemoram a ocasião anualmente em 1º de julho. Em 1879, Queensland anexou as ilhas do Estreito de Torres. Assim, eles se tornaram parte da colônia"&amp;" britânica de Queensland e (depois de 1901) do estado australiano de Queensland - embora alguns deles estejam na costa da Nova Guiné.")</f>
        <v> O tenente James Cook reivindicou pela primeira vez a soberania britânica sobre a parte oriental da Austrália na ilha de possessão em 1770. A missão da Sociedade Missionária de Londres, liderada pelo Rev. Samuel MacFarlane, chegou a Erub (Darnley Island) em 1 de julho de 1871. Os ilhéus se referem a isso como `` a vinda da luz '', e todas as comunidades da ilha comemoram a ocasião anualmente em 1º de julho. Em 1879, Queensland anexou as ilhas do Estreito de Torres. Assim, eles se tornaram parte da colônia britânica de Queensland e (depois de 1901) do estado australiano de Queensland - embora alguns deles estejam na costa da Nova Guiné.</v>
      </c>
      <c r="I418" s="3" t="str">
        <f>IFERROR(__xludf.DUMMYFUNCTION("GOOGLETRANSLATE(E418)"),"#VALUE!")</f>
        <v>#VALUE!</v>
      </c>
    </row>
    <row r="419" ht="15.75" customHeight="1">
      <c r="A419" s="1">
        <v>417.0</v>
      </c>
      <c r="B419" s="3" t="s">
        <v>329</v>
      </c>
      <c r="C419" s="3" t="s">
        <v>1536</v>
      </c>
      <c r="D419" s="3" t="s">
        <v>1537</v>
      </c>
      <c r="E419" s="3" t="s">
        <v>1538</v>
      </c>
      <c r="F419" s="3" t="str">
        <f>IFERROR(__xludf.DUMMYFUNCTION("GOOGLETRANSLATE(B419)")," Grande pirâmide de Gizé")</f>
        <v> Grande pirâmide de Gizé</v>
      </c>
      <c r="G419" s="3" t="str">
        <f>IFERROR(__xludf.DUMMYFUNCTION("GOOGLETRANSLATE(C419)"),"quanto tempo demorou para construir uma grande pirâmide de gizé")</f>
        <v>quanto tempo demorou para construir uma grande pirâmide de gizé</v>
      </c>
      <c r="H419" s="3" t="str">
        <f>IFERROR(__xludf.DUMMYFUNCTION("GOOGLETRANSLATE(D419)")," Com base nessas estimativas, a construção da pirâmide em 20 anos envolveria a instalação de aproximadamente 800 toneladas de pedra todos os dias. Além disso, como consiste em cerca de 2,3 milhões de blocos, a conclusão do edifício em 20 anos envolveria a"&amp;" movimentação de uma média de mais de 12 dos blocos em prática a cada hora, dia e noite. As primeiras medições de precisão da pirâmide foram feitas pelo egiptologista Sir Flinders Petrie em 1880 - 82 e publicado como pirâmides e templos de Gizeh. Quase to"&amp;"dos os relatórios são baseados em suas medidas. Muitas das pedras da carcaça e os blocos de câmara interna da Grande Pirâmide se encaixam em conjunto com precisão extremamente alta. Com base nas medições realizadas nas pedras do nordeste da carcaça, a abe"&amp;"rtura média das juntas tem apenas 0,5 milímetros de largura (1/50 de polegada).")</f>
        <v> Com base nessas estimativas, a construção da pirâmide em 20 anos envolveria a instalação de aproximadamente 800 toneladas de pedra todos os dias. Além disso, como consiste em cerca de 2,3 milhões de blocos, a conclusão do edifício em 20 anos envolveria a movimentação de uma média de mais de 12 dos blocos em prática a cada hora, dia e noite. As primeiras medições de precisão da pirâmide foram feitas pelo egiptologista Sir Flinders Petrie em 1880 - 82 e publicado como pirâmides e templos de Gizeh. Quase todos os relatórios são baseados em suas medidas. Muitas das pedras da carcaça e os blocos de câmara interna da Grande Pirâmide se encaixam em conjunto com precisão extremamente alta. Com base nas medições realizadas nas pedras do nordeste da carcaça, a abertura média das juntas tem apenas 0,5 milímetros de largura (1/50 de polegada).</v>
      </c>
      <c r="I419" s="3" t="str">
        <f>IFERROR(__xludf.DUMMYFUNCTION("GOOGLETRANSLATE(E419)"),"20 anos")</f>
        <v>20 anos</v>
      </c>
    </row>
    <row r="420" ht="15.75" customHeight="1">
      <c r="A420" s="1">
        <v>418.0</v>
      </c>
      <c r="B420" s="3" t="s">
        <v>1539</v>
      </c>
      <c r="C420" s="3" t="s">
        <v>1540</v>
      </c>
      <c r="D420" s="3" t="s">
        <v>1541</v>
      </c>
      <c r="E420" s="3" t="s">
        <v>1542</v>
      </c>
      <c r="F420" s="3" t="str">
        <f>IFERROR(__xludf.DUMMYFUNCTION("GOOGLETRANSLATE(B420)")," Copa do Mundo das Mulheres da FIFA")</f>
        <v> Copa do Mundo das Mulheres da FIFA</v>
      </c>
      <c r="G420" s="3" t="str">
        <f>IFERROR(__xludf.DUMMYFUNCTION("GOOGLETRANSLATE(C420)"),"Quando foi realizada a primeira Copa do Mundo feminina")</f>
        <v>Quando foi realizada a primeira Copa do Mundo feminina</v>
      </c>
      <c r="H420" s="3" t="str">
        <f>IFERROR(__xludf.DUMMYFUNCTION("GOOGLETRANSLATE(D420)")," A Copa do Mundo das Mulheres da FIFA é uma competição internacional de futebol contestada pelas equipes nacionais das mulheres seniores dos membros da Fédération Internationale de Football Association (FIFA), o órgão de governo global do esporte. A compe"&amp;"tição é realizada a cada quatro anos desde 1991, quando o torneio inaugural, então chamou o Campeonato Mundial das Mulheres da FIFA, foi realizado na China.")</f>
        <v> A Copa do Mundo das Mulheres da FIFA é uma competição internacional de futebol contestada pelas equipes nacionais das mulheres seniores dos membros da Fédération Internationale de Football Association (FIFA), o órgão de governo global do esporte. A competição é realizada a cada quatro anos desde 1991, quando o torneio inaugural, então chamou o Campeonato Mundial das Mulheres da FIFA, foi realizado na China.</v>
      </c>
      <c r="I420" s="3" t="str">
        <f>IFERROR(__xludf.DUMMYFUNCTION("GOOGLETRANSLATE(E420)"),"1991")</f>
        <v>1991</v>
      </c>
    </row>
    <row r="421" ht="15.75" customHeight="1">
      <c r="A421" s="1">
        <v>419.0</v>
      </c>
      <c r="B421" s="3" t="s">
        <v>1543</v>
      </c>
      <c r="C421" s="3" t="s">
        <v>1544</v>
      </c>
      <c r="D421" s="3" t="s">
        <v>1545</v>
      </c>
      <c r="E421" s="3" t="s">
        <v>1546</v>
      </c>
      <c r="F421" s="3" t="str">
        <f>IFERROR(__xludf.DUMMYFUNCTION("GOOGLETRANSLATE(B421)")," Star Trek (filme)")</f>
        <v> Star Trek (filme)</v>
      </c>
      <c r="G421" s="3" t="str">
        <f>IFERROR(__xludf.DUMMYFUNCTION("GOOGLETRANSLATE(C421)"),"que interpretou a mãe de Spock em Star Trek 2009")</f>
        <v>que interpretou a mãe de Spock em Star Trek 2009</v>
      </c>
      <c r="H421" s="3" t="str">
        <f>IFERROR(__xludf.DUMMYFUNCTION("GOOGLETRANSLATE(D421)")," Winona Ryder como Amanda Grayson, mãe de Spock.")</f>
        <v> Winona Ryder como Amanda Grayson, mãe de Spock.</v>
      </c>
      <c r="I421" s="3" t="str">
        <f>IFERROR(__xludf.DUMMYFUNCTION("GOOGLETRANSLATE(E421)"),"Winona ryder")</f>
        <v>Winona ryder</v>
      </c>
    </row>
    <row r="422" ht="15.75" customHeight="1">
      <c r="A422" s="1">
        <v>420.0</v>
      </c>
      <c r="B422" s="3" t="s">
        <v>1547</v>
      </c>
      <c r="C422" s="3" t="s">
        <v>1548</v>
      </c>
      <c r="D422" s="3" t="s">
        <v>1549</v>
      </c>
      <c r="E422" s="3" t="s">
        <v>1550</v>
      </c>
      <c r="F422" s="3" t="str">
        <f>IFERROR(__xludf.DUMMYFUNCTION("GOOGLETRANSLATE(B422)")," Belle (Disney)")</f>
        <v> Belle (Disney)</v>
      </c>
      <c r="G422" s="3" t="str">
        <f>IFERROR(__xludf.DUMMYFUNCTION("GOOGLETRANSLATE(C422)"),"Quem interpreta Bell em Beauty and the Beast")</f>
        <v>Quem interpreta Bell em Beauty and the Beast</v>
      </c>
      <c r="H422" s="3" t="str">
        <f>IFERROR(__xludf.DUMMYFUNCTION("GOOGLETRANSLATE(D422)")," Belle recebeu aclamação generalizada dos críticos de cinema que apreciaram a bravura, a inteligência e a independência do personagem. A recepção em relação ao seu feminismo, no entanto, tem sido mais mista, com comentaristas acusando as ações do personag"&amp;"em de ser orientado para o romance. A quinta princesa da Disney, Belle é frequentemente classificada entre os melhores da franquia. Altamente considerado como um dos exemplos mais fortes da Disney de um personagem feminista, os críticos concordam que Bell"&amp;"e ajudou a liderar uma geração de heroínas de cinema independentes enquanto mudam a reputação de uma princesa da Disney. Também um dos personagens mais emblemáticos da Disney, Belle foi a única heroína animada indicada para os maiores heróis do American F"&amp;"ilm Institute no ranking de filmes. O personagem também aparece nas várias sequências e spin do filme, bem como em sua própria série de televisão de ação ao vivo. A atriz americana Susan Egan originou o papel de Belle na adaptação musical da Broadway do f"&amp;"ilme, pela qual foi indicada ao Tony Award de Melhor Atriz em um musical. Emma Watson interpreta uma versão ao vivo - ação do personagem em uma adaptação de ação ao vivo de 2017 do filme original de 1991.")</f>
        <v> Belle recebeu aclamação generalizada dos críticos de cinema que apreciaram a bravura, a inteligência e a independência do personagem. A recepção em relação ao seu feminismo, no entanto, tem sido mais mista, com comentaristas acusando as ações do personagem de ser orientado para o romance. A quinta princesa da Disney, Belle é frequentemente classificada entre os melhores da franquia. Altamente considerado como um dos exemplos mais fortes da Disney de um personagem feminista, os críticos concordam que Belle ajudou a liderar uma geração de heroínas de cinema independentes enquanto mudam a reputação de uma princesa da Disney. Também um dos personagens mais emblemáticos da Disney, Belle foi a única heroína animada indicada para os maiores heróis do American Film Institute no ranking de filmes. O personagem também aparece nas várias sequências e spin do filme, bem como em sua própria série de televisão de ação ao vivo. A atriz americana Susan Egan originou o papel de Belle na adaptação musical da Broadway do filme, pela qual foi indicada ao Tony Award de Melhor Atriz em um musical. Emma Watson interpreta uma versão ao vivo - ação do personagem em uma adaptação de ação ao vivo de 2017 do filme original de 1991.</v>
      </c>
      <c r="I422" s="3" t="str">
        <f>IFERROR(__xludf.DUMMYFUNCTION("GOOGLETRANSLATE(E422)"),"Susan Egan")</f>
        <v>Susan Egan</v>
      </c>
    </row>
    <row r="423" ht="15.75" customHeight="1">
      <c r="A423" s="1">
        <v>421.0</v>
      </c>
      <c r="B423" s="3" t="s">
        <v>1551</v>
      </c>
      <c r="C423" s="3" t="s">
        <v>1552</v>
      </c>
      <c r="D423" s="3" t="s">
        <v>1553</v>
      </c>
      <c r="E423" s="3" t="s">
        <v>1554</v>
      </c>
      <c r="F423" s="3" t="str">
        <f>IFERROR(__xludf.DUMMYFUNCTION("GOOGLETRANSLATE(B423)")," 2017 Campeonato Nacional de Playoff de Futebol da Faculdade")</f>
        <v> 2017 Campeonato Nacional de Playoff de Futebol da Faculdade</v>
      </c>
      <c r="G423" s="3" t="str">
        <f>IFERROR(__xludf.DUMMYFUNCTION("GOOGLETRANSLATE(C423)"),"onde está o campeonato nacional de futebol universitário jogou este ano")</f>
        <v>onde está o campeonato nacional de futebol universitário jogou este ano</v>
      </c>
      <c r="H423" s="3" t="str">
        <f>IFERROR(__xludf.DUMMYFUNCTION("GOOGLETRANSLATE(D423)"),"O Campeonato Nacional de Playoff de Futebol College de 2017 foi um jogo de boliche que foi usado para determinar um campeão nacional de futebol universitário na subdivisão da NCAA Division I Football Bowl para a temporada de 2016. O jogo foi disputado no "&amp;"Raymond James Stadium em Tampa, Flórida, em 9 de janeiro de 2017. Foi o jogo culminante da temporada de 2016 - 17 Bowl. O")</f>
        <v>O Campeonato Nacional de Playoff de Futebol College de 2017 foi um jogo de boliche que foi usado para determinar um campeão nacional de futebol universitário na subdivisão da NCAA Division I Football Bowl para a temporada de 2016. O jogo foi disputado no Raymond James Stadium em Tampa, Flórida, em 9 de janeiro de 2017. Foi o jogo culminante da temporada de 2016 - 17 Bowl. O</v>
      </c>
      <c r="I423" s="3" t="str">
        <f>IFERROR(__xludf.DUMMYFUNCTION("GOOGLETRANSLATE(E423)"),"Estádio em Tampa, Flórida, em")</f>
        <v>Estádio em Tampa, Flórida, em</v>
      </c>
    </row>
    <row r="424" ht="15.75" customHeight="1">
      <c r="A424" s="1">
        <v>422.0</v>
      </c>
      <c r="B424" s="3" t="s">
        <v>1555</v>
      </c>
      <c r="C424" s="3" t="s">
        <v>1556</v>
      </c>
      <c r="D424" s="3" t="s">
        <v>1557</v>
      </c>
      <c r="F424" s="3" t="str">
        <f>IFERROR(__xludf.DUMMYFUNCTION("GOOGLETRANSLATE(B424)")," Beijo de língua")</f>
        <v> Beijo de língua</v>
      </c>
      <c r="G424" s="3" t="str">
        <f>IFERROR(__xludf.DUMMYFUNCTION("GOOGLETRANSLATE(C424)"),"De onde veio o termo beijo francês")</f>
        <v>De onde veio o termo beijo francês</v>
      </c>
      <c r="H424" s="3" t="str">
        <f>IFERROR(__xludf.DUMMYFUNCTION("GOOGLETRANSLATE(D424)")," Um beijo francês é assim chamado porque, no início do século XX, no mundo de falantes ingleses, os franceses haviam adquirido uma reputação de práticas sexuais mais aventureiras e apaixonadas. Originou -se na América e na Grã -Bretanha. Na França, é refe"&amp;"rido como un Baiser Amoureux (`` um beijo 'de um amante' ') ou Un Baiser Avec la Langue (`` um beijo com a língua' '), mesmo que nos últimos tempos fosse conhecido como conhecido como Baiser Florentin (`` Beijo Florentino ''). O Petit Robert 2014 French D"&amp;"ictionary, lançado em 30 de maio de 2013, acrescentou o verbo francês `` SE Galocher '' - gíria por beijar com línguas - tornando -a pela primeira vez uma única palavra descreveu a prática (exceto em Quebec, onde O verbo `` francês '' significa beijo fran"&amp;"cês; Austrália, onde o termo `` pash '' é usado; o verbo inglês '' shift '' é usado em conversas casuais na Irlanda; o verbo alemão Knutschen; os verbos italianos limonare e pomiciare; e o verbo húngaro megcsókol / csókolózik).")</f>
        <v> Um beijo francês é assim chamado porque, no início do século XX, no mundo de falantes ingleses, os franceses haviam adquirido uma reputação de práticas sexuais mais aventureiras e apaixonadas. Originou -se na América e na Grã -Bretanha. Na França, é referido como un Baiser Amoureux (`` um beijo 'de um amante' ') ou Un Baiser Avec la Langue (`` um beijo com a língua' '), mesmo que nos últimos tempos fosse conhecido como conhecido como Baiser Florentin (`` Beijo Florentino ''). O Petit Robert 2014 French Dictionary, lançado em 30 de maio de 2013, acrescentou o verbo francês `` SE Galocher '' - gíria por beijar com línguas - tornando -a pela primeira vez uma única palavra descreveu a prática (exceto em Quebec, onde O verbo `` francês '' significa beijo francês; Austrália, onde o termo `` pash '' é usado; o verbo inglês '' shift '' é usado em conversas casuais na Irlanda; o verbo alemão Knutschen; os verbos italianos limonare e pomiciare; e o verbo húngaro megcsókol / csókolózik).</v>
      </c>
      <c r="I424" s="3" t="str">
        <f>IFERROR(__xludf.DUMMYFUNCTION("GOOGLETRANSLATE(E424)"),"#VALUE!")</f>
        <v>#VALUE!</v>
      </c>
    </row>
    <row r="425" ht="15.75" customHeight="1">
      <c r="A425" s="1">
        <v>423.0</v>
      </c>
      <c r="B425" s="3" t="s">
        <v>1558</v>
      </c>
      <c r="C425" s="3" t="s">
        <v>1559</v>
      </c>
      <c r="D425" s="3" t="s">
        <v>1560</v>
      </c>
      <c r="E425" s="3" t="s">
        <v>1561</v>
      </c>
      <c r="F425" s="3" t="str">
        <f>IFERROR(__xludf.DUMMYFUNCTION("GOOGLETRANSLATE(B425)")," As 100 espécies mais ameaçadas do mundo")</f>
        <v> As 100 espécies mais ameaçadas do mundo</v>
      </c>
      <c r="G425" s="3" t="str">
        <f>IFERROR(__xludf.DUMMYFUNCTION("GOOGLETRANSLATE(C425)"),"Qual é o animal mais ameaçado do mundo")</f>
        <v>Qual é o animal mais ameaçado do mundo</v>
      </c>
      <c r="H425" s="3" t="str">
        <f>IFERROR(__xludf.DUMMYFUNCTION("GOOGLETRANSLATE(D425)")," As 100 espécies de espécies mais ameaçadas do mundo, tipo de imagem comum, localização (s) estimada sobre ameaças populacionais de abies Beshanzuensis Baishan Fir Plant (Flor) Baishanzu Mountain, Zhejiang, China Cinco indivíduos maduros Agricultura Actin"&amp;"ote Zikani inseto (Butterfly) perto de São Paulo, atlântico Floresta, Brasil, perda de habitat desconhecida da expansão humana Aipysurus foliosquama folhas em escala do mar - repteis de cobra Recife de Ashmore e recife de hibernia, timor marinho desconhec"&amp;"ido - provavelmente degradação do recife de coral Habitat Amanipodagrion Florestas, insetos de água plana (damselfly) amani -sigl, siglagrion Floresta, insetos de asa -alvo (damselfly) amani -sigl. , Poluição da população da Tanzânia e poluição da água An"&amp;"isolabis Seychellensis inseto Morne Blanc, ilha mahé, Seychelles Desconhecida Espécies Invasivas Mudança Climática Antilophia Bokermanni ARARIPE Manakin Bird Chapado do ARARIPE, CEAR SUL, Brasil 779 Indivíduos Gentiles Divisão de água Afato Aphanius Costa"&amp;" do antigo lago aci, peru poucas centenas de pares de pares de pares e predação pela construção de rodovias de gambusia Aproteles bulmerae bulmer de bastão de frutas mamíferos caverna luxuplupwintern, província ocidental, papua nova guinéia 150 Cave de ca"&amp;"ça de caça ARDEA INSIGNIS Mianmar 70 -400 indivíduos Desenvolvimento de hidrelétricas Ardeotis Nigriceps Great Baved Bavera Indiana Rajastão, Gujarat, Maharashtra, Andhra Pradesh, Karnataka e Madhya, Índia 50 -249 Indivíduos maduros Remoção agrícola de Be"&amp;"chys Yniphora Ploughshare Tortoise 770 Coleção ilegal para o comércio internacional de animais de estimação Atelopus Balios Rio Pescado Stopfoot Toad Amphibian Azuay, Cañar e Guyas Províncias, South - Equador Ocidental Desconhecido Chitiomicose Loging Agu"&amp;"stural A agricultura Athya Athya intaguscarcarcar poChard Bird vulccan Lages Industring Industring Industing Industing BELATEME peixe azurina eupalama galapagos donzel peixe peixe desconhecido mudanças climáticas desconhecidas mudanças oceanográficas rela"&amp;"cionadas à pesca de 1982 /1983 el nino bahaba taipingingensis gigante croaker amarelo peixe chinesa costa do rio Yangtze, porcela Medicina Batagur Baska Réptil comum de Batagur (Tartaruga) Bangladesh, Camboja, Índia, Indonésia e Malásia Exportação ilegal "&amp;"desconhecida China Bazzânia ButhiNica Budini e Lafeti Khola, Butão 2 Sub -populações Florestos Desenvolvimento de Baatragus Hunterra Hirola -Mamal (Antia -Populações Florestas Desenvolvimento de Integração) Desenvolvimento Solimal (Antia -Populações (Anti"&amp;"a -Populações Desenvolvimento de Floresta) Hirola -Mamal (Antia -Populações Florestas Desenvolvimento) e possivelmente South - Concurso de Perda de Habitat da Somália Ocidental com a gado de Bombus Franklini Franklini Franklin Inseto (Bee) Oregon e Califó"&amp;"rnia Doença desconhecida De Bumblebees Comercial Destruição e Degradação de Brachitas Brachyteles Hypoxanthus Muriques Muriques Muriques Mummales Muracho Mumal Eastern Brasil Brasil - Desmatamento de grande escala e madeireira Bradypus pygmaeus pygmy de t"&amp;"rês ilhos mamíferos de preguiçosos Isla escudo de veraguas, madeira ilegal de mangue de mangue para lenha e consumo de caça a caça a Callitriche Pulchra Plant (água fresca) Pool de gavdos, recompensa de habimlos de recompensa A piscina dos habitantes loca"&amp;"is de Calumma Tarzan Tarzan Ansibe Anosibe An'ala Região, Oriental Agricultura Cavia Intermedia Santa Catarina Mamíferos de Mamíferos de Porco (Redent) Do Sul Island, Santa Catarina, Brasil 40 - 60 Distúrbios da Habitat Possível resultado da caça ao resul"&amp;"tado of having such a small population       Cercopithecus roloway   Roloway guenon   Mammal ( primate )     Côte d'Ivoire   Unknown     hunting   habitat loss       Coleura seychellensis   Seychelles sheath - tailed bat   Mammal ( bat )     Two small cav"&amp;"es on Silhouette and Mahé , Seychelles       habitat degradation   predation by invasive species       Cryptomyces maximus Willow blister   Fungi     Pembrokeshire , United Kingdom   Unknown     limited habitat       Cryptotis nelsoni   Nelson 's small - "&amp;"eared shrew   Mammal ( shrew )     Volcán San Martín Tuxtla , Veracruz , Mexico   Unknown     logging   cattle grazing   fire   agriculture       Cyclura collei   Jamaican iguana Jamaican rock iguana   Reptile     Hellshire Hills , Jamaica   Unknown habit"&amp;"at destruction   predation by introduced species       Daubentonia Madagascariensis   Aye - aye   Mammal ( primate )     Deciduous forest , East Madagascar   Unknown     poaching     limited habitat       Dendrophylax fawcettii   Cayman Islands ghost orch"&amp;"id   Plant ( orchid )     Ironwood Forest , George Town , Grand Cayman   Unknown     infrastructure development       Dicerorhinus sumatrensis   Sumatran rhino   Mammal (Rhino) Sabah, Sarawak e Peninsular Malaysia, Kalimantan e Sumatra, a caça à Indonésia"&amp;" (Horn é usada na medicina tradicional) Diomedea Amsterdamensis Amsterdam Albatross Birds Raids em Plackuau des Tourbières, ilha de Amsterdã, Oceano Índico. 100 Indivíduos maduros doenças incidentais por - captura na área de Oshoek de Pesca de Linha Diosc"&amp;"orea Strydomiana, Mpumalanga, Coleção da África do Sul 200 Para uso medicinal Diospyros Katendei Planta (Árvore) Kasyoha - Kitomi Reserva florestal, Uganda 20 indivíduos em uma única população da população agrícola Atividade Classificação ilegal Classific"&amp;"ação de árvore O ouro aluvial escavando pequena população Dipterocarpus lamellatus planta (árvore) Reserva florestal de Siangau, Sabah, Malásia 12 Indivíduos Fazendo da Criação florestal das planícies de plantações industriais Descoglossus nigrivador hula"&amp;" hula rã de garoa de anfíbios a vedação de hula de hula a vencer a restrição de rãos de gama de rãos de gama. habitat destruction       Dombeya mauritiana     Plant     Mauritius   Unknown     encroachment by invasive plant species   habitat loss due to c"&amp;"annabis cultivation       Elaeocarpus bojeri   Bois Dentelle   Plant ( tree )     Grand Bassin , Mauritius       habitat degradation       Eleutherodactylus glandulifer   La Hotte glanded frog   Amphibian     Massif de la Hotte , Haiti   Unknown     charc"&amp;"oal production   slash - and - burn agriculture       Eleutherodactylus thorcetes   Macaya breast - spot frog   Amphibian     Formon and Macaya peaks , Masif de la Hotte , Haiti   Unknown     charcoal production   slash - and - burn agriculture       Erio"&amp;"syce chilensis   Chilenito ( cactus )   Plant     Pta Molles and Pichidungui , Chile       collection of flowering plants       Erythrina schliebenii   Coral tree   Plant     Namatimbili - Ngarama Forest , Tanzania       limited habitat and small populati"&amp;"on size increase vulnerability       Euphorbia tanaensis     Plant ( tree )     Witu Forest Reserve , Kenya   4 mature individuals     illegal logging   agricultural expansion   infrastructure development       Eurynorhyncus pygmeus   Spoon - billed sandp"&amp;"iper   Bird     Breeds in Russia , migrates Ao longo da via de mosca australiana da Ásia da Ásia para o inverno na Índia, Bangladesh e Myanmar 100 pares de reprodução precedindo a recuperação de terras Ficus katendei Plant Kasyoha - Reserva florestal de K"&amp;"itomi, rio Ishasha, Uganda Agricultura Illegal Tree Birration Aluvial Digging Digging Geronticus Eremita Marrocos, Turquia e Síria. Winters da população síria no centro da Etiópia. 200 - 249 Indivíduos maduros Degradação de habitat e destruição Planta de "&amp;"macrosiphon Gigasiphon (Flor) Kaya Muhaka, Gongoni e Mrima Reservas florestais, Quênia, Reserva Natural Amani, Reserva Florestal de Kilombero Ocidental e Reserva de Kihansi, Tanzania 33 Extração de Timbers Predação por porcos selvagens Gocea Ohridana Molu"&amp;"sc Lake Ohrid, Macedônia desconhecida crescendo níveis de poluição - Tire os eventos de sedimentação da água Heleophryne Rosei Tabela Mountain Frogue Fropo Amfibiano Montanha da Tabela, Província do Cabo Ocidental, Sul África Desconhecida Plantas Invasiva"&amp;"s) Hemicycla -Paeteliana Mollusca (Sul da África Desconhecido Jandia peninsula , Fuerteventura , Canary Islands   Unknown     overgrazing   trampling by goats and tourists       Heteromirafa sidamoensis   Liben lark   Bird     Liben Plains , southern Ethi"&amp;"opia   90 -- 256     agricultural expansion   overgrazing   fire suppression       Hibiscadelphus woodii     Plant ( tree )     Kalalau Valley , Hawaii   Unknown     habitat degradation due to feral ungulates competição com espécies invasoras de plantas h"&amp;"ucho perryi sakhalin taimen peixes rios russos e japoneses, Oceano Pacífico entre a Rússia e o Japão Desconhecido sobrepepes Excedentes Damas Agricultura Outros usos da terra Johora Singaporensis Singapura Singapura Cruste Crustane Bukit Timah Reserva da "&amp;"natureza e streamlet perto de Bukit Batok, Sinalizão Sinalizador reduction in water quality and quantity       Lathyrus belinensis   Belin vetchling   Plant     Outskirts of Belin village , Antalya , Turkey       urbanisation   over-grazing   conifer plan"&amp;"ting   road widening       Leiopelma archeyi   Archey 's frog   Amphibian     Coromandel peninsula and Whareorino Forest , New Zealand   Unknown     Chytridiomycosis   predation by invasive species       Lithobates sevosus Dusky Gopher Frog Amphibian Harr"&amp;"ison County, Mississippi, EUA 60 - 100 DOENÇÕES FUNGALM MUDANÇA CLIMA - Uso Altera Lophura Edwardsi Edwards de Bird Quang Binh, Quang Tri e Thua Thien - Hue, Vietn Nam Habitat Living Habitating Haking Magnolia wolfii Plant (planta RESARALDA RISARALDA, ISO"&amp;"LAMENTO DE COLOMBIA DE ESPÉCIAS TAXAS DE BAIXA REGENERAÇÃO MARGARITIFERA MAROCANA Mollogud Denna, abidem e oued Beth, Desenvolvimento de Poluição de Marrocos Moominia Willii Molusc (Snail) Ilha da Silhueta Cubrina, Seychelles Spientsive Spicesive Climate "&amp;"Mudamal Primus Primusnus Cubrina Greater FinaNnel, Melleds Mumeds Mumamal MolliMal Primusnus Primusnan Cubsan Cubrinet )     Cueva La Barca , Isle of Pines , Cuba       habitat loss   human disturbance       Nepenthes attenboroughii   Attenborough 's pitc"&amp;"her plant   Plant     Mount Victoria , Palawan , Philippines   Unknown     poaching       Nomascus hainanus   Hainan black crested gibbon   Mammal ( primate )     Hainan Island , China   20     hunting       Neurergus kaiseri   Luristan newt Montanhas de "&amp;"Zagros de Anfíbios, Lorestão, Irã Coleção ilegal para comércio de animais Oreocnemis Phoenix Mulanje Red Dossel Inseto (Damselfly) Platô Mulanje, Malawi Desconhecido Habitat Phatius SanitWonStwongSonse -se a exaustão de fábricas de fábricas de fábricas de"&amp;" fábricas de fábricas de fábricas de fábricas de fábricas de fábricas de fábricas de fábricas de fábricas de fábricas de fábricas de fábricas de fábricas de fábricas de fábricas de fábricas de fábricas de fábricas de fábricas de fábricas de dreno. , China"&amp;", Lao PDR, Tailândia e Vietnã Coleção de sobrepesca desconhecida para o comércio de aquários Pardios Burchellanus Cerrado Cerrado, Expansão Humana Brasil Limitada de Faixa de Phocoena Sinus Vaquita Mamíferos (PoreSe) Norno do Gulf da Califórnia, México Ca"&amp;"ptura em México Em Peixesen S Gilhas Tipo de planta de árvore de abeto (árvore) Cama de qinling, China Destruição desconhecida da floresta Pinus squamata qiaojia Planta de pinheiro (árvore) qiaojia, yunnan, China Distribuição limitada tamanho da população"&amp;" Poeciloteria metallica gooty tarântula tarântula metálica PeaCock Peacock e Salegurugh Spider Nandyal e Giddalur e Giddalur Gidlur, Gidlur, Giddalur, Gidluriursaling, PeaCock Metallic PeaCock e Salepurur Salegus. , Índia Desmatados Desmatados Desmatados "&amp;"Coleção de letras civis Pomarea Whitneyi Fatuhiva Monarch Bird Fatu Hiva, Ilhas Marquesas, Polinésia Francesa 50 Predação por espécies introduzidas - Rattus rattus e catos ferozes Pristis Pristis Prindis SAWFISH Tropicais e águas -oculares subtropical. At"&amp;"ualmente, amplamente restrito ao norte da Austrália, a exploração desconhecida removeu as espécies de 95 % de sua faixa histórica prolemur simus maior mamífera de bambu lêmur (primata) sudeste e sul florestas tropicais de Madagascar 500 Mineração Agricult"&amp;"ura) A profeta ilegal de candidato a Silky Sifaka Mammalsalsalsalsalsalsalsalsals) (Proscultura Mining) A agricultura), que a pós -mamãe) da mamãe) da mamãe) da mamãe) da mamãe) (mineração) a mamãe ilegal da mamãe) a mamãe ilegal) a Silky Sifaka Mammals ("&amp;" Andapa basin , and Marojeju Massif , Madagascar   100 -- 1,000     hunting   habitat disturbance       Psammobates geometricus   Geometric tortoise   Reptile     Western Cape Province , South Africa   Unknown     loss of habitat destruction   predation  "&amp;"     Pseudoryx nghetinhensis   Saola   Mammal     Annamite mountains , on the Viet Nam - PDR Laos border   Unknown     habitat destruction Caça Psiadia cataractae planta Maurício Concurso do Projeto de Desenvolvimento Desconhecido de Espécies Invasivas de"&amp;" Plantas Psorodonotus Ebneri Beydaglari Bush - Insect de críquete Beydaglari Range, Antalaya, Burquia Desconhecida CLIMATE Habitat Laine Ki Rafetus Swinhoei Red River Giant Softhell Turke Nettlen Rebilan Rebilan Ki Ki Ki Ki Swinhei River Giant Softhenclel"&amp;" Turken Rebilan Rebilan Honem Honem Ki Ki Ki Swinhei River Giant Softhell Turken Rebilan Rebaste e zoológico de Suzhou, China caçando para consumo de áreas úmidas Destruição Poluição de rinocerontes Sondaicus javan rinoceronte mamífero (rinino) Parque nac"&amp;"ional Ujung Kulon, java, caça à Indonésia para medicina tradicional pequena população rinocithecus avunculus snub - liquiding mammamal (mamamal de macacão) nortimenteno) Rhizanthella Gardneri Australiana Ocidental Planta de orquídea subterrânea (Orquídea)"&amp;" Austrália Ocidental, Austrália Liberação da terra para a salinização por mudanças climáticas da agricultura Rhynchocyon spp. Boni Giant Sengi Mammal (musaranho) Boni - Dodori Floresta, área de Lamu, Desenvolvimento desconhecido do Quênia, causando perda "&amp;"de habitat risiocnemis Seidenschwarzi Cebu Frill - inseto de asa (damselfily) Rivuto do Kawasan, Cebu, Cebu, Philathy Habitat Degradation Degradation e Rio Reabu, Plantates, Habitats Degradation) e Plantlet River Reabu, Cebu, Philathy Habitat degradado Mo"&amp;"untains , Egypt   Unknown , 10 sub-populations     domestic animal grazing   climate change and drought   medicinal plant collecting   limited range       Salanoia durrelli   Durrell 's vontsira   Mammal ( mongoose )     Marshes of Lake Alaotra , Madagasc"&amp;"ar   Unknown     loss of habitat       Santamartamys rufodorsalis   Red crested tree rat   Mammal ( rodent ) Sierra Nevada de Santa Marta, Colômbia Desconhecida Desenvolvimento Urbano Cultivo de Café Scaturiginichthys Vermeilipinnis Vermelho - Blue marinh"&amp;"ado - Pesca dos olhos Estação de Edgbaston, Estação Central Western Queensland, Austrália 2.000 - 4.000 Predation By Introduzido Espécie Squatina Squatina Stune StuRa Stunesa Pesca Breadna Islands Unsknow Benthic Benthic Benthic Criação chinesa de aves de"&amp;" andorinhas em Zhejiang e Fujian, China. Fora da estação de reprodução na Indonésia, Malásia, Filipinas, Taiwan, Tailândia. habitat destruction   egg collection       Syngnathus watermeyeri   Estuarine pipefish   Fish     Kariega Estuary to East Kleinemon"&amp;"de Estuary , Eastern Cape Province , South Africa   Unknown     dam construction is altering river flows   flood events into estuaries       Tahina spectabilis   Suicide palm Dimaka   Plant     Analalava district , north - western Madagascar   90     fire"&amp;"s   logging   agricultural developments       Telmatobufo bullocki   Bullock 's false toad   Amphibian ( frog )     Nahuelbuta , Arauco Province , Chile   Unknown     construction of hydro - electricity       Tokudaia muenninki   Okinawa spiny rat   Mamma"&amp;"l ( rodent )     Okinawa Island , Japan   Unknown     habitat loss   predation by feral cats       Trigonostigma somphongsi   Somphongs 's rasbora Fish Mae Khlong Basin, Tailândia Conversão de terras agrícolas e urbanização desconhecidas Valencia Letourne"&amp;"uxi Peixe Albânia do sul da Albânia e Western Grécia Desconhecida Destruição de Habitats Interação agressiva com gambusia Voanioala Gerardii Coco de coco odroala Península, Madagasca Ateriormente, o maior número de coco de coco zansena, a prevista de coco"&amp;", a prevista de coco de coco da pálpebra da zomba de zíronização, a madagasia, a premissa de coco da floresta, para a premissa de zomba de coco, para o siníssico, a premissa de coco de coco de coco zagumia, a madagasína, para o queda de coco, a picana de "&amp;"coco de coco de coco da pálpebra da zóia. Montanhas de Mamíferos Ciclopes, Província de Papua, Indonésia Modificação e degradação de habitats Indonésia Apreciação agrícola da invasão agrícola muda o cultivo e a caça pelas pessoas locais. ^ Pule para: `` R"&amp;"elatório lista os 100 mais ameaçados do mundo")</f>
        <v> As 100 espécies de espécies mais ameaçadas do mundo, tipo de imagem comum, localização (s) estimada sobre ameaças populacionais de abies Beshanzuensis Baishan Fir Plant (Flor) Baishanzu Mountain, Zhejiang, China Cinco indivíduos maduros Agricultura Actinote Zikani inseto (Butterfly) perto de São Paulo, atlântico Floresta, Brasil, perda de habitat desconhecida da expansão humana Aipysurus foliosquama folhas em escala do mar - repteis de cobra Recife de Ashmore e recife de hibernia, timor marinho desconhecido - provavelmente degradação do recife de coral Habitat Amanipodagrion Florestas, insetos de água plana (damselfly) amani -sigl, siglagrion Floresta, insetos de asa -alvo (damselfly) amani -sigl. , Poluição da população da Tanzânia e poluição da água Anisolabis Seychellensis inseto Morne Blanc, ilha mahé, Seychelles Desconhecida Espécies Invasivas Mudança Climática Antilophia Bokermanni ARARIPE Manakin Bird Chapado do ARARIPE, CEAR SUL, Brasil 779 Indivíduos Gentiles Divisão de água Afato Aphanius Costa do antigo lago aci, peru poucas centenas de pares de pares de pares e predação pela construção de rodovias de gambusia Aproteles bulmerae bulmer de bastão de frutas mamíferos caverna luxuplupwintern, província ocidental, papua nova guinéia 150 Cave de caça de caça ARDEA INSIGNIS Mianmar 70 -400 indivíduos Desenvolvimento de hidrelétricas Ardeotis Nigriceps Great Baved Bavera Indiana Rajastão, Gujarat, Maharashtra, Andhra Pradesh, Karnataka e Madhya, Índia 50 -249 Indivíduos maduros Remoção agrícola de Bechys Yniphora Ploughshare Tortoise 770 Coleção ilegal para o comércio internacional de animais de estimação Atelopus Balios Rio Pescado Stopfoot Toad Amphibian Azuay, Cañar e Guyas Províncias, South - Equador Ocidental Desconhecido Chitiomicose Loging Agustural A agricultura Athya Athya intaguscarcarcar poChard Bird vulccan Lages Industring Industring Industing Industing BELATEME peixe azurina eupalama galapagos donzel peixe peixe desconhecido mudanças climáticas desconhecidas mudanças oceanográficas relacionadas à pesca de 1982 /1983 el nino bahaba taipingingensis gigante croaker amarelo peixe chinesa costa do rio Yangtze, porcela Medicina Batagur Baska Réptil comum de Batagur (Tartaruga) Bangladesh, Camboja, Índia, Indonésia e Malásia Exportação ilegal desconhecida China Bazzânia ButhiNica Budini e Lafeti Khola, Butão 2 Sub -populações Florestos Desenvolvimento de Baatragus Hunterra Hirola -Mamal (Antia -Populações Florestas Desenvolvimento de Integração) Desenvolvimento Solimal (Antia -Populações (Antia -Populações Desenvolvimento de Floresta) Hirola -Mamal (Antia -Populações Florestas Desenvolvimento) e possivelmente South - Concurso de Perda de Habitat da Somália Ocidental com a gado de Bombus Franklini Franklini Franklin Inseto (Bee) Oregon e Califórnia Doença desconhecida De Bumblebees Comercial Destruição e Degradação de Brachitas Brachyteles Hypoxanthus Muriques Muriques Muriques Mummales Muracho Mumal Eastern Brasil Brasil - Desmatamento de grande escala e madeireira Bradypus pygmaeus pygmy de três ilhos mamíferos de preguiçosos Isla escudo de veraguas, madeira ilegal de mangue de mangue para lenha e consumo de caça a caça a Callitriche Pulchra Plant (água fresca) Pool de gavdos, recompensa de habimlos de recompensa A piscina dos habitantes locais de Calumma Tarzan Tarzan Ansibe Anosibe An'ala Região, Oriental Agricultura Cavia Intermedia Santa Catarina Mamíferos de Mamíferos de Porco (Redent) Do Sul Island, Santa Catarina, Brasil 40 - 60 Distúrbios da Habitat Possível resultado da caça ao resultado of having such a small population       Cercopithecus roloway   Roloway guenon   Mammal ( primate )     Côte d'Ivoire   Unknown     hunting   habitat loss       Coleura seychellensis   Seychelles sheath - tailed bat   Mammal ( bat )     Two small caves on Silhouette and Mahé , Seychelles       habitat degradation   predation by invasive species       Cryptomyces maximus Willow blister   Fungi     Pembrokeshire , United Kingdom   Unknown     limited habitat       Cryptotis nelsoni   Nelson 's small - eared shrew   Mammal ( shrew )     Volcán San Martín Tuxtla , Veracruz , Mexico   Unknown     logging   cattle grazing   fire   agriculture       Cyclura collei   Jamaican iguana Jamaican rock iguana   Reptile     Hellshire Hills , Jamaica   Unknown habitat destruction   predation by introduced species       Daubentonia Madagascariensis   Aye - aye   Mammal ( primate )     Deciduous forest , East Madagascar   Unknown     poaching     limited habitat       Dendrophylax fawcettii   Cayman Islands ghost orchid   Plant ( orchid )     Ironwood Forest , George Town , Grand Cayman   Unknown     infrastructure development       Dicerorhinus sumatrensis   Sumatran rhino   Mammal (Rhino) Sabah, Sarawak e Peninsular Malaysia, Kalimantan e Sumatra, a caça à Indonésia (Horn é usada na medicina tradicional) Diomedea Amsterdamensis Amsterdam Albatross Birds Raids em Plackuau des Tourbières, ilha de Amsterdã, Oceano Índico. 100 Indivíduos maduros doenças incidentais por - captura na área de Oshoek de Pesca de Linha Dioscorea Strydomiana, Mpumalanga, Coleção da África do Sul 200 Para uso medicinal Diospyros Katendei Planta (Árvore) Kasyoha - Kitomi Reserva florestal, Uganda 20 indivíduos em uma única população da população agrícola Atividade Classificação ilegal Classificação de árvore O ouro aluvial escavando pequena população Dipterocarpus lamellatus planta (árvore) Reserva florestal de Siangau, Sabah, Malásia 12 Indivíduos Fazendo da Criação florestal das planícies de plantações industriais Descoglossus nigrivador hula hula rã de garoa de anfíbios a vedação de hula de hula a vencer a restrição de rãos de gama de rãos de gama. habitat destruction       Dombeya mauritiana     Plant     Mauritius   Unknown     encroachment by invasive plant species   habitat loss due to cannabis cultivation       Elaeocarpus bojeri   Bois Dentelle   Plant ( tree )     Grand Bassin , Mauritius       habitat degradation       Eleutherodactylus glandulifer   La Hotte glanded frog   Amphibian     Massif de la Hotte , Haiti   Unknown     charcoal production   slash - and - burn agriculture       Eleutherodactylus thorcetes   Macaya breast - spot frog   Amphibian     Formon and Macaya peaks , Masif de la Hotte , Haiti   Unknown     charcoal production   slash - and - burn agriculture       Eriosyce chilensis   Chilenito ( cactus )   Plant     Pta Molles and Pichidungui , Chile       collection of flowering plants       Erythrina schliebenii   Coral tree   Plant     Namatimbili - Ngarama Forest , Tanzania       limited habitat and small population size increase vulnerability       Euphorbia tanaensis     Plant ( tree )     Witu Forest Reserve , Kenya   4 mature individuals     illegal logging   agricultural expansion   infrastructure development       Eurynorhyncus pygmeus   Spoon - billed sandpiper   Bird     Breeds in Russia , migrates Ao longo da via de mosca australiana da Ásia da Ásia para o inverno na Índia, Bangladesh e Myanmar 100 pares de reprodução precedindo a recuperação de terras Ficus katendei Plant Kasyoha - Reserva florestal de Kitomi, rio Ishasha, Uganda Agricultura Illegal Tree Birration Aluvial Digging Digging Geronticus Eremita Marrocos, Turquia e Síria. Winters da população síria no centro da Etiópia. 200 - 249 Indivíduos maduros Degradação de habitat e destruição Planta de macrosiphon Gigasiphon (Flor) Kaya Muhaka, Gongoni e Mrima Reservas florestais, Quênia, Reserva Natural Amani, Reserva Florestal de Kilombero Ocidental e Reserva de Kihansi, Tanzania 33 Extração de Timbers Predação por porcos selvagens Gocea Ohridana Molusc Lake Ohrid, Macedônia desconhecida crescendo níveis de poluição - Tire os eventos de sedimentação da água Heleophryne Rosei Tabela Mountain Frogue Fropo Amfibiano Montanha da Tabela, Província do Cabo Ocidental, Sul África Desconhecida Plantas Invasivas) Hemicycla -Paeteliana Mollusca (Sul da África Desconhecido Jandia peninsula , Fuerteventura , Canary Islands   Unknown     overgrazing   trampling by goats and tourists       Heteromirafa sidamoensis   Liben lark   Bird     Liben Plains , southern Ethiopia   90 -- 256     agricultural expansion   overgrazing   fire suppression       Hibiscadelphus woodii     Plant ( tree )     Kalalau Valley , Hawaii   Unknown     habitat degradation due to feral ungulates competição com espécies invasoras de plantas hucho perryi sakhalin taimen peixes rios russos e japoneses, Oceano Pacífico entre a Rússia e o Japão Desconhecido sobrepepes Excedentes Damas Agricultura Outros usos da terra Johora Singaporensis Singapura Singapura Cruste Crustane Bukit Timah Reserva da natureza e streamlet perto de Bukit Batok, Sinalizão Sinalizador reduction in water quality and quantity       Lathyrus belinensis   Belin vetchling   Plant     Outskirts of Belin village , Antalya , Turkey       urbanisation   over-grazing   conifer planting   road widening       Leiopelma archeyi   Archey 's frog   Amphibian     Coromandel peninsula and Whareorino Forest , New Zealand   Unknown     Chytridiomycosis   predation by invasive species       Lithobates sevosus Dusky Gopher Frog Amphibian Harrison County, Mississippi, EUA 60 - 100 DOENÇÕES FUNGALM MUDANÇA CLIMA - Uso Altera Lophura Edwardsi Edwards de Bird Quang Binh, Quang Tri e Thua Thien - Hue, Vietn Nam Habitat Living Habitating Haking Magnolia wolfii Plant (planta RESARALDA RISARALDA, ISOLAMENTO DE COLOMBIA DE ESPÉCIAS TAXAS DE BAIXA REGENERAÇÃO MARGARITIFERA MAROCANA Mollogud Denna, abidem e oued Beth, Desenvolvimento de Poluição de Marrocos Moominia Willii Molusc (Snail) Ilha da Silhueta Cubrina, Seychelles Spientsive Spicesive Climate Mudamal Primus Primusnus Cubrina Greater FinaNnel, Melleds Mumeds Mumamal MolliMal Primusnus Primusnan Cubsan Cubrinet )     Cueva La Barca , Isle of Pines , Cuba       habitat loss   human disturbance       Nepenthes attenboroughii   Attenborough 's pitcher plant   Plant     Mount Victoria , Palawan , Philippines   Unknown     poaching       Nomascus hainanus   Hainan black crested gibbon   Mammal ( primate )     Hainan Island , China   20     hunting       Neurergus kaiseri   Luristan newt Montanhas de Zagros de Anfíbios, Lorestão, Irã Coleção ilegal para comércio de animais Oreocnemis Phoenix Mulanje Red Dossel Inseto (Damselfly) Platô Mulanje, Malawi Desconhecido Habitat Phatius SanitWonStwongSonse -se a exaustão de fábricas de fábricas de fábricas de fábricas de fábricas de fábricas de fábricas de fábricas de fábricas de fábricas de fábricas de fábricas de fábricas de fábricas de fábricas de fábricas de fábricas de fábricas de fábricas de fábricas de fábricas de fábricas de fábricas de dreno. , China, Lao PDR, Tailândia e Vietnã Coleção de sobrepesca desconhecida para o comércio de aquários Pardios Burchellanus Cerrado Cerrado, Expansão Humana Brasil Limitada de Faixa de Phocoena Sinus Vaquita Mamíferos (PoreSe) Norno do Gulf da Califórnia, México Captura em México Em Peixesen S Gilhas Tipo de planta de árvore de abeto (árvore) Cama de qinling, China Destruição desconhecida da floresta Pinus squamata qiaojia Planta de pinheiro (árvore) qiaojia, yunnan, China Distribuição limitada tamanho da população Poeciloteria metallica gooty tarântula tarântula metálica PeaCock Peacock e Salegurugh Spider Nandyal e Giddalur e Giddalur Gidlur, Gidlur, Giddalur, Gidluriursaling, PeaCock Metallic PeaCock e Salepurur Salegus. , Índia Desmatados Desmatados Desmatados Coleção de letras civis Pomarea Whitneyi Fatuhiva Monarch Bird Fatu Hiva, Ilhas Marquesas, Polinésia Francesa 50 Predação por espécies introduzidas - Rattus rattus e catos ferozes Pristis Pristis Prindis SAWFISH Tropicais e águas -oculares subtropical. Atualmente, amplamente restrito ao norte da Austrália, a exploração desconhecida removeu as espécies de 95 % de sua faixa histórica prolemur simus maior mamífera de bambu lêmur (primata) sudeste e sul florestas tropicais de Madagascar 500 Mineração Agricultura) A profeta ilegal de candidato a Silky Sifaka Mammalsalsalsalsalsalsalsalsals) (Proscultura Mining) A agricultura), que a pós -mamãe) da mamãe) da mamãe) da mamãe) da mamãe) (mineração) a mamãe ilegal da mamãe) a mamãe ilegal) a Silky Sifaka Mammals ( Andapa basin , and Marojeju Massif , Madagascar   100 -- 1,000     hunting   habitat disturbance       Psammobates geometricus   Geometric tortoise   Reptile     Western Cape Province , South Africa   Unknown     loss of habitat destruction   predation       Pseudoryx nghetinhensis   Saola   Mammal     Annamite mountains , on the Viet Nam - PDR Laos border   Unknown     habitat destruction Caça Psiadia cataractae planta Maurício Concurso do Projeto de Desenvolvimento Desconhecido de Espécies Invasivas de Plantas Psorodonotus Ebneri Beydaglari Bush - Insect de críquete Beydaglari Range, Antalaya, Burquia Desconhecida CLIMATE Habitat Laine Ki Rafetus Swinhoei Red River Giant Softhell Turke Nettlen Rebilan Rebilan Ki Ki Ki Ki Swinhei River Giant Softhenclel Turken Rebilan Rebilan Honem Honem Ki Ki Ki Swinhei River Giant Softhell Turken Rebilan Rebaste e zoológico de Suzhou, China caçando para consumo de áreas úmidas Destruição Poluição de rinocerontes Sondaicus javan rinoceronte mamífero (rinino) Parque nacional Ujung Kulon, java, caça à Indonésia para medicina tradicional pequena população rinocithecus avunculus snub - liquiding mammamal (mamamal de macacão) nortimenteno) Rhizanthella Gardneri Australiana Ocidental Planta de orquídea subterrânea (Orquídea) Austrália Ocidental, Austrália Liberação da terra para a salinização por mudanças climáticas da agricultura Rhynchocyon spp. Boni Giant Sengi Mammal (musaranho) Boni - Dodori Floresta, área de Lamu, Desenvolvimento desconhecido do Quênia, causando perda de habitat risiocnemis Seidenschwarzi Cebu Frill - inseto de asa (damselfily) Rivuto do Kawasan, Cebu, Cebu, Philathy Habitat Degradation Degradation e Rio Reabu, Plantates, Habitats Degradation) e Plantlet River Reabu, Cebu, Philathy Habitat degradado Mountains , Egypt   Unknown , 10 sub-populations     domestic animal grazing   climate change and drought   medicinal plant collecting   limited range       Salanoia durrelli   Durrell 's vontsira   Mammal ( mongoose )     Marshes of Lake Alaotra , Madagascar   Unknown     loss of habitat       Santamartamys rufodorsalis   Red crested tree rat   Mammal ( rodent ) Sierra Nevada de Santa Marta, Colômbia Desconhecida Desenvolvimento Urbano Cultivo de Café Scaturiginichthys Vermeilipinnis Vermelho - Blue marinhado - Pesca dos olhos Estação de Edgbaston, Estação Central Western Queensland, Austrália 2.000 - 4.000 Predation By Introduzido Espécie Squatina Squatina Stune StuRa Stunesa Pesca Breadna Islands Unsknow Benthic Benthic Benthic Criação chinesa de aves de andorinhas em Zhejiang e Fujian, China. Fora da estação de reprodução na Indonésia, Malásia, Filipinas, Taiwan, Tailândia. habitat destruction   egg collection       Syngnathus watermeyeri   Estuarine pipefish   Fish     Kariega Estuary to East Kleinemonde Estuary , Eastern Cape Province , South Africa   Unknown     dam construction is altering river flows   flood events into estuaries       Tahina spectabilis   Suicide palm Dimaka   Plant     Analalava district , north - western Madagascar   90     fires   logging   agricultural developments       Telmatobufo bullocki   Bullock 's false toad   Amphibian ( frog )     Nahuelbuta , Arauco Province , Chile   Unknown     construction of hydro - electricity       Tokudaia muenninki   Okinawa spiny rat   Mammal ( rodent )     Okinawa Island , Japan   Unknown     habitat loss   predation by feral cats       Trigonostigma somphongsi   Somphongs 's rasbora Fish Mae Khlong Basin, Tailândia Conversão de terras agrícolas e urbanização desconhecidas Valencia Letourneuxi Peixe Albânia do sul da Albânia e Western Grécia Desconhecida Destruição de Habitats Interação agressiva com gambusia Voanioala Gerardii Coco de coco odroala Península, Madagasca Ateriormente, o maior número de coco de coco zansena, a prevista de coco, a prevista de coco de coco da pálpebra da zomba de zíronização, a madagasia, a premissa de coco da floresta, para a premissa de zomba de coco, para o siníssico, a premissa de coco de coco de coco zagumia, a madagasína, para o queda de coco, a picana de coco de coco de coco da pálpebra da zóia. Montanhas de Mamíferos Ciclopes, Província de Papua, Indonésia Modificação e degradação de habitats Indonésia Apreciação agrícola da invasão agrícola muda o cultivo e a caça pelas pessoas locais. ^ Pule para: `` Relatório lista os 100 mais ameaçados do mundo</v>
      </c>
      <c r="I425" s="3" t="str">
        <f>IFERROR(__xludf.DUMMYFUNCTION("GOOGLETRANSLATE(E425)"),"Sem actinote")</f>
        <v>Sem actinote</v>
      </c>
    </row>
    <row r="426" ht="15.75" customHeight="1">
      <c r="A426" s="1">
        <v>424.0</v>
      </c>
      <c r="B426" s="3" t="s">
        <v>1562</v>
      </c>
      <c r="C426" s="3" t="s">
        <v>1563</v>
      </c>
      <c r="D426" s="3" t="s">
        <v>1564</v>
      </c>
      <c r="F426" s="3" t="str">
        <f>IFERROR(__xludf.DUMMYFUNCTION("GOOGLETRANSLATE(B426)")," Idade para fumar")</f>
        <v> Idade para fumar</v>
      </c>
      <c r="G426" s="3" t="str">
        <f>IFERROR(__xludf.DUMMYFUNCTION("GOOGLETRANSLATE(C426)"),"Qual é a idade legal para fumar na Austrália")</f>
        <v>Qual é a idade legal para fumar na Austrália</v>
      </c>
      <c r="H426" s="3" t="str">
        <f>IFERROR(__xludf.DUMMYFUNCTION("GOOGLETRANSLATE(D426)"),"   Country de Jure observa o fumo da idade Compra Age Australia Regulamentos por estado / território: Província / Território para o fumo da idade Notas de idade Australian Capital Território Nenhum 18 É ilegal vender produtos de tabaco a uma pessoa com me"&amp;"nos de 18 anos de idade. Além disso, é ilegal comprar um produto de tabaco para um menor. Novo Gales do Sul Nenhum 18 É ilegal vender qualquer produto de tabaco ou não-tobaco para uma pessoa com menos de 18 anos de idade. Território do Norte Nenhum 18 É i"&amp;"legal vender qualquer produto de tabaco a um menor ou em nome de menores. É ilegal fumar em um veículo com uma pessoa com menos de 18 anos de idade presente. Queensland Nenhum 18 É ilegal para um adulto fornecer um produto de tabaco a uma pessoa com menos"&amp;" de 18 anos; No entanto, um adulto responsável por uma criança não comete uma ofensa fornecendo um produto para fumar para a criança. Austrália do Sul Nenhum 18 É uma ofensa fornecer qualquer produto de tabaco a uma pessoa com menos de 18 anos. Tasmânia N"&amp;"enhum 18 É ilegal vender ou fornecer tabaco a uma pessoa com menos de 18 anos. A idade mínima era de 16 anos antes de 1 de janeiro de 1997. Victoria Nenhum 18 É ilegal fornecer tabaco a um menor. Fumar em um veículo com uma pessoa com menos de 18 anos é u"&amp;"ma ofensa. Austrália Ocidental Nenhum 18 É ilegal vender, entregar ou fornecer tabaco ou fumante implementar a um menor. Compra em nome de pessoas com menos de 18 anos proibidos. Fiji Nenhum 18 É ilegal vender e fornecer tabaco a um menor. Micronésia, est"&amp;"ados federados de 18 anos É ilegal vender e fornecer tabaco a um menor. Nova Zelândia Nenhum 18 É ilegal vender e fornecer tabaco a menos de 18 anos. Nenhuma idade mínima antes de 1903. Idade mínima de 15 anos de 1903 a 1988. Idade mínima de 16 anos de 19"&amp;"88 a 1998. 'Palau Nenhum 18 21 (apenas papéis rolantes e Elaus) é ilegal vender ou dar produtos de tabaco a qualquer pessoa com menos de 18 anos de idade. Se o comprador parece ter menos de 30 anos, o ID deve ser verificado antes da venda. É ilegal empreg"&amp;"ar qualquer pessoa com menos de 21 anos que lida com produtos de tabaco. É ilegal vender papéis e elaus para qualquer pessoa com menos de 21 anos. Papua Nova Guiné Nenhum 18 É ilegal vender ou dar tabaco a uma pessoa com menos de 18 anos. Samoa 21 É ilega"&amp;"l vender tabaco para qualquer pessoa com menos de 21 anos. Não é ilegal para uma pessoa com menos de 21 anos possuir ou fumar tabaco em público. Ilhas Salomão Nenhuma 18 É ilegal vender, dar ou fornecer tabaco a um menor. Tonga Nenhum 18 É ilegal vender, "&amp;"dar ou fornecer tabaco a um menor. Tokelau 16 É ilegal para uma pessoa com menos de 16 anos fumar tabaco. Vanuatu 18 É ilegal vender tabaco para uma pessoa com menos de 18 anos. É ilegal para pessoas com menos de 18 anos fumar tabaco.")</f>
        <v>   Country de Jure observa o fumo da idade Compra Age Australia Regulamentos por estado / território: Província / Território para o fumo da idade Notas de idade Australian Capital Território Nenhum 18 É ilegal vender produtos de tabaco a uma pessoa com menos de 18 anos de idade. Além disso, é ilegal comprar um produto de tabaco para um menor. Novo Gales do Sul Nenhum 18 É ilegal vender qualquer produto de tabaco ou não-tobaco para uma pessoa com menos de 18 anos de idade. Território do Norte Nenhum 18 É ilegal vender qualquer produto de tabaco a um menor ou em nome de menores. É ilegal fumar em um veículo com uma pessoa com menos de 18 anos de idade presente. Queensland Nenhum 18 É ilegal para um adulto fornecer um produto de tabaco a uma pessoa com menos de 18 anos; No entanto, um adulto responsável por uma criança não comete uma ofensa fornecendo um produto para fumar para a criança. Austrália do Sul Nenhum 18 É uma ofensa fornecer qualquer produto de tabaco a uma pessoa com menos de 18 anos. Tasmânia Nenhum 18 É ilegal vender ou fornecer tabaco a uma pessoa com menos de 18 anos. A idade mínima era de 16 anos antes de 1 de janeiro de 1997. Victoria Nenhum 18 É ilegal fornecer tabaco a um menor. Fumar em um veículo com uma pessoa com menos de 18 anos é uma ofensa. Austrália Ocidental Nenhum 18 É ilegal vender, entregar ou fornecer tabaco ou fumante implementar a um menor. Compra em nome de pessoas com menos de 18 anos proibidos. Fiji Nenhum 18 É ilegal vender e fornecer tabaco a um menor. Micronésia, estados federados de 18 anos É ilegal vender e fornecer tabaco a um menor. Nova Zelândia Nenhum 18 É ilegal vender e fornecer tabaco a menos de 18 anos. Nenhuma idade mínima antes de 1903. Idade mínima de 15 anos de 1903 a 1988. Idade mínima de 16 anos de 1988 a 1998. 'Palau Nenhum 18 21 (apenas papéis rolantes e Elaus) é ilegal vender ou dar produtos de tabaco a qualquer pessoa com menos de 18 anos de idade. Se o comprador parece ter menos de 30 anos, o ID deve ser verificado antes da venda. É ilegal empregar qualquer pessoa com menos de 21 anos que lida com produtos de tabaco. É ilegal vender papéis e elaus para qualquer pessoa com menos de 21 anos. Papua Nova Guiné Nenhum 18 É ilegal vender ou dar tabaco a uma pessoa com menos de 18 anos. Samoa 21 É ilegal vender tabaco para qualquer pessoa com menos de 21 anos. Não é ilegal para uma pessoa com menos de 21 anos possuir ou fumar tabaco em público. Ilhas Salomão Nenhuma 18 É ilegal vender, dar ou fornecer tabaco a um menor. Tonga Nenhum 18 É ilegal vender, dar ou fornecer tabaco a um menor. Tokelau 16 É ilegal para uma pessoa com menos de 16 anos fumar tabaco. Vanuatu 18 É ilegal vender tabaco para uma pessoa com menos de 18 anos. É ilegal para pessoas com menos de 18 anos fumar tabaco.</v>
      </c>
      <c r="I426" s="3" t="str">
        <f>IFERROR(__xludf.DUMMYFUNCTION("GOOGLETRANSLATE(E426)"),"#VALUE!")</f>
        <v>#VALUE!</v>
      </c>
    </row>
    <row r="427" ht="15.75" customHeight="1">
      <c r="A427" s="1">
        <v>425.0</v>
      </c>
      <c r="B427" s="3" t="s">
        <v>1565</v>
      </c>
      <c r="C427" s="3" t="s">
        <v>1566</v>
      </c>
      <c r="D427" s="3" t="s">
        <v>1567</v>
      </c>
      <c r="E427" s="3" t="s">
        <v>1568</v>
      </c>
      <c r="F427" s="3" t="str">
        <f>IFERROR(__xludf.DUMMYFUNCTION("GOOGLETRANSLATE(B427)")," Fita azul pabst")</f>
        <v> Fita azul pabst</v>
      </c>
      <c r="G427" s="3" t="str">
        <f>IFERROR(__xludf.DUMMYFUNCTION("GOOGLETRANSLATE(C427)"),"Qual é o ABV de Pabst Blue Ribbon")</f>
        <v>Qual é o ABV de Pabst Blue Ribbon</v>
      </c>
      <c r="H427" s="3" t="str">
        <f>IFERROR(__xludf.DUMMYFUNCTION("GOOGLETRANSLATE(D427)")," A Pabst Blue Ribbon America possui um acordo de licenciamento e um acordo de joint venture com a C&amp;C Group Plc e está sendo distribuído na República da Irlanda através da C&amp;C Gleeson e na Irlanda do Norte através de tennos da Irlanda do Norte. É vendido "&amp;"em latas e garrafas e garrafas e em um barril de 30L. O ABV é de 4,6 %.")</f>
        <v> A Pabst Blue Ribbon America possui um acordo de licenciamento e um acordo de joint venture com a C&amp;C Group Plc e está sendo distribuído na República da Irlanda através da C&amp;C Gleeson e na Irlanda do Norte através de tennos da Irlanda do Norte. É vendido em latas e garrafas e garrafas e em um barril de 30L. O ABV é de 4,6 %.</v>
      </c>
      <c r="I427" s="3" t="str">
        <f>IFERROR(__xludf.DUMMYFUNCTION("GOOGLETRANSLATE(E427)"),"4,6 %")</f>
        <v>4,6 %</v>
      </c>
    </row>
    <row r="428" ht="15.75" customHeight="1">
      <c r="A428" s="1">
        <v>426.0</v>
      </c>
      <c r="B428" s="3" t="s">
        <v>1569</v>
      </c>
      <c r="C428" s="3" t="s">
        <v>1570</v>
      </c>
      <c r="D428" s="3" t="s">
        <v>1571</v>
      </c>
      <c r="F428" s="3" t="str">
        <f>IFERROR(__xludf.DUMMYFUNCTION("GOOGLETRANSLATE(B428)")," 2018 Pro Kabaddi League temporada")</f>
        <v> 2018 Pro Kabaddi League temporada</v>
      </c>
      <c r="G428" s="3" t="str">
        <f>IFERROR(__xludf.DUMMYFUNCTION("GOOGLETRANSLATE(C428)"),"Quais são as equipes do Pro Kabaddi 2018")</f>
        <v>Quais são as equipes do Pro Kabaddi 2018</v>
      </c>
      <c r="H428" s="3" t="str">
        <f>IFERROR(__xludf.DUMMYFUNCTION("GOOGLETRANSLATE(D428)"),"   Capacidade da cidade / Estado Capacidade de Bengala guerreiros Kolkata, Bengala Ocidental estádio interno de Bengala Netaji 7004120000000000000 ♠ 12.000 Bengaluru Bulning Bengaluru, Karnataka Shree Shree Chhatrapati Sports Sports 7003420000000000000 se"&amp;"x 4,200 DATRAPATI Complexo Khatrapi 7003420000000000 Último 4,200 DATRAPATI Complexo Khatrapi 7003420000000000 Últio 00000 ♠ 4.494 Jaipur Pink Panthers Panchkula, Haryana Tau Devilal Sports Complexo 7003700000000000000 ♠ 7.000 Patna pirates Patna, Bihar P"&amp;"atliputra Sports Complex 700420000000000000000 ♠ 20.000 Puneri Paltan Pune, Shrie Shree Shree Shrie Shrie Shree Shree Shree Shree Shree Shree Shree Shree Shree Shree Shree Shree Shree Shree Shree Shree Shree Shree Shree Shree Shree Shree Shree Shree Shree"&amp;" Shree Shree Shree Shree Shree. Abad / Vizag TELANGANA GACHIBOWLI ESTADO INTERIOR 70035000000000000 ♠ 5.000 U MUMBA MUMBAI, MAHARASHTRA DOME@NSCI SVP Stadium 70035000000000000 cos de 43 anos de idade, a ahmedabad 4000000000000000000 cos de 5.000 Gianstium"&amp;" 730s. Pradesh Shaheed Viade Shaheed Viathh Pathik Sparts x 7003800000000000000 ♠ 8.000 Tamil Thalaivas Chennai, Tamilnadu Jawaharlal Nehru Stadium 7003500000000000000 ♠ 5.000 Haryana Steelers Sonipat, Haryana Motilal Nehru School of Sports 70032000000000"&amp;"00000 2.000")</f>
        <v>   Capacidade da cidade / Estado Capacidade de Bengala guerreiros Kolkata, Bengala Ocidental estádio interno de Bengala Netaji 7004120000000000000 ♠ 12.000 Bengaluru Bulning Bengaluru, Karnataka Shree Shree Chhatrapati Sports Sports 7003420000000000000 sex 4,200 DATRAPATI Complexo Khatrapi 7003420000000000 Último 4,200 DATRAPATI Complexo Khatrapi 7003420000000000 Últio 00000 ♠ 4.494 Jaipur Pink Panthers Panchkula, Haryana Tau Devilal Sports Complexo 7003700000000000000 ♠ 7.000 Patna pirates Patna, Bihar Patliputra Sports Complex 700420000000000000000 ♠ 20.000 Puneri Paltan Pune, Shrie Shree Shree Shrie Shrie Shree Shree Shree Shree Shree Shree Shree Shree Shree Shree Shree Shree Shree Shree Shree Shree Shree Shree Shree Shree Shree Shree Shree Shree Shree Shree Shree Shree Shree Shree. Abad / Vizag TELANGANA GACHIBOWLI ESTADO INTERIOR 70035000000000000 ♠ 5.000 U MUMBA MUMBAI, MAHARASHTRA DOME@NSCI SVP Stadium 70035000000000000 cos de 43 anos de idade, a ahmedabad 4000000000000000000 cos de 5.000 Gianstium 730s. Pradesh Shaheed Viade Shaheed Viathh Pathik Sparts x 7003800000000000000 ♠ 8.000 Tamil Thalaivas Chennai, Tamilnadu Jawaharlal Nehru Stadium 7003500000000000000 ♠ 5.000 Haryana Steelers Sonipat, Haryana Motilal Nehru School of Sports 7003200000000000000 2.000</v>
      </c>
      <c r="I428" s="3" t="str">
        <f>IFERROR(__xludf.DUMMYFUNCTION("GOOGLETRANSLATE(E428)"),"#VALUE!")</f>
        <v>#VALUE!</v>
      </c>
    </row>
    <row r="429" ht="15.75" customHeight="1">
      <c r="A429" s="1">
        <v>427.0</v>
      </c>
      <c r="B429" s="3" t="s">
        <v>1572</v>
      </c>
      <c r="C429" s="3" t="s">
        <v>1573</v>
      </c>
      <c r="D429" s="3" t="s">
        <v>1574</v>
      </c>
      <c r="E429" s="3" t="s">
        <v>1575</v>
      </c>
      <c r="F429" s="3" t="str">
        <f>IFERROR(__xludf.DUMMYFUNCTION("GOOGLETRANSLATE(B429)")," Destruído (série de TV dos EUA)")</f>
        <v> Destruído (série de TV dos EUA)</v>
      </c>
      <c r="G429" s="3" t="str">
        <f>IFERROR(__xludf.DUMMYFUNCTION("GOOGLETRANSLATE(C429)"),"Quando a nova temporada de destruída será lançada")</f>
        <v>Quando a nova temporada de destruída será lançada</v>
      </c>
      <c r="H429" s="3" t="str">
        <f>IFERROR(__xludf.DUMMYFUNCTION("GOOGLETRANSLATE(D429)")," Em 6 de julho de 2016, a TBS renovou o show para uma segunda temporada, que foi filmada em Fiji. A segunda temporada estreou em 20 de junho de 2017. Em 13 de setembro de 2017, a TBS renovou a série para uma terceira temporada, que estreou em 7 de agosto "&amp;"de 2018.")</f>
        <v> Em 6 de julho de 2016, a TBS renovou o show para uma segunda temporada, que foi filmada em Fiji. A segunda temporada estreou em 20 de junho de 2017. Em 13 de setembro de 2017, a TBS renovou a série para uma terceira temporada, que estreou em 7 de agosto de 2018.</v>
      </c>
      <c r="I429" s="3" t="str">
        <f>IFERROR(__xludf.DUMMYFUNCTION("GOOGLETRANSLATE(E429)"),"7 de agosto de 2018")</f>
        <v>7 de agosto de 2018</v>
      </c>
    </row>
    <row r="430" ht="15.75" customHeight="1">
      <c r="A430" s="1">
        <v>428.0</v>
      </c>
      <c r="B430" s="3" t="s">
        <v>1576</v>
      </c>
      <c r="C430" s="3" t="s">
        <v>1577</v>
      </c>
      <c r="D430" s="3" t="s">
        <v>1578</v>
      </c>
      <c r="E430" s="3" t="s">
        <v>1579</v>
      </c>
      <c r="F430" s="3" t="str">
        <f>IFERROR(__xludf.DUMMYFUNCTION("GOOGLETRANSLATE(B430)")," Charlotte Mayoral Election, 2017")</f>
        <v> Charlotte Mayoral Election, 2017</v>
      </c>
      <c r="G430" s="3" t="str">
        <f>IFERROR(__xludf.DUMMYFUNCTION("GOOGLETRANSLATE(C430)"),"Quem está concorrendo ao prefeito de Charlotte NC")</f>
        <v>Quem está concorrendo ao prefeito de Charlotte NC</v>
      </c>
      <c r="H430" s="3" t="str">
        <f>IFERROR(__xludf.DUMMYFUNCTION("GOOGLETRANSLATE(D430)"),"   Candidatos Eleição Geral - 7 de novembro Partido candidato Votos por cento VI Lyles democrata 71.876 59,13 % Kenny Smith Republicano 49.555 40,77 %")</f>
        <v>   Candidatos Eleição Geral - 7 de novembro Partido candidato Votos por cento VI Lyles democrata 71.876 59,13 % Kenny Smith Republicano 49.555 40,77 %</v>
      </c>
      <c r="I430" s="3" t="str">
        <f>IFERROR(__xludf.DUMMYFUNCTION("GOOGLETRANSLATE(E430)"),"Vi lyles")</f>
        <v>Vi lyles</v>
      </c>
    </row>
    <row r="431" ht="15.75" customHeight="1">
      <c r="A431" s="1">
        <v>429.0</v>
      </c>
      <c r="B431" s="3" t="s">
        <v>1580</v>
      </c>
      <c r="C431" s="3" t="s">
        <v>1581</v>
      </c>
      <c r="D431" s="3" t="s">
        <v>1582</v>
      </c>
      <c r="E431" s="3" t="s">
        <v>1583</v>
      </c>
      <c r="F431" s="3" t="str">
        <f>IFERROR(__xludf.DUMMYFUNCTION("GOOGLETRANSLATE(B431)")," Olho por olho")</f>
        <v> Olho por olho</v>
      </c>
      <c r="G431" s="3" t="str">
        <f>IFERROR(__xludf.DUMMYFUNCTION("GOOGLETRANSLATE(C431)"),"De onde vem o olho de olho")</f>
        <v>De onde vem o olho de olho</v>
      </c>
      <c r="H431" s="3" t="str">
        <f>IFERROR(__xludf.DUMMYFUNCTION("GOOGLETRANSLATE(D431)")," Primeiro referenciado no Código de Hamurabi (que antecede a Bíblia Hebraica.) Na lei hebraica, o `` olho por olho '' era restringir a compensação ao valor da perda. Assim, pode ser melhor ler 'apenas um olho para um olho'. A frase bíblica `` um olho para"&amp;" um olho '' em Êxodo e levítico (עין תחת עין, ayin tachat ayin) literalmente significa 'um olho no lugar de um olho' enquanto uma frase ligeiramente diferente (עַיִן בְּעַיִן שֵׁן, literalmente `` `olho por olho; dente para um dente '') é usado em outra p"&amp;"assagem (em Deuteronômio) da Bíblia Hebraica, especificamente, na primeira de suas três subdivisões, a Torá. Por exemplo, uma passagem em Levítico afirma: `` e um homem que machuca seu compatriota - como ele fez, então isso será feito a ele (a saber) frat"&amp;"ura por fraturas, olho para olho, dente para dente. Assim como ele machucou uma pessoa, isso será feito a ele. '' (Lev. 24: 19 - 21)")</f>
        <v> Primeiro referenciado no Código de Hamurabi (que antecede a Bíblia Hebraica.) Na lei hebraica, o `` olho por olho '' era restringir a compensação ao valor da perda. Assim, pode ser melhor ler 'apenas um olho para um olho'. A frase bíblica `` um olho para um olho '' em Êxodo e levítico (עין תחת עין, ayin tachat ayin) literalmente significa 'um olho no lugar de um olho' enquanto uma frase ligeiramente diferente (עַיִן בְּעַיִן שֵׁן, literalmente `` `olho por olho; dente para um dente '') é usado em outra passagem (em Deuteronômio) da Bíblia Hebraica, especificamente, na primeira de suas três subdivisões, a Torá. Por exemplo, uma passagem em Levítico afirma: `` e um homem que machuca seu compatriota - como ele fez, então isso será feito a ele (a saber) fratura por fraturas, olho para olho, dente para dente. Assim como ele machucou uma pessoa, isso será feito a ele. '' (Lev. 24: 19 - 21)</v>
      </c>
      <c r="I431" s="3" t="str">
        <f>IFERROR(__xludf.DUMMYFUNCTION("GOOGLETRANSLATE(E431)"),"Bíblia hebraica")</f>
        <v>Bíblia hebraica</v>
      </c>
    </row>
    <row r="432" ht="15.75" customHeight="1">
      <c r="A432" s="1">
        <v>430.0</v>
      </c>
      <c r="B432" s="3" t="s">
        <v>1584</v>
      </c>
      <c r="C432" s="3" t="s">
        <v>1585</v>
      </c>
      <c r="D432" s="3" t="s">
        <v>1586</v>
      </c>
      <c r="E432" s="3" t="s">
        <v>1587</v>
      </c>
      <c r="F432" s="3" t="str">
        <f>IFERROR(__xludf.DUMMYFUNCTION("GOOGLETRANSLATE(B432)")," Lista de Primeiros Ministros de Elizabeth II")</f>
        <v> Lista de Primeiros Ministros de Elizabeth II</v>
      </c>
      <c r="G432" s="3" t="str">
        <f>IFERROR(__xludf.DUMMYFUNCTION("GOOGLETRANSLATE(C432)"),"que foi primeiro -ministro quando a rainha foi coroada")</f>
        <v>que foi primeiro -ministro quando a rainha foi coroada</v>
      </c>
      <c r="H432" s="3" t="str">
        <f>IFERROR(__xludf.DUMMYFUNCTION("GOOGLETRANSLATE(D432)")," Winston Churchill era o primeiro -ministro do Reino Unido quando Elizabeth se tornou rainha.")</f>
        <v> Winston Churchill era o primeiro -ministro do Reino Unido quando Elizabeth se tornou rainha.</v>
      </c>
      <c r="I432" s="3" t="str">
        <f>IFERROR(__xludf.DUMMYFUNCTION("GOOGLETRANSLATE(E432)"),"Winston Churchill")</f>
        <v>Winston Churchill</v>
      </c>
    </row>
    <row r="433" ht="15.75" customHeight="1">
      <c r="A433" s="1">
        <v>431.0</v>
      </c>
      <c r="B433" s="3" t="s">
        <v>1588</v>
      </c>
      <c r="C433" s="3" t="s">
        <v>1589</v>
      </c>
      <c r="D433" s="3" t="s">
        <v>1590</v>
      </c>
      <c r="E433" s="3" t="s">
        <v>1591</v>
      </c>
      <c r="F433" s="3" t="str">
        <f>IFERROR(__xludf.DUMMYFUNCTION("GOOGLETRANSLATE(B433)")," Limites de mandato nos Estados Unidos")</f>
        <v> Limites de mandato nos Estados Unidos</v>
      </c>
      <c r="G433" s="3" t="str">
        <f>IFERROR(__xludf.DUMMYFUNCTION("GOOGLETRANSLATE(C433)"),"Qual é o termo máximo que um presidente dos EUA pode servir")</f>
        <v>Qual é o termo máximo que um presidente dos EUA pode servir</v>
      </c>
      <c r="H433" s="3" t="str">
        <f>IFERROR(__xludf.DUMMYFUNCTION("GOOGLETRANSLATE(D433)")," Os limites de mandato, também chamados de rotação no cargo, restringem o número de termos de escritório que um detentor do escritório pode manter. Por exemplo, de acordo com a 22ª Emenda, o Presidente dos Estados Unidos pode cumprir dois mandatos de quat"&amp;"ro anos e servir não mais de 10 anos.")</f>
        <v> Os limites de mandato, também chamados de rotação no cargo, restringem o número de termos de escritório que um detentor do escritório pode manter. Por exemplo, de acordo com a 22ª Emenda, o Presidente dos Estados Unidos pode cumprir dois mandatos de quatro anos e servir não mais de 10 anos.</v>
      </c>
      <c r="I433" s="3" t="str">
        <f>IFERROR(__xludf.DUMMYFUNCTION("GOOGLETRANSLATE(E433)"),"dois mandatos de quatro anos")</f>
        <v>dois mandatos de quatro anos</v>
      </c>
    </row>
    <row r="434" ht="15.75" customHeight="1">
      <c r="A434" s="1">
        <v>432.0</v>
      </c>
      <c r="B434" s="3" t="s">
        <v>1592</v>
      </c>
      <c r="C434" s="3" t="s">
        <v>1593</v>
      </c>
      <c r="D434" s="3" t="s">
        <v>1594</v>
      </c>
      <c r="E434" s="3" t="s">
        <v>1595</v>
      </c>
      <c r="F434" s="3" t="str">
        <f>IFERROR(__xludf.DUMMYFUNCTION("GOOGLETRANSLATE(B434)")," Um pequeno policial")</f>
        <v> Um pequeno policial</v>
      </c>
      <c r="G434" s="3" t="str">
        <f>IFERROR(__xludf.DUMMYFUNCTION("GOOGLETRANSLATE(C434)"),"Quando acabou com a política de 1 filho da China")</f>
        <v>Quando acabou com a política de 1 filho da China</v>
      </c>
      <c r="H434" s="3" t="str">
        <f>IFERROR(__xludf.DUMMYFUNCTION("GOOGLETRANSLATE(D434)")," A política única, uma parte da política de planejamento familiar, era uma política de planejamento populacional da China. Foi introduzido em 1979 e começou a ser formalmente eliminado perto do final de 2015 e do início de 2016. A política foi aplicada ap"&amp;"enas a Han Chinese e permitiu exceções para muitos grupos, incluindo minorias étnicas. Em 2007, 36 % da população da China estava sujeita a uma restrição rigorosa de crianças, com 53 % adicionais sendo autorizados a ter um segundo filho se o primeiro filh"&amp;"o fosse uma menina. Os governos provinciais impuseram multas por violações, e os governos locais e nacionais criaram comissões para aumentar a conscientização e realizar trabalhos de registro e inspeção.")</f>
        <v> A política única, uma parte da política de planejamento familiar, era uma política de planejamento populacional da China. Foi introduzido em 1979 e começou a ser formalmente eliminado perto do final de 2015 e do início de 2016. A política foi aplicada apenas a Han Chinese e permitiu exceções para muitos grupos, incluindo minorias étnicas. Em 2007, 36 % da população da China estava sujeita a uma restrição rigorosa de crianças, com 53 % adicionais sendo autorizados a ter um segundo filho se o primeiro filho fosse uma menina. Os governos provinciais impuseram multas por violações, e os governos locais e nacionais criaram comissões para aumentar a conscientização e realizar trabalhos de registro e inspeção.</v>
      </c>
      <c r="I434" s="3" t="str">
        <f>IFERROR(__xludf.DUMMYFUNCTION("GOOGLETRANSLATE(E434)"),"Perto do final de 2015 e do início de 2016")</f>
        <v>Perto do final de 2015 e do início de 2016</v>
      </c>
    </row>
    <row r="435" ht="15.75" customHeight="1">
      <c r="A435" s="1">
        <v>433.0</v>
      </c>
      <c r="B435" s="3" t="s">
        <v>1596</v>
      </c>
      <c r="C435" s="3" t="s">
        <v>1597</v>
      </c>
      <c r="D435" s="3" t="s">
        <v>1598</v>
      </c>
      <c r="E435" s="3" t="s">
        <v>1599</v>
      </c>
      <c r="F435" s="3" t="str">
        <f>IFERROR(__xludf.DUMMYFUNCTION("GOOGLETRANSLATE(B435)")," Lista de super episódios de Dragon Ball")</f>
        <v> Lista de super episódios de Dragon Ball</v>
      </c>
      <c r="G435" s="3" t="str">
        <f>IFERROR(__xludf.DUMMYFUNCTION("GOOGLETRANSLATE(C435)"),"Quando a segunda temporada de Dragon Ball Super sai")</f>
        <v>Quando a segunda temporada de Dragon Ball Super sai</v>
      </c>
      <c r="H435" s="3" t="str">
        <f>IFERROR(__xludf.DUMMYFUNCTION("GOOGLETRANSLATE(D435)"),"   Episódios da saga Japaneses Airdates ingleses Airdates inglesa God of Destruction Beerus 14 (1 - 14) 5 de julho de 2015 - 11 de outubro de 2015 7 de janeiro de 2017 - 15 de abril de 2017 Golden Freeza 13 (15 - 27) 18 de outubro de 2015 - 17 de janeiro "&amp;"de 2016 22 de abril de 2017- 29 de julho de 2017 Universo 6 19 (28- 46) 24 de janeiro de 2016- 5 de junho de 2016 5 de agosto de 2017- 13 de janeiro de 2018 `` Future '' ' Trunks 30 (47 - 76) 12 de junho de 2016 - 29 de janeiro de 2017 20 de janeiro de 20"&amp;"18 - TBA 5 Universo Sobrevivência 55 (77 - 131) 5 de fevereiro de 2017 - 25 de março de 2018 TBA")</f>
        <v>   Episódios da saga Japaneses Airdates ingleses Airdates inglesa God of Destruction Beerus 14 (1 - 14) 5 de julho de 2015 - 11 de outubro de 2015 7 de janeiro de 2017 - 15 de abril de 2017 Golden Freeza 13 (15 - 27) 18 de outubro de 2015 - 17 de janeiro de 2016 22 de abril de 2017- 29 de julho de 2017 Universo 6 19 (28- 46) 24 de janeiro de 2016- 5 de junho de 2016 5 de agosto de 2017- 13 de janeiro de 2018 `` Future '' ' Trunks 30 (47 - 76) 12 de junho de 2016 - 29 de janeiro de 2017 20 de janeiro de 2018 - TBA 5 Universo Sobrevivência 55 (77 - 131) 5 de fevereiro de 2017 - 25 de março de 2018 TBA</v>
      </c>
      <c r="I435" s="3" t="str">
        <f>IFERROR(__xludf.DUMMYFUNCTION("GOOGLETRANSLATE(E435)"),"22 de abril de 2017")</f>
        <v>22 de abril de 2017</v>
      </c>
    </row>
    <row r="436" ht="15.75" customHeight="1">
      <c r="A436" s="1">
        <v>434.0</v>
      </c>
      <c r="B436" s="3" t="s">
        <v>887</v>
      </c>
      <c r="C436" s="3" t="s">
        <v>1600</v>
      </c>
      <c r="D436" s="3" t="s">
        <v>1601</v>
      </c>
      <c r="E436" s="3" t="s">
        <v>890</v>
      </c>
      <c r="F436" s="3" t="str">
        <f>IFERROR(__xludf.DUMMYFUNCTION("GOOGLETRANSLATE(B436)")," Eu sou uma celebridade ... me tire daqui! (Série de TV australiana)")</f>
        <v> Eu sou uma celebridade ... me tire daqui! (Série de TV australiana)</v>
      </c>
      <c r="G436" s="3" t="str">
        <f>IFERROR(__xludf.DUMMYFUNCTION("GOOGLETRANSLATE(C436)"),"quem ganhou eu sou uma celebridade 2018 austrália")</f>
        <v>quem ganhou eu sou uma celebridade 2018 austrália</v>
      </c>
      <c r="H436" s="3" t="str">
        <f>IFERROR(__xludf.DUMMYFUNCTION("GOOGLETRANSLATE(D436)"),"   Apresentadores da temporada Data de início Data Data Dias em Campmates Honre o vencedor do acampamento, segundo lugar, terceiro lugar, Chris Brown e Julia Morris, 1 de fevereiro de 2015 (2015 - 02 - 01) 15 de março de 2015 (2015 - 03 - 15) 45 14 Freddi"&amp;"e Flintoff Barry Hall Swan Chrissie Swan Swan Swan Swan Swan Swan Swan Swan Swan Swan Swan Swan Swan Swan 31 de janeiro de 2016 (2016 - 01 - 31) 13 de março de 2016 (2016 - 03 - 13) 45 12 Brendan Fevola Paul Harragon Laurina Fleure 29 de janeiro de 2017 ("&amp;"2017 - 01 - 29) 13 de março de 2017 (2017 - 03 - 13) 46 14 Casey Donovan Dane Swan Natalie Bassingthwaiighte 28 de janeiro de 2018 (2018 - 01 - 28) 12 de março de 2018 (2018 - 03 - 12) 45 15 Fiona O'Loughlin Shannon Noll Danny Green 5 2019 2019 2019")</f>
        <v>   Apresentadores da temporada Data de início Data Data Dias em Campmates Honre o vencedor do acampamento, segundo lugar, terceiro lugar, Chris Brown e Julia Morris, 1 de fevereiro de 2015 (2015 - 02 - 01) 15 de março de 2015 (2015 - 03 - 15) 45 14 Freddie Flintoff Barry Hall Swan Chrissie Swan Swan Swan Swan Swan Swan Swan Swan Swan Swan Swan Swan Swan Swan 31 de janeiro de 2016 (2016 - 01 - 31) 13 de março de 2016 (2016 - 03 - 13) 45 12 Brendan Fevola Paul Harragon Laurina Fleure 29 de janeiro de 2017 (2017 - 01 - 29) 13 de março de 2017 (2017 - 03 - 13) 46 14 Casey Donovan Dane Swan Natalie Bassingthwaiighte 28 de janeiro de 2018 (2018 - 01 - 28) 12 de março de 2018 (2018 - 03 - 12) 45 15 Fiona O'Loughlin Shannon Noll Danny Green 5 2019 2019 2019</v>
      </c>
      <c r="I436" s="3" t="str">
        <f>IFERROR(__xludf.DUMMYFUNCTION("GOOGLETRANSLATE(E436)"),"Fiona O'Loughlin")</f>
        <v>Fiona O'Loughlin</v>
      </c>
    </row>
    <row r="437" ht="15.75" customHeight="1">
      <c r="A437" s="1">
        <v>435.0</v>
      </c>
      <c r="B437" s="3" t="s">
        <v>1602</v>
      </c>
      <c r="C437" s="3" t="s">
        <v>1603</v>
      </c>
      <c r="D437" s="3" t="s">
        <v>1604</v>
      </c>
      <c r="E437" s="3" t="s">
        <v>1605</v>
      </c>
      <c r="F437" s="3" t="str">
        <f>IFERROR(__xludf.DUMMYFUNCTION("GOOGLETRANSLATE(B437)")," 11 pés 8 ponte")</f>
        <v> 11 pés 8 ponte</v>
      </c>
      <c r="G437" s="3" t="str">
        <f>IFERROR(__xludf.DUMMYFUNCTION("GOOGLETRANSLATE(C437)"),"onde está a ponte de 11 pés de 8 polegadas")</f>
        <v>onde está a ponte de 11 pés de 8 polegadas</v>
      </c>
      <c r="H437" s="3" t="str">
        <f>IFERROR(__xludf.DUMMYFUNCTION("GOOGLETRANSLATE(D437)")," A ponte de 11 pés 8 (formalmente conhecida como Norfolk Southern - o viaduto da Gregson Street e apelidado de lata - abridor) é uma ponte ferroviária em Durham, Carolina do Norte, Estados Unidos, que atraiu cobertura da mídia e atenção popular porque veí"&amp;"culos altos, como Caminhões e trailers freqüentemente colidem com o viaduto incomumente baixo, resultando em danos que variam de ar condicionado de teto RV sendo raspados para telhados de caminhão inteiros sendo removidos. A ponte antiga de 78 anos, ao lo"&amp;"ngo da South Gregson Street, fornece apenas 3,56 m de folga vertical. Não pode ser levantado, porque as travessias ferroviárias próximas também teriam que ser criadas com ele. A rua também não pode ser reduzida, porque uma grande linha de esgoto corre a a"&amp;"penas 1,2 m (1,2 m) na Gregson Street.")</f>
        <v> A ponte de 11 pés 8 (formalmente conhecida como Norfolk Southern - o viaduto da Gregson Street e apelidado de lata - abridor) é uma ponte ferroviária em Durham, Carolina do Norte, Estados Unidos, que atraiu cobertura da mídia e atenção popular porque veículos altos, como Caminhões e trailers freqüentemente colidem com o viaduto incomumente baixo, resultando em danos que variam de ar condicionado de teto RV sendo raspados para telhados de caminhão inteiros sendo removidos. A ponte antiga de 78 anos, ao longo da South Gregson Street, fornece apenas 3,56 m de folga vertical. Não pode ser levantado, porque as travessias ferroviárias próximas também teriam que ser criadas com ele. A rua também não pode ser reduzida, porque uma grande linha de esgoto corre a apenas 1,2 m (1,2 m) na Gregson Street.</v>
      </c>
      <c r="I437" s="3" t="str">
        <f>IFERROR(__xludf.DUMMYFUNCTION("GOOGLETRANSLATE(E437)"),"Durham, Carolina do Norte")</f>
        <v>Durham, Carolina do Norte</v>
      </c>
    </row>
    <row r="438" ht="15.75" customHeight="1">
      <c r="A438" s="1">
        <v>436.0</v>
      </c>
      <c r="B438" s="3" t="s">
        <v>1606</v>
      </c>
      <c r="C438" s="3" t="s">
        <v>1607</v>
      </c>
      <c r="D438" s="3" t="s">
        <v>1608</v>
      </c>
      <c r="E438" s="3" t="s">
        <v>1609</v>
      </c>
      <c r="F438" s="3" t="str">
        <f>IFERROR(__xludf.DUMMYFUNCTION("GOOGLETRANSLATE(B438)")," Um ensaio sobre críticas")</f>
        <v> Um ensaio sobre críticas</v>
      </c>
      <c r="G438" s="3" t="str">
        <f>IFERROR(__xludf.DUMMYFUNCTION("GOOGLETRANSLATE(C438)"),"que disse que o erro é humano para perdoar o divino")</f>
        <v>que disse que o erro é humano para perdoar o divino</v>
      </c>
      <c r="H438" s="3" t="str">
        <f>IFERROR(__xludf.DUMMYFUNCTION("GOOGLETRANSLATE(D438)")," Um ensaio sobre críticas é um dos primeiros grandes poemas escritos pelo escritor inglês Alexander Pope (1688 - 1744). É a fonte das citações famosas `` errar é humana, perdoar divino '' e `` um pouco de aprendizado é uma coisa prejudicial '', freqüentem"&amp;"ente citada como `` um pouco de conhecimento é uma coisa prejudicial. '' Apareceu pela primeira vez em 1711 depois de ter sido escrito em 1709, e fica claro a partir da correspondência do Papa que muitas das idéias do poema existiam em forma de prosa desd"&amp;"e pelo menos 1706. Composto em dísticos heróicos (pares de linhas de rima adjacente de pentâmetro iâmbico) e escritos no modo horatiano de sátira, é um ensaio de verso preocupado principalmente com a forma como os escritores e os críticos se comportam no "&amp;"novo comércio literário da idade contemporânea do papa. O poema cobre uma série de boas críticas e conselhos e representa muitos dos principais ideais literários da idade do papa.")</f>
        <v> Um ensaio sobre críticas é um dos primeiros grandes poemas escritos pelo escritor inglês Alexander Pope (1688 - 1744). É a fonte das citações famosas `` errar é humana, perdoar divino '' e `` um pouco de aprendizado é uma coisa prejudicial '', freqüentemente citada como `` um pouco de conhecimento é uma coisa prejudicial. '' Apareceu pela primeira vez em 1711 depois de ter sido escrito em 1709, e fica claro a partir da correspondência do Papa que muitas das idéias do poema existiam em forma de prosa desde pelo menos 1706. Composto em dísticos heróicos (pares de linhas de rima adjacente de pentâmetro iâmbico) e escritos no modo horatiano de sátira, é um ensaio de verso preocupado principalmente com a forma como os escritores e os críticos se comportam no novo comércio literário da idade contemporânea do papa. O poema cobre uma série de boas críticas e conselhos e representa muitos dos principais ideais literários da idade do papa.</v>
      </c>
      <c r="I438" s="3" t="str">
        <f>IFERROR(__xludf.DUMMYFUNCTION("GOOGLETRANSLATE(E438)"),"Alexander Pope")</f>
        <v>Alexander Pope</v>
      </c>
    </row>
    <row r="439" ht="15.75" customHeight="1">
      <c r="A439" s="1">
        <v>437.0</v>
      </c>
      <c r="B439" s="3" t="s">
        <v>1610</v>
      </c>
      <c r="C439" s="3" t="s">
        <v>1611</v>
      </c>
      <c r="D439" s="3" t="s">
        <v>1612</v>
      </c>
      <c r="E439" s="3" t="s">
        <v>1613</v>
      </c>
      <c r="F439" s="3" t="str">
        <f>IFERROR(__xludf.DUMMYFUNCTION("GOOGLETRANSLATE(B439)")," FAÇA -os rir")</f>
        <v> FAÇA -os rir</v>
      </c>
      <c r="G439" s="3" t="str">
        <f>IFERROR(__xludf.DUMMYFUNCTION("GOOGLETRANSLATE(C439)"),"Quem cantou fazê -los rir em cantando na chuva")</f>
        <v>Quem cantou fazê -los rir em cantando na chuva</v>
      </c>
      <c r="H439" s="3" t="str">
        <f>IFERROR(__xludf.DUMMYFUNCTION("GOOGLETRANSLATE(D439)")," `` Make 'Em Laugh' 'é uma música apresentada pela primeira vez no filme de 1952 Singin' in the Rain, tocada freneticamente por Donald O'Connor. Escrito por Nacio Herb Brown e Arthur Freed, a música é baseada de perto em Cole Porter 'S `` Be A Clown' '. T"&amp;"erminou em # 49 nos 100 anos da AFI ... 100 músicas da Pesquisa de Top Tunes in American Cinema.")</f>
        <v> `` Make 'Em Laugh' 'é uma música apresentada pela primeira vez no filme de 1952 Singin' in the Rain, tocada freneticamente por Donald O'Connor. Escrito por Nacio Herb Brown e Arthur Freed, a música é baseada de perto em Cole Porter 'S `` Be A Clown' '. Terminou em # 49 nos 100 anos da AFI ... 100 músicas da Pesquisa de Top Tunes in American Cinema.</v>
      </c>
      <c r="I439" s="3" t="str">
        <f>IFERROR(__xludf.DUMMYFUNCTION("GOOGLETRANSLATE(E439)"),"Donald O'Connor")</f>
        <v>Donald O'Connor</v>
      </c>
    </row>
    <row r="440" ht="15.75" customHeight="1">
      <c r="A440" s="1">
        <v>438.0</v>
      </c>
      <c r="B440" s="3" t="s">
        <v>1614</v>
      </c>
      <c r="C440" s="3" t="s">
        <v>1615</v>
      </c>
      <c r="D440" s="3" t="s">
        <v>1616</v>
      </c>
      <c r="E440" s="3" t="s">
        <v>1617</v>
      </c>
      <c r="F440" s="3" t="str">
        <f>IFERROR(__xludf.DUMMYFUNCTION("GOOGLETRANSLATE(B440)")," Mistura de cores")</f>
        <v> Mistura de cores</v>
      </c>
      <c r="G440" s="3" t="str">
        <f>IFERROR(__xludf.DUMMYFUNCTION("GOOGLETRANSLATE(C440)"),"Misture vermelho e verde para fazer esta cor")</f>
        <v>Misture vermelho e verde para fazer esta cor</v>
      </c>
      <c r="H440" s="3" t="str">
        <f>IFERROR(__xludf.DUMMYFUNCTION("GOOGLETRANSLATE(D440)")," Por convenção, as três cores primárias na mistura aditiva são vermelhas, verdes e azuis. Na ausência de cor, quando nenhuma cor é exibida, o resultado é preto. Se todas as três cores primárias estiverem mostrando, o resultado será branco. Quando o vermel"&amp;"ho e o verde se combinam, o resultado é amarelo. Quando o vermelho e o azul se combinam, o resultado é magenta. Quando o azul e o verde se combinam, o resultado é ciano.")</f>
        <v> Por convenção, as três cores primárias na mistura aditiva são vermelhas, verdes e azuis. Na ausência de cor, quando nenhuma cor é exibida, o resultado é preto. Se todas as três cores primárias estiverem mostrando, o resultado será branco. Quando o vermelho e o verde se combinam, o resultado é amarelo. Quando o vermelho e o azul se combinam, o resultado é magenta. Quando o azul e o verde se combinam, o resultado é ciano.</v>
      </c>
      <c r="I440" s="3" t="str">
        <f>IFERROR(__xludf.DUMMYFUNCTION("GOOGLETRANSLATE(E440)"),"amarelo")</f>
        <v>amarelo</v>
      </c>
    </row>
    <row r="441" ht="15.75" customHeight="1">
      <c r="A441" s="1">
        <v>439.0</v>
      </c>
      <c r="B441" s="3" t="s">
        <v>1618</v>
      </c>
      <c r="C441" s="3" t="s">
        <v>1619</v>
      </c>
      <c r="D441" s="3" t="s">
        <v>1620</v>
      </c>
      <c r="F441" s="3" t="str">
        <f>IFERROR(__xludf.DUMMYFUNCTION("GOOGLETRANSLATE(B441)")," Calendário Hindu")</f>
        <v> Calendário Hindu</v>
      </c>
      <c r="G441" s="3" t="str">
        <f>IFERROR(__xludf.DUMMYFUNCTION("GOOGLETRANSLATE(C441)"),"Em que mês é no calendário hindu")</f>
        <v>Em que mês é no calendário hindu</v>
      </c>
      <c r="H441" s="3" t="str">
        <f>IFERROR(__xludf.DUMMYFUNCTION("GOOGLETRANSLATE(D441)"),"   Vikrami meses solares Vikrami meses meses gregorianos ṛtu (estação) hindi / marathi nome Kannada Nome malaiala nome odia nome odia nome telugu name meṣa vaisakha abr - maio grīṣma (verão) grishmô) risa ṛma) ഗ്രീഷ്മം (grīṣma (verão)) இளவேளவேனில் (Ilaven"&amp;"il) గ్మ గ్మ ఋతువు (Grīṣma ṛtuvu) Vṛṣabha jyeshtha May - junho Mithuna Ashadha junho - julho Varṣā ಮದಲ್ದ ದದ್ಮಲ್ಯು (Varṣā ṛtu) முதுவேனில் (Mudhuvenil) ఋతు ఋతు (VarA Rutuvu) Karkaṭaṭaavana (Auguvu) முதுவேனில் Shaavana (Auguvu) முதுவேனில் (Auguvu)) முதுவேனில்"&amp;" (Auguvu)) முதுவேனில் (Auguvu)) முதுவேனில் (Auguvu)) முதுவேனில் (Auguvu) முதுவேனில் (Auguvu)) முதுவேனில் (Auguvu) முதுவேனில் Augustu) (VarAnha முதுவேனில் Auguvu)) Sept śarad (outono) Sharad Sharad (Shôôt) Shridṛtu) (Sharat) ଶରତ (Śarata) கார் (Kaar) శూదృతు"&amp;"వు (Śaradṛtuvu) Kanyā Ashvin setp - Oct - Oct Tulā Kartik out - Nov -Nov (Autumn) Hemant Hemanta (Hemôn) Hemtam ) ta ) குளிர் ( kulir ) హేమంత ఋతువు ( hēmaṃta ṛtuvu ) vṛścik Dhanu Pausha Dec - Jan Śiva ( winter ) shishira shith ( śiśira ṛtu ) ( śiśiram ) ଶ"&amp;"ୀତ / śīta / Śiśira ) ( śīta / Śiśira ) Unpani ) శిర ఋతువు ( Śiva ) Makara Magha Jan - fev kumbha phalguna fev - mar vasanta (primavera) vasant (bôntô) vasaṃta (vasaṃta ṛtu) (vasaṃtam) ṛtuvu) mīna Chaitra mar - abr)")</f>
        <v>   Vikrami meses solares Vikrami meses meses gregorianos ṛtu (estação) hindi / marathi nome Kannada Nome malaiala nome odia nome odia nome telugu name meṣa vaisakha abr - maio grīṣma (verão) grishmô) risa ṛma) ഗ്രീഷ്മം (grīṣma (verão)) இளவேளவேனில் (Ilavenil) గ్మ గ్మ ఋతువు (Grīṣma ṛtuvu) Vṛṣabha jyeshtha May - junho Mithuna Ashadha junho - julho Varṣā ಮದಲ್ದ ದದ್ಮಲ್ಯು (Varṣā ṛtu) முதுவேனில் (Mudhuvenil) ఋతు ఋతు (VarA Rutuvu) Karkaṭaṭaavana (Auguvu) முதுவேனில் Shaavana (Auguvu) முதுவேனில் (Auguvu)) முதுவேனில் (Auguvu)) முதுவேனில் (Auguvu)) முதுவேனில் (Auguvu)) முதுவேனில் (Auguvu) முதுவேனில் (Auguvu)) முதுவேனில் (Auguvu) முதுவேனில் Augustu) (VarAnha முதுவேனில் Auguvu)) Sept śarad (outono) Sharad Sharad (Shôôt) Shridṛtu) (Sharat) ଶରତ (Śarata) கார் (Kaar) శూదృతువు (Śaradṛtuvu) Kanyā Ashvin setp - Oct - Oct Tulā Kartik out - Nov -Nov (Autumn) Hemant Hemanta (Hemôn) Hemtam ) ta ) குளிர் ( kulir ) హేమంత ఋతువు ( hēmaṃta ṛtuvu ) vṛścik Dhanu Pausha Dec - Jan Śiva ( winter ) shishira shith ( śiśira ṛtu ) ( śiśiram ) ଶୀତ / śīta / Śiśira ) ( śīta / Śiśira ) Unpani ) శిర ఋతువు ( Śiva ) Makara Magha Jan - fev kumbha phalguna fev - mar vasanta (primavera) vasant (bôntô) vasaṃta (vasaṃta ṛtu) (vasaṃtam) ṛtuvu) mīna Chaitra mar - abr)</v>
      </c>
      <c r="I441" s="3" t="str">
        <f>IFERROR(__xludf.DUMMYFUNCTION("GOOGLETRANSLATE(E441)"),"#VALUE!")</f>
        <v>#VALUE!</v>
      </c>
    </row>
    <row r="442" ht="15.75" customHeight="1">
      <c r="A442" s="1">
        <v>440.0</v>
      </c>
      <c r="B442" s="3" t="s">
        <v>1621</v>
      </c>
      <c r="C442" s="3" t="s">
        <v>1622</v>
      </c>
      <c r="D442" s="3" t="s">
        <v>1623</v>
      </c>
      <c r="E442" s="3" t="s">
        <v>1624</v>
      </c>
      <c r="F442" s="3" t="str">
        <f>IFERROR(__xludf.DUMMYFUNCTION("GOOGLETRANSLATE(B442)")," Banco estatal da Índia")</f>
        <v> Banco estatal da Índia</v>
      </c>
      <c r="G442" s="3" t="str">
        <f>IFERROR(__xludf.DUMMYFUNCTION("GOOGLETRANSLATE(C442)"),"Qual é o nome antigo do Banco Estadual da Índia")</f>
        <v>Qual é o nome antigo do Banco Estadual da Índia</v>
      </c>
      <c r="H442" s="3" t="str">
        <f>IFERROR(__xludf.DUMMYFUNCTION("GOOGLETRANSLATE(D442)")," O banco desce do Banco de Calcutá, fundado em 1806, através do Banco Imperial da Índia, tornando -o o mais antigo banco comercial do subcontinente indiano. O Banco de Madras se fundiu nos outros dois `` bancos de presidência '' na Índia britânica, no Ban"&amp;"co de Calcutá e no Banco de Bombaim, para formar o Banco Imperial da Índia, que por sua vez se tornou o Banco Estadual da Índia em 1955. O governo da Índia assumiu o controle do Banco Imperial da Índia em 1955, com o Reserve Bank of India (Banco Central d"&amp;"a Índia) tomando uma participação de 60 %, renomeando -a no Banco Estadual da Índia. Em 2008, o governo assumiu a participação do Banco da Reserva da Índia.")</f>
        <v> O banco desce do Banco de Calcutá, fundado em 1806, através do Banco Imperial da Índia, tornando -o o mais antigo banco comercial do subcontinente indiano. O Banco de Madras se fundiu nos outros dois `` bancos de presidência '' na Índia britânica, no Banco de Calcutá e no Banco de Bombaim, para formar o Banco Imperial da Índia, que por sua vez se tornou o Banco Estadual da Índia em 1955. O governo da Índia assumiu o controle do Banco Imperial da Índia em 1955, com o Reserve Bank of India (Banco Central da Índia) tomando uma participação de 60 %, renomeando -a no Banco Estadual da Índia. Em 2008, o governo assumiu a participação do Banco da Reserva da Índia.</v>
      </c>
      <c r="I442" s="3" t="str">
        <f>IFERROR(__xludf.DUMMYFUNCTION("GOOGLETRANSLATE(E442)"),"Banco Imperial da Índia")</f>
        <v>Banco Imperial da Índia</v>
      </c>
    </row>
    <row r="443" ht="15.75" customHeight="1">
      <c r="A443" s="1">
        <v>441.0</v>
      </c>
      <c r="B443" s="3" t="s">
        <v>1625</v>
      </c>
      <c r="C443" s="3" t="s">
        <v>1626</v>
      </c>
      <c r="D443" s="3" t="s">
        <v>1627</v>
      </c>
      <c r="E443" s="3" t="s">
        <v>1628</v>
      </c>
      <c r="F443" s="3" t="str">
        <f>IFERROR(__xludf.DUMMYFUNCTION("GOOGLETRANSLATE(B443)")," Desfile de Halloween da aldeia de Nova York")</f>
        <v> Desfile de Halloween da aldeia de Nova York</v>
      </c>
      <c r="G443" s="3" t="str">
        <f>IFERROR(__xludf.DUMMYFUNCTION("GOOGLETRANSLATE(C443)"),"Onde o maior desfile de Halloween ocorre todos os anos")</f>
        <v>Onde o maior desfile de Halloween ocorre todos os anos</v>
      </c>
      <c r="H443" s="3" t="str">
        <f>IFERROR(__xludf.DUMMYFUNCTION("GOOGLETRANSLATE(D443)")," A Village Halloween Parade, de Nova York, é um desfile anual de férias e um concurso de rua apresentado na noite de todos os Halloween na vila de Greenwich, em Nova York. O desfile do Halloween da vila, iniciado em 1973 pelo marioneiro e fabricante de má"&amp;"scaras de Greenwich Village, Ralph Lee, que afirma ser o maior desfile do mundo do mundo, onde nos últimos anos se relata ter 60.000 manifestantes e 2 milhões de espectadores. .")</f>
        <v> A Village Halloween Parade, de Nova York, é um desfile anual de férias e um concurso de rua apresentado na noite de todos os Halloween na vila de Greenwich, em Nova York. O desfile do Halloween da vila, iniciado em 1973 pelo marioneiro e fabricante de máscaras de Greenwich Village, Ralph Lee, que afirma ser o maior desfile do mundo do mundo, onde nos últimos anos se relata ter 60.000 manifestantes e 2 milhões de espectadores. .</v>
      </c>
      <c r="I443" s="3" t="str">
        <f>IFERROR(__xludf.DUMMYFUNCTION("GOOGLETRANSLATE(E443)"),"Nova Iorque")</f>
        <v>Nova Iorque</v>
      </c>
    </row>
    <row r="444" ht="15.75" customHeight="1">
      <c r="A444" s="1">
        <v>442.0</v>
      </c>
      <c r="B444" s="3" t="s">
        <v>1629</v>
      </c>
      <c r="C444" s="3" t="s">
        <v>1630</v>
      </c>
      <c r="D444" s="3" t="s">
        <v>1631</v>
      </c>
      <c r="E444" s="3" t="s">
        <v>1632</v>
      </c>
      <c r="F444" s="3" t="str">
        <f>IFERROR(__xludf.DUMMYFUNCTION("GOOGLETRANSLATE(B444)")," Eu não estou bravo com o CHA")</f>
        <v> Eu não estou bravo com o CHA</v>
      </c>
      <c r="G444" s="3" t="str">
        <f>IFERROR(__xludf.DUMMYFUNCTION("GOOGLETRANSLATE(C444)"),"quem canta em eu não estou bravo com o CHA")</f>
        <v>quem canta em eu não estou bravo com o CHA</v>
      </c>
      <c r="H444" s="3" t="str">
        <f>IFERROR(__xludf.DUMMYFUNCTION("GOOGLETRANSLATE(D444)")," `` I Ai N't Lanft of Cha '' é uma música do rapper 2pac lançada logo após sua morte como o sexto single de seu álbum All Eyez On Me. Foi também o seu último single usando o nome de artifício 2pac. A música apresenta o cantor de Soul Contemporary, Danny B"&amp;"oy, que forneceu os vocais para o gancho da música. A música se saiu bem no Reino Unido, atingindo o número 13 na parada de singles do Reino Unido e nas paradas de R&amp;B do Reino Unido chegando ao número 3. Não foi lançado como single nos Estados Unidos, to"&amp;"rnando -o inelegível para gráficos nas paradas de singles da Billboard (devido às regras do gráfico na época), mas atingiu os números 18 e 58 nas paradas de Airplay R&amp;B e Pop, respectivamente. Ele também chegou ao número dois na parada de singles da Nova "&amp;"Zelândia.")</f>
        <v> `` I Ai N't Lanft of Cha '' é uma música do rapper 2pac lançada logo após sua morte como o sexto single de seu álbum All Eyez On Me. Foi também o seu último single usando o nome de artifício 2pac. A música apresenta o cantor de Soul Contemporary, Danny Boy, que forneceu os vocais para o gancho da música. A música se saiu bem no Reino Unido, atingindo o número 13 na parada de singles do Reino Unido e nas paradas de R&amp;B do Reino Unido chegando ao número 3. Não foi lançado como single nos Estados Unidos, tornando -o inelegível para gráficos nas paradas de singles da Billboard (devido às regras do gráfico na época), mas atingiu os números 18 e 58 nas paradas de Airplay R&amp;B e Pop, respectivamente. Ele também chegou ao número dois na parada de singles da Nova Zelândia.</v>
      </c>
      <c r="I444" s="3" t="str">
        <f>IFERROR(__xludf.DUMMYFUNCTION("GOOGLETRANSLATE(E444)"),"Danny Boy")</f>
        <v>Danny Boy</v>
      </c>
    </row>
    <row r="445" ht="15.75" customHeight="1">
      <c r="A445" s="1">
        <v>443.0</v>
      </c>
      <c r="B445" s="3" t="s">
        <v>1633</v>
      </c>
      <c r="C445" s="3" t="s">
        <v>1634</v>
      </c>
      <c r="D445" s="3" t="s">
        <v>1635</v>
      </c>
      <c r="E445" s="3" t="s">
        <v>1636</v>
      </c>
      <c r="F445" s="3" t="str">
        <f>IFERROR(__xludf.DUMMYFUNCTION("GOOGLETRANSLATE(B445)")," Equipe Nacional de Críquete das Mulheres da Índia")</f>
        <v> Equipe Nacional de Críquete das Mulheres da Índia</v>
      </c>
      <c r="G445" s="3" t="str">
        <f>IFERROR(__xludf.DUMMYFUNCTION("GOOGLETRANSLATE(C445)"),"Quando o críquete feminino começou na Índia")</f>
        <v>Quando o críquete feminino começou na Índia</v>
      </c>
      <c r="H445" s="3" t="str">
        <f>IFERROR(__xludf.DUMMYFUNCTION("GOOGLETRANSLATE(D445)")," Os britânicos trouxeram o críquete para a Índia no início dos anos 1700, com a primeira partida de críquete disputada em 1721. O primeiro clube de críquete indiano foi estabelecido pela comunidade Parsi em Bombaim, em 1848; O clube jogou sua primeira par"&amp;"tida contra os europeus em 1877. A primeira equipe oficial de críquete indiana foi formada em 1911 e visitou a Inglaterra, onde jogou equipes do condado inglês. A equipe da Índia fez sua estréia no teste contra a Inglaterra em 1932. Na mesma época (1934),"&amp;" o teste das primeiras mulheres foi disputado entre a Inglaterra e a Austrália. No entanto, o críquete das mulheres chegou à Índia muito mais tarde; A Associação de Críquete das Mulheres da Índia foi formada em 1973. A equipe das mulheres indianas jogou s"&amp;"ua primeira partida de teste em 1976, contra as Índias Ocidentais. A Índia registrou sua primeira vitória de teste em novembro de 1978 contra as Índias Ocidentais sob a capitania de Shantha Rangaswamy no MOIN - Ul - Haq Stadium em Patna.")</f>
        <v> Os britânicos trouxeram o críquete para a Índia no início dos anos 1700, com a primeira partida de críquete disputada em 1721. O primeiro clube de críquete indiano foi estabelecido pela comunidade Parsi em Bombaim, em 1848; O clube jogou sua primeira partida contra os europeus em 1877. A primeira equipe oficial de críquete indiana foi formada em 1911 e visitou a Inglaterra, onde jogou equipes do condado inglês. A equipe da Índia fez sua estréia no teste contra a Inglaterra em 1932. Na mesma época (1934), o teste das primeiras mulheres foi disputado entre a Inglaterra e a Austrália. No entanto, o críquete das mulheres chegou à Índia muito mais tarde; A Associação de Críquete das Mulheres da Índia foi formada em 1973. A equipe das mulheres indianas jogou sua primeira partida de teste em 1976, contra as Índias Ocidentais. A Índia registrou sua primeira vitória de teste em novembro de 1978 contra as Índias Ocidentais sob a capitania de Shantha Rangaswamy no MOIN - Ul - Haq Stadium em Patna.</v>
      </c>
      <c r="I445" s="3" t="str">
        <f>IFERROR(__xludf.DUMMYFUNCTION("GOOGLETRANSLATE(E445)"),"1973")</f>
        <v>1973</v>
      </c>
    </row>
    <row r="446" ht="15.75" customHeight="1">
      <c r="A446" s="1">
        <v>444.0</v>
      </c>
      <c r="B446" s="3" t="s">
        <v>1637</v>
      </c>
      <c r="C446" s="3" t="s">
        <v>1638</v>
      </c>
      <c r="D446" s="3" t="s">
        <v>1639</v>
      </c>
      <c r="E446" s="3" t="s">
        <v>1640</v>
      </c>
      <c r="F446" s="3" t="str">
        <f>IFERROR(__xludf.DUMMYFUNCTION("GOOGLETRANSLATE(B446)")," Lei do Selo 1765")</f>
        <v> Lei do Selo 1765</v>
      </c>
      <c r="G446" s="3" t="str">
        <f>IFERROR(__xludf.DUMMYFUNCTION("GOOGLETRANSLATE(C446)"),"Por que a Lei do Selo de 1765 aconteceu")</f>
        <v>Por que a Lei do Selo de 1765 aconteceu</v>
      </c>
      <c r="H446" s="3" t="str">
        <f>IFERROR(__xludf.DUMMYFUNCTION("GOOGLETRANSLATE(D446)")," O objetivo do imposto era pagar pelas tropas militares britânicas estacionadas nas colônias americanas após a guerra francesa e indiana, que foi o teatro norte -americano da guerra dos sete anos. No entanto, os colonos nunca haviam temido uma invasão fra"&amp;"ncesa para começar, e sustentaram que já haviam pago sua parte das despesas de guerra. Eles sugeriram que na verdade era uma questão de patrocínio britânico a excedentes de oficiais britânicos e soldados de carreira que deveriam ser pagos por Londres.")</f>
        <v> O objetivo do imposto era pagar pelas tropas militares britânicas estacionadas nas colônias americanas após a guerra francesa e indiana, que foi o teatro norte -americano da guerra dos sete anos. No entanto, os colonos nunca haviam temido uma invasão francesa para começar, e sustentaram que já haviam pago sua parte das despesas de guerra. Eles sugeriram que na verdade era uma questão de patrocínio britânico a excedentes de oficiais britânicos e soldados de carreira que deveriam ser pagos por Londres.</v>
      </c>
      <c r="I446" s="3" t="str">
        <f>IFERROR(__xludf.DUMMYFUNCTION("GOOGLETRANSLATE(E446)"),"pagar pelas tropas militares britânicas estacionadas nas colônias americanas após a guerra francesa e indiana")</f>
        <v>pagar pelas tropas militares britânicas estacionadas nas colônias americanas após a guerra francesa e indiana</v>
      </c>
    </row>
    <row r="447" ht="15.75" customHeight="1">
      <c r="A447" s="1">
        <v>445.0</v>
      </c>
      <c r="B447" s="3" t="s">
        <v>1641</v>
      </c>
      <c r="C447" s="3" t="s">
        <v>1642</v>
      </c>
      <c r="D447" s="3" t="s">
        <v>1643</v>
      </c>
      <c r="E447" s="3" t="s">
        <v>1644</v>
      </c>
      <c r="F447" s="3" t="str">
        <f>IFERROR(__xludf.DUMMYFUNCTION("GOOGLETRANSLATE(B447)")," Cristo, o Redentor (estátua)")</f>
        <v> Cristo, o Redentor (estátua)</v>
      </c>
      <c r="G447" s="3" t="str">
        <f>IFERROR(__xludf.DUMMYFUNCTION("GOOGLETRANSLATE(C447)"),"que construiu a estátua no Rio de Janeiro")</f>
        <v>que construiu a estátua no Rio de Janeiro</v>
      </c>
      <c r="H447" s="3" t="str">
        <f>IFERROR(__xludf.DUMMYFUNCTION("GOOGLETRANSLATE(D447)"),"  O designer criado pelo escultor francês Paul Landawski e construído pelo engenheiro Heitor da Silva Costa Brasil em colaboração com o engenheiro francês Albert Caquot. O escultor romeno Gheorghe Leonida criou o rosto da estátua")</f>
        <v>  O designer criado pelo escultor francês Paul Landawski e construído pelo engenheiro Heitor da Silva Costa Brasil em colaboração com o engenheiro francês Albert Caquot. O escultor romeno Gheorghe Leonida criou o rosto da estátua</v>
      </c>
      <c r="I447" s="3" t="str">
        <f>IFERROR(__xludf.DUMMYFUNCTION("GOOGLETRANSLATE(E447)"),"Criado pelo escultor francês Paul Landawski e construído pelo engenheiro Heitor da Silva Costa Brasil em colaboração com o engenheiro francês Albert Caquot. O escultor romeno Gheorghe Leonida criou o rosto da estátua")</f>
        <v>Criado pelo escultor francês Paul Landawski e construído pelo engenheiro Heitor da Silva Costa Brasil em colaboração com o engenheiro francês Albert Caquot. O escultor romeno Gheorghe Leonida criou o rosto da estátua</v>
      </c>
    </row>
    <row r="448" ht="15.75" customHeight="1">
      <c r="A448" s="1">
        <v>446.0</v>
      </c>
      <c r="B448" s="3" t="s">
        <v>1645</v>
      </c>
      <c r="C448" s="3" t="s">
        <v>1646</v>
      </c>
      <c r="D448" s="3" t="s">
        <v>1647</v>
      </c>
      <c r="E448" s="3" t="s">
        <v>1648</v>
      </c>
      <c r="F448" s="3" t="str">
        <f>IFERROR(__xludf.DUMMYFUNCTION("GOOGLETRANSLATE(B448)")," 1918 Pandemia de gripe")</f>
        <v> 1918 Pandemia de gripe</v>
      </c>
      <c r="G448" s="3" t="str">
        <f>IFERROR(__xludf.DUMMYFUNCTION("GOOGLETRANSLATE(C448)"),"Gripe que se espalhou por uma grande área em 1918")</f>
        <v>Gripe que se espalhou por uma grande área em 1918</v>
      </c>
      <c r="H448" s="3" t="str">
        <f>IFERROR(__xludf.DUMMYFUNCTION("GOOGLETRANSLATE(D448)")," A pandemia de gripe de 1918 (janeiro de 1918 - dezembro de 1920) foi uma pandemia de influenza incomumente mortal, a primeira das duas pandemias envolvendo o vírus da influenza H1N1. Infectou 500 milhões de pessoas em todo o mundo, incluindo pessoas em i"&amp;"lhas remotas do Pacífico e no Ártico, e resultou na morte de 50 a 100 milhões (três a cinco por cento da população do mundo), tornando -o um dos mais mortais naturais Desastres na história humana.")</f>
        <v> A pandemia de gripe de 1918 (janeiro de 1918 - dezembro de 1920) foi uma pandemia de influenza incomumente mortal, a primeira das duas pandemias envolvendo o vírus da influenza H1N1. Infectou 500 milhões de pessoas em todo o mundo, incluindo pessoas em ilhas remotas do Pacífico e no Ártico, e resultou na morte de 50 a 100 milhões (três a cinco por cento da população do mundo), tornando -o um dos mais mortais naturais Desastres na história humana.</v>
      </c>
      <c r="I448" s="3" t="str">
        <f>IFERROR(__xludf.DUMMYFUNCTION("GOOGLETRANSLATE(E448)"),"Vírus da influenza H1N1")</f>
        <v>Vírus da influenza H1N1</v>
      </c>
    </row>
    <row r="449" ht="15.75" customHeight="1">
      <c r="A449" s="1">
        <v>447.0</v>
      </c>
      <c r="B449" s="3" t="s">
        <v>1649</v>
      </c>
      <c r="C449" s="3" t="s">
        <v>1650</v>
      </c>
      <c r="D449" s="3" t="s">
        <v>1651</v>
      </c>
      <c r="E449" s="3" t="s">
        <v>1652</v>
      </c>
      <c r="F449" s="3" t="str">
        <f>IFERROR(__xludf.DUMMYFUNCTION("GOOGLETRANSLATE(B449)")," Lei de Terras Nativas, 1913")</f>
        <v> Lei de Terras Nativas, 1913</v>
      </c>
      <c r="G449" s="3" t="str">
        <f>IFERROR(__xludf.DUMMYFUNCTION("GOOGLETRANSLATE(C449)"),"Quando foi a Lei de Terras dos Nativos de 1913 revogada")</f>
        <v>Quando foi a Lei de Terras dos Nativos de 1913 revogada</v>
      </c>
      <c r="H449" s="3" t="str">
        <f>IFERROR(__xludf.DUMMYFUNCTION("GOOGLETRANSLATE(D449)"),"   Lei da Terra dos Nativos, 1913 ACT para fazer mais provisões quanto à compra e arrendamento de terras por nativos e outras pessoas nas várias partes da União e para outros propósitos em conexão com a propriedade e ocupação da terra por nativos e outras"&amp;" pessoas. era discriminatório e destinado ao controle branco da terra. Lei de citação nº 27 de 1913 promulgada pelo Parlamento da África do Sul Data do Assent Royal 16 de junho de 1913 Data começou em 19 de junho de 1913 Data revogada em 30 de junho de 19"&amp;"91, administrada pelo Ministro de Assuntos Nativos, abolição da Legislação de Medidas de Terras Racial, 1991 Legislação relacionada nativa Lei de confiança e terra, 1936 Status: revogada")</f>
        <v>   Lei da Terra dos Nativos, 1913 ACT para fazer mais provisões quanto à compra e arrendamento de terras por nativos e outras pessoas nas várias partes da União e para outros propósitos em conexão com a propriedade e ocupação da terra por nativos e outras pessoas. era discriminatório e destinado ao controle branco da terra. Lei de citação nº 27 de 1913 promulgada pelo Parlamento da África do Sul Data do Assent Royal 16 de junho de 1913 Data começou em 19 de junho de 1913 Data revogada em 30 de junho de 1991, administrada pelo Ministro de Assuntos Nativos, abolição da Legislação de Medidas de Terras Racial, 1991 Legislação relacionada nativa Lei de confiança e terra, 1936 Status: revogada</v>
      </c>
      <c r="I449" s="3" t="str">
        <f>IFERROR(__xludf.DUMMYFUNCTION("GOOGLETRANSLATE(E449)"),"30 de junho de 1991")</f>
        <v>30 de junho de 1991</v>
      </c>
    </row>
    <row r="450" ht="15.75" customHeight="1">
      <c r="A450" s="1">
        <v>448.0</v>
      </c>
      <c r="B450" s="3" t="s">
        <v>1653</v>
      </c>
      <c r="C450" s="3" t="s">
        <v>1654</v>
      </c>
      <c r="D450" s="3" t="s">
        <v>1655</v>
      </c>
      <c r="F450" s="3" t="str">
        <f>IFERROR(__xludf.DUMMYFUNCTION("GOOGLETRANSLATE(B450)")," Ponto cego (visão)")</f>
        <v> Ponto cego (visão)</v>
      </c>
      <c r="G450" s="3" t="str">
        <f>IFERROR(__xludf.DUMMYFUNCTION("GOOGLETRANSLATE(C450)"),"Qual é o ponto cego do olho")</f>
        <v>Qual é o ponto cego do olho</v>
      </c>
      <c r="H450" s="3" t="str">
        <f>IFERROR(__xludf.DUMMYFUNCTION("GOOGLETRANSLATE(D450)")," Um ponto cego, Scotoma, é uma obscuridade do campo visual. Um ponto cego específico conhecido como ponto cego fisiológico, `` ponto cego '' ou punkum cecum na literatura médica, é o lugar no campo visual que corresponde à falta de luz - detectando célula"&amp;"s fotorreceptoras no disco óptico da retina onde o nervo óptico passa pelo disco óptico. Como não há células para detectar luz no disco óptico, a parte correspondente do campo de visão é invisível. Alguns processos em nossos cérebros interpola o ponto ceg"&amp;"o com base nos detalhes e informações circundantes do outro olho, por isso normalmente não percebemos o ponto cego.")</f>
        <v> Um ponto cego, Scotoma, é uma obscuridade do campo visual. Um ponto cego específico conhecido como ponto cego fisiológico, `` ponto cego '' ou punkum cecum na literatura médica, é o lugar no campo visual que corresponde à falta de luz - detectando células fotorreceptoras no disco óptico da retina onde o nervo óptico passa pelo disco óptico. Como não há células para detectar luz no disco óptico, a parte correspondente do campo de visão é invisível. Alguns processos em nossos cérebros interpola o ponto cego com base nos detalhes e informações circundantes do outro olho, por isso normalmente não percebemos o ponto cego.</v>
      </c>
      <c r="I450" s="3" t="str">
        <f>IFERROR(__xludf.DUMMYFUNCTION("GOOGLETRANSLATE(E450)"),"#VALUE!")</f>
        <v>#VALUE!</v>
      </c>
    </row>
    <row r="451" ht="15.75" customHeight="1">
      <c r="A451" s="1">
        <v>449.0</v>
      </c>
      <c r="B451" s="3" t="s">
        <v>1656</v>
      </c>
      <c r="C451" s="3" t="s">
        <v>1657</v>
      </c>
      <c r="D451" s="3" t="s">
        <v>1658</v>
      </c>
      <c r="E451" s="3" t="s">
        <v>1659</v>
      </c>
      <c r="F451" s="3" t="str">
        <f>IFERROR(__xludf.DUMMYFUNCTION("GOOGLETRANSLATE(B451)")," Medição de terra em Punjab")</f>
        <v> Medição de terra em Punjab</v>
      </c>
      <c r="G451" s="3" t="str">
        <f>IFERROR(__xludf.DUMMYFUNCTION("GOOGLETRANSLATE(C451)"),"Quantos Kanals em um acre no Paquistão")</f>
        <v>Quantos Kanals em um acre no Paquistão</v>
      </c>
      <c r="H451" s="3" t="str">
        <f>IFERROR(__xludf.DUMMYFUNCTION("GOOGLETRANSLATE(D451)")," 4. 160 Marlas ou 8 Kanals 4839.99998 Sq. yds. Diga 4840 sq. yds. (1 acre ou 1 killa)")</f>
        <v> 4. 160 Marlas ou 8 Kanals 4839.99998 Sq. yds. Diga 4840 sq. yds. (1 acre ou 1 killa)</v>
      </c>
      <c r="I451" s="3" t="str">
        <f>IFERROR(__xludf.DUMMYFUNCTION("GOOGLETRANSLATE(E451)"),"8")</f>
        <v>8</v>
      </c>
    </row>
    <row r="452" ht="15.75" customHeight="1">
      <c r="A452" s="1">
        <v>450.0</v>
      </c>
      <c r="B452" s="3" t="s">
        <v>1660</v>
      </c>
      <c r="C452" s="3" t="s">
        <v>1661</v>
      </c>
      <c r="D452" s="3" t="s">
        <v>1662</v>
      </c>
      <c r="F452" s="3" t="str">
        <f>IFERROR(__xludf.DUMMYFUNCTION("GOOGLETRANSLATE(B452)")," Telecomunicações na Índia")</f>
        <v> Telecomunicações na Índia</v>
      </c>
      <c r="G452" s="3" t="str">
        <f>IFERROR(__xludf.DUMMYFUNCTION("GOOGLETRANSLATE(C452)"),"Destaque as recentes mudanças no setor de telecomunicações na Índia")</f>
        <v>Destaque as recentes mudanças no setor de telecomunicações na Índia</v>
      </c>
      <c r="H452" s="3" t="str">
        <f>IFERROR(__xludf.DUMMYFUNCTION("GOOGLETRANSLATE(D452)")," A indústria de telecomunicações indiana passou por um alto ritmo de liberalização e crescimento do mercado desde os anos 90 e agora se tornou o mais competitivo do mundo e um dos mercados de telecomunicações que mais crescem. O setor cresceu mais de vint"&amp;"e vezes em apenas dez anos, de menos de 37 milhões de assinantes no ano de 2001 para mais de 846 milhões de assinantes no ano de 2011. A Índia tem a segunda maior base de usuários de telefonia móvel do mundo, com mais de 1183,04 milhões de usuários em set"&amp;"embro de 2017. Possui o segundo maior usuário da Internet do mundo - com mais de 324 milhões em setembro de 2017.")</f>
        <v> A indústria de telecomunicações indiana passou por um alto ritmo de liberalização e crescimento do mercado desde os anos 90 e agora se tornou o mais competitivo do mundo e um dos mercados de telecomunicações que mais crescem. O setor cresceu mais de vinte vezes em apenas dez anos, de menos de 37 milhões de assinantes no ano de 2001 para mais de 846 milhões de assinantes no ano de 2011. A Índia tem a segunda maior base de usuários de telefonia móvel do mundo, com mais de 1183,04 milhões de usuários em setembro de 2017. Possui o segundo maior usuário da Internet do mundo - com mais de 324 milhões em setembro de 2017.</v>
      </c>
      <c r="I452" s="3" t="str">
        <f>IFERROR(__xludf.DUMMYFUNCTION("GOOGLETRANSLATE(E452)"),"#VALUE!")</f>
        <v>#VALUE!</v>
      </c>
    </row>
    <row r="453" ht="15.75" customHeight="1">
      <c r="A453" s="1">
        <v>451.0</v>
      </c>
      <c r="B453" s="3" t="s">
        <v>1663</v>
      </c>
      <c r="C453" s="3" t="s">
        <v>1664</v>
      </c>
      <c r="D453" s="3" t="s">
        <v>1665</v>
      </c>
      <c r="E453" s="3" t="s">
        <v>1666</v>
      </c>
      <c r="F453" s="3" t="str">
        <f>IFERROR(__xludf.DUMMYFUNCTION("GOOGLETRANSLATE(B453)")," Seda aérea")</f>
        <v> Seda aérea</v>
      </c>
      <c r="G453" s="3" t="str">
        <f>IFERROR(__xludf.DUMMYFUNCTION("GOOGLETRANSLATE(C453)"),"Como você chama uma pessoa que faz acrobacias")</f>
        <v>Como você chama uma pessoa que faz acrobacias</v>
      </c>
      <c r="H453" s="3" t="str">
        <f>IFERROR(__xludf.DUMMYFUNCTION("GOOGLETRANSLATE(D453)")," Os tecidos usados ​​como sedas são muito fortes, com algumas doações e flexibilidade. O tecido é de 2 - como lycra de poliéster esticar ou nylon tricot. A largura varia dependendo da rotina e do acrobata. O tecido é geralmente bastante longo, pois é dobr"&amp;"ado para montar, dando ao acrobata duas tiras de tecido para trabalhar.")</f>
        <v> Os tecidos usados ​​como sedas são muito fortes, com algumas doações e flexibilidade. O tecido é de 2 - como lycra de poliéster esticar ou nylon tricot. A largura varia dependendo da rotina e do acrobata. O tecido é geralmente bastante longo, pois é dobrado para montar, dando ao acrobata duas tiras de tecido para trabalhar.</v>
      </c>
      <c r="I453" s="3" t="str">
        <f>IFERROR(__xludf.DUMMYFUNCTION("GOOGLETRANSLATE(E453)"),"acrobata")</f>
        <v>acrobata</v>
      </c>
    </row>
    <row r="454" ht="15.75" customHeight="1">
      <c r="A454" s="1">
        <v>452.0</v>
      </c>
      <c r="B454" s="3" t="s">
        <v>1667</v>
      </c>
      <c r="C454" s="3" t="s">
        <v>1668</v>
      </c>
      <c r="D454" s="3" t="s">
        <v>1669</v>
      </c>
      <c r="E454" s="3" t="s">
        <v>1670</v>
      </c>
      <c r="F454" s="3" t="str">
        <f>IFERROR(__xludf.DUMMYFUNCTION("GOOGLETRANSLATE(B454)")," Lista de personagens de Tom e Jerry")</f>
        <v> Lista de personagens de Tom e Jerry</v>
      </c>
      <c r="G454" s="3" t="str">
        <f>IFERROR(__xludf.DUMMYFUNCTION("GOOGLETRANSLATE(C454)"),"Qual é o nome do gato em Tom e Jerry")</f>
        <v>Qual é o nome do gato em Tom e Jerry</v>
      </c>
      <c r="H454" s="3" t="str">
        <f>IFERROR(__xludf.DUMMYFUNCTION("GOOGLETRANSLATE(D454)")," Tom (chamado `` Jasper '' em sua aparição de estréia) é um gato de abreviação doméstico cinza e branco. `` Tom '' é um nome genérico para um gato masculino. Ele geralmente é, mas nem sempre, retratado como vivendo uma vida confortável ou até mimada, enqu"&amp;"anto Jerry (chamado `` Jinx '' em sua aparição de estréia) é um pequeno rato caseiro que sempre vive próximo a Tom. Apesar de ser muito enérgico, determinado e muito maior, Tom não é páreo para o juiz de Jerry. Jerry também possui força surpreendente para"&amp;" seu tamanho, aproximadamente o equivalente a Tom, levantando itens como bigornas com relativa facilidade e sucastado impactos consideráveis. Embora os gatos normalmente perseguem ratos para consumi -los, é bastante raro Tom realmente tentar consumir Jerr"&amp;"y. A maioria de suas tentativas é apenas atormentar ou humilhar Jerry, às vezes em vingança, e às vezes para obter uma recompensa de um humano por pegar Jerry. Pelo final `` desaparecer - fora de cada desenho animado, Jerry geralmente emerge triunfante, e"&amp;"nquanto Tom é mostrado como o perdedor.")</f>
        <v> Tom (chamado `` Jasper '' em sua aparição de estréia) é um gato de abreviação doméstico cinza e branco. `` Tom '' é um nome genérico para um gato masculino. Ele geralmente é, mas nem sempre, retratado como vivendo uma vida confortável ou até mimada, enquanto Jerry (chamado `` Jinx '' em sua aparição de estréia) é um pequeno rato caseiro que sempre vive próximo a Tom. Apesar de ser muito enérgico, determinado e muito maior, Tom não é páreo para o juiz de Jerry. Jerry também possui força surpreendente para seu tamanho, aproximadamente o equivalente a Tom, levantando itens como bigornas com relativa facilidade e sucastado impactos consideráveis. Embora os gatos normalmente perseguem ratos para consumi -los, é bastante raro Tom realmente tentar consumir Jerry. A maioria de suas tentativas é apenas atormentar ou humilhar Jerry, às vezes em vingança, e às vezes para obter uma recompensa de um humano por pegar Jerry. Pelo final `` desaparecer - fora de cada desenho animado, Jerry geralmente emerge triunfante, enquanto Tom é mostrado como o perdedor.</v>
      </c>
      <c r="I454" s="3" t="str">
        <f>IFERROR(__xludf.DUMMYFUNCTION("GOOGLETRANSLATE(E454)"),"Tom")</f>
        <v>Tom</v>
      </c>
    </row>
    <row r="455" ht="15.75" customHeight="1">
      <c r="A455" s="1">
        <v>453.0</v>
      </c>
      <c r="B455" s="3" t="s">
        <v>1671</v>
      </c>
      <c r="C455" s="3" t="s">
        <v>1672</v>
      </c>
      <c r="D455" s="3" t="s">
        <v>1673</v>
      </c>
      <c r="E455" s="3" t="s">
        <v>1674</v>
      </c>
      <c r="F455" s="3" t="str">
        <f>IFERROR(__xludf.DUMMYFUNCTION("GOOGLETRANSLATE(B455)")," Eu só posso imaginar (filme)")</f>
        <v> Eu só posso imaginar (filme)</v>
      </c>
      <c r="G455" s="3" t="str">
        <f>IFERROR(__xludf.DUMMYFUNCTION("GOOGLETRANSLATE(C455)"),"Quando o filme que eu só posso imaginar saiu")</f>
        <v>Quando o filme que eu só posso imaginar saiu</v>
      </c>
      <c r="H455" s="3" t="str">
        <f>IFERROR(__xludf.DUMMYFUNCTION("GOOGLETRANSLATE(D455)"),"   I Can Only Imagine     Theatrical release poster     Directed by   Erwin Brothers     Produced by     Cindy Bond   Kevin Downes   Daryl Lefever   Mickey Liddell   Pete Shilaimon   Raymond Harris   Joe Knopp       Screenplay by     Jon Erwin   Brent McC"&amp;"orkle       Story by     Alex Cramer   Jon Erwin   Brent McCorkle       Based on   The life story of Bart Millard     Starring J. Michael Finley Madeline Carroll Trace Adkins Priscilla Shirer Cloris Leachman Dennis Quaid Tanya Clarke Música da cinematogra"&amp;"fia Brent McCorkle Kristopher Kimlin editada por Andrew Erwin Brent Brent McCorkle Production Companies Kevin Downes Productions Mission Pictures distribuídos pela Lionsgate ROADATRACTRACTTiotes Librar - 03 - 16) Tempo de execução 110 minutos País do país"&amp;" Estados Unidos Orçamento inglês $ 7 milhões bilheteria $ 85,4 milhões")</f>
        <v>   I Can Only Imagine     Theatrical release poster     Directed by   Erwin Brothers     Produced by     Cindy Bond   Kevin Downes   Daryl Lefever   Mickey Liddell   Pete Shilaimon   Raymond Harris   Joe Knopp       Screenplay by     Jon Erwin   Brent McCorkle       Story by     Alex Cramer   Jon Erwin   Brent McCorkle       Based on   The life story of Bart Millard     Starring J. Michael Finley Madeline Carroll Trace Adkins Priscilla Shirer Cloris Leachman Dennis Quaid Tanya Clarke Música da cinematografia Brent McCorkle Kristopher Kimlin editada por Andrew Erwin Brent Brent McCorkle Production Companies Kevin Downes Productions Mission Pictures distribuídos pela Lionsgate ROADATRACTRACTTiotes Librar - 03 - 16) Tempo de execução 110 minutos País do país Estados Unidos Orçamento inglês $ 7 milhões bilheteria $ 85,4 milhões</v>
      </c>
      <c r="I455" s="3" t="str">
        <f>IFERROR(__xludf.DUMMYFUNCTION("GOOGLETRANSLATE(E455)"),"16 de março de 2018")</f>
        <v>16 de março de 2018</v>
      </c>
    </row>
    <row r="456" ht="15.75" customHeight="1">
      <c r="A456" s="1">
        <v>454.0</v>
      </c>
      <c r="B456" s="3" t="s">
        <v>1675</v>
      </c>
      <c r="C456" s="3" t="s">
        <v>1676</v>
      </c>
      <c r="D456" s="3" t="s">
        <v>1677</v>
      </c>
      <c r="F456" s="3" t="str">
        <f>IFERROR(__xludf.DUMMYFUNCTION("GOOGLETRANSLATE(B456)")," Aliados da Segunda Guerra Mundial")</f>
        <v> Aliados da Segunda Guerra Mundial</v>
      </c>
      <c r="G456" s="3" t="str">
        <f>IFERROR(__xludf.DUMMYFUNCTION("GOOGLETRANSLATE(C456)"),"que inventaram as forças aliadas na Segunda Guerra Mundial")</f>
        <v>que inventaram as forças aliadas na Segunda Guerra Mundial</v>
      </c>
      <c r="H456" s="3" t="str">
        <f>IFERROR(__xludf.DUMMYFUNCTION("GOOGLETRANSLATE(D456)")," No início da guerra, em 1 de setembro de 1939, os aliados consistiam na França, Polônia e Reino Unido, e estados dependentes, como a Índia britânica. Em poucos dias, eles se juntaram aos Domínios Independentes da Commonwealth British: Austrália, Canadá, "&amp;"Nova Zelândia e África do Sul. Após o início da invasão alemã da Europa do Norte até a campanha dos Balcãs, a Holanda, a Bélgica, a Grécia e a Iugoslávia se juntaram aos aliados. Depois de ter cooperado com a Alemanha na Polônia invasora, enquanto permane"&amp;"cendo neutro no conflito aliado do eixo, o Perforce da União Soviética se juntou aos Aliados em junho de 1941, depois de ser invadido pela Alemanha. Os Estados Unidos forneceram material de guerra e dinheiro o tempo todo, e ingressaram oficialmente em dez"&amp;"embro de 1941, após o ataque japonês a Pearl Harbor. A China já estava em uma guerra prolongada com o Japão desde o incidente da ponte Lugou de 1937, mas ingressou oficialmente nos aliados em 1941.")</f>
        <v> No início da guerra, em 1 de setembro de 1939, os aliados consistiam na França, Polônia e Reino Unido, e estados dependentes, como a Índia britânica. Em poucos dias, eles se juntaram aos Domínios Independentes da Commonwealth British: Austrália, Canadá, Nova Zelândia e África do Sul. Após o início da invasão alemã da Europa do Norte até a campanha dos Balcãs, a Holanda, a Bélgica, a Grécia e a Iugoslávia se juntaram aos aliados. Depois de ter cooperado com a Alemanha na Polônia invasora, enquanto permanecendo neutro no conflito aliado do eixo, o Perforce da União Soviética se juntou aos Aliados em junho de 1941, depois de ser invadido pela Alemanha. Os Estados Unidos forneceram material de guerra e dinheiro o tempo todo, e ingressaram oficialmente em dezembro de 1941, após o ataque japonês a Pearl Harbor. A China já estava em uma guerra prolongada com o Japão desde o incidente da ponte Lugou de 1937, mas ingressou oficialmente nos aliados em 1941.</v>
      </c>
      <c r="I456" s="3" t="str">
        <f>IFERROR(__xludf.DUMMYFUNCTION("GOOGLETRANSLATE(E456)"),"#VALUE!")</f>
        <v>#VALUE!</v>
      </c>
    </row>
    <row r="457" ht="15.75" customHeight="1">
      <c r="A457" s="1">
        <v>455.0</v>
      </c>
      <c r="B457" s="3" t="s">
        <v>1678</v>
      </c>
      <c r="C457" s="3" t="s">
        <v>1679</v>
      </c>
      <c r="D457" s="3" t="s">
        <v>1680</v>
      </c>
      <c r="E457" s="3" t="s">
        <v>1681</v>
      </c>
      <c r="F457" s="3" t="str">
        <f>IFERROR(__xludf.DUMMYFUNCTION("GOOGLETRANSLATE(B457)")," Mystic River (filme)")</f>
        <v> Mystic River (filme)</v>
      </c>
      <c r="G457" s="3" t="str">
        <f>IFERROR(__xludf.DUMMYFUNCTION("GOOGLETRANSLATE(C457)"),"que matou Katie no filme Mystic River")</f>
        <v>que matou Katie no filme Mystic River</v>
      </c>
      <c r="H457" s="3" t="str">
        <f>IFERROR(__xludf.DUMMYFUNCTION("GOOGLETRANSLATE(D457)")," Jimmy e seus amigos ficam bêbados em um bar local. Quando Dave sai do bar, os homens o seguem. Jimmy diz a Dave que ele atirou em `` Just Ray '' Harris no mesmo local portá -lo e mandá -lo para a prisão. Jimmy informa a Dave que sua esposa pensa que assa"&amp;"ssinou Katie e diz a Dave que ele o deixará viver se confessa. Dave diz repetidamente a Jimmy que ele matou alguém, mas não foi Katie: ele espancou um molestador de crianças até a morte depois de encontrá -lo fazendo sexo com uma prostituta infantil em um"&amp;" carro. Jimmy não acredita na reivindicação de Dave e o ameaça com uma faca. Quando Dave finalmente admite matar Katie pensando que ele pode escapar com sua vida, Jimmy o mata e descarta seu corpo no rio místico adjacente.")</f>
        <v> Jimmy e seus amigos ficam bêbados em um bar local. Quando Dave sai do bar, os homens o seguem. Jimmy diz a Dave que ele atirou em `` Just Ray '' Harris no mesmo local portá -lo e mandá -lo para a prisão. Jimmy informa a Dave que sua esposa pensa que assassinou Katie e diz a Dave que ele o deixará viver se confessa. Dave diz repetidamente a Jimmy que ele matou alguém, mas não foi Katie: ele espancou um molestador de crianças até a morte depois de encontrá -lo fazendo sexo com uma prostituta infantil em um carro. Jimmy não acredita na reivindicação de Dave e o ameaça com uma faca. Quando Dave finalmente admite matar Katie pensando que ele pode escapar com sua vida, Jimmy o mata e descarta seu corpo no rio místico adjacente.</v>
      </c>
      <c r="I457" s="3" t="str">
        <f>IFERROR(__xludf.DUMMYFUNCTION("GOOGLETRANSLATE(E457)"),"Dave")</f>
        <v>Dave</v>
      </c>
    </row>
    <row r="458" ht="15.75" customHeight="1">
      <c r="A458" s="1">
        <v>456.0</v>
      </c>
      <c r="B458" s="3" t="s">
        <v>1682</v>
      </c>
      <c r="C458" s="3" t="s">
        <v>1683</v>
      </c>
      <c r="D458" s="3" t="s">
        <v>1684</v>
      </c>
      <c r="E458" s="3" t="s">
        <v>1685</v>
      </c>
      <c r="F458" s="3" t="str">
        <f>IFERROR(__xludf.DUMMYFUNCTION("GOOGLETRANSLATE(B458)")," O patrulheiro")</f>
        <v> O patrulheiro</v>
      </c>
      <c r="G458" s="3" t="str">
        <f>IFERROR(__xludf.DUMMYFUNCTION("GOOGLETRANSLATE(C458)"),"Em que álbum de Iron Maiden é o soldado")</f>
        <v>Em que álbum de Iron Maiden é o soldado</v>
      </c>
      <c r="H458" s="3" t="str">
        <f>IFERROR(__xludf.DUMMYFUNCTION("GOOGLETRANSLATE(D458)")," `` The Trooper '' é uma música da banda de heavy metal inglês Iron Maiden. Foi lançado como o segundo single em 20 de junho de 1983 do quarto álbum de estúdio da banda, Piece of Mind (1983). Foi uma das poucas músicas para obter muito airplay de rádio no"&amp;"s EUA, chegando ao 28º lugar nas paradas de rock dos EUA. Também alcançou sucesso no Reino Unido, chegando ao 12º lugar nas paradas de singles do Reino Unido, além de ganhar uma recepção muito melhor do que o single anterior da banda, `` Flight of Icarus "&amp;"''.")</f>
        <v> `` The Trooper '' é uma música da banda de heavy metal inglês Iron Maiden. Foi lançado como o segundo single em 20 de junho de 1983 do quarto álbum de estúdio da banda, Piece of Mind (1983). Foi uma das poucas músicas para obter muito airplay de rádio nos EUA, chegando ao 28º lugar nas paradas de rock dos EUA. Também alcançou sucesso no Reino Unido, chegando ao 12º lugar nas paradas de singles do Reino Unido, além de ganhar uma recepção muito melhor do que o single anterior da banda, `` Flight of Icarus ''.</v>
      </c>
      <c r="I458" s="3" t="str">
        <f>IFERROR(__xludf.DUMMYFUNCTION("GOOGLETRANSLATE(E458)"),"Pedaço de espírito")</f>
        <v>Pedaço de espírito</v>
      </c>
    </row>
    <row r="459" ht="15.75" customHeight="1">
      <c r="A459" s="1">
        <v>457.0</v>
      </c>
      <c r="B459" s="3" t="s">
        <v>1686</v>
      </c>
      <c r="C459" s="3" t="s">
        <v>1687</v>
      </c>
      <c r="D459" s="3" t="s">
        <v>1688</v>
      </c>
      <c r="E459" s="3" t="s">
        <v>1689</v>
      </c>
      <c r="F459" s="3" t="str">
        <f>IFERROR(__xludf.DUMMYFUNCTION("GOOGLETRANSLATE(B459)")," Batendo na porta do céu")</f>
        <v> Batendo na porta do céu</v>
      </c>
      <c r="G459" s="3" t="str">
        <f>IFERROR(__xludf.DUMMYFUNCTION("GOOGLETRANSLATE(C459)"),"quem escreveu a música batendo na porta do céu")</f>
        <v>quem escreveu a música batendo na porta do céu</v>
      </c>
      <c r="H459" s="3" t="str">
        <f>IFERROR(__xludf.DUMMYFUNCTION("GOOGLETRANSLATE(D459)")," `` Knockin 'on Heaven' São '' é uma música escrita e cantada por Bob Dylan, para a trilha sonora do filme de 1973 Pat Garrett e Billy the Kid. Lançado como single, alcançou o 12º lugar na parada de singles Hot 100 Billboard. Descrito pelo biógrafo de Dyl"&amp;"an Clinton Heylin como `` um exercício de esplêndida simplicidade '', a música, medida simplesmente em termos do número de outros artistas que o cobriram, é uma das composições mais populares dos pós-1960 de Dylan.")</f>
        <v> `` Knockin 'on Heaven' São '' é uma música escrita e cantada por Bob Dylan, para a trilha sonora do filme de 1973 Pat Garrett e Billy the Kid. Lançado como single, alcançou o 12º lugar na parada de singles Hot 100 Billboard. Descrito pelo biógrafo de Dylan Clinton Heylin como `` um exercício de esplêndida simplicidade '', a música, medida simplesmente em termos do número de outros artistas que o cobriram, é uma das composições mais populares dos pós-1960 de Dylan.</v>
      </c>
      <c r="I459" s="3" t="str">
        <f>IFERROR(__xludf.DUMMYFUNCTION("GOOGLETRANSLATE(E459)"),"Bob Dylan")</f>
        <v>Bob Dylan</v>
      </c>
    </row>
    <row r="460" ht="15.75" customHeight="1">
      <c r="A460" s="1">
        <v>458.0</v>
      </c>
      <c r="B460" s="3" t="s">
        <v>1690</v>
      </c>
      <c r="C460" s="3" t="s">
        <v>1691</v>
      </c>
      <c r="D460" s="3" t="s">
        <v>1692</v>
      </c>
      <c r="F460" s="3" t="str">
        <f>IFERROR(__xludf.DUMMYFUNCTION("GOOGLETRANSLATE(B460)")," Quem é quem entre os alunos do ensino médio americano")</f>
        <v> Quem é quem entre os alunos do ensino médio americano</v>
      </c>
      <c r="G460" s="3" t="str">
        <f>IFERROR(__xludf.DUMMYFUNCTION("GOOGLETRANSLATE(C460)"),"O que é quem entre os alunos do ensino médio americano")</f>
        <v>O que é quem entre os alunos do ensino médio americano</v>
      </c>
      <c r="H460" s="3" t="str">
        <f>IFERROR(__xludf.DUMMYFUNCTION("GOOGLETRANSLATE(D460)")," Quem é quem entre os alunos do ensino médio americano era um site e publicação (de propriedade e gerenciado pela Educational Communications Inc.) que listou o que considerou ser estudantes do ensino médio `` que se destacaram em acadêmicos, atividades ex"&amp;"tracurriculares e serviço comunitário. '' Agora está fechado devido à falência.")</f>
        <v> Quem é quem entre os alunos do ensino médio americano era um site e publicação (de propriedade e gerenciado pela Educational Communications Inc.) que listou o que considerou ser estudantes do ensino médio `` que se destacaram em acadêmicos, atividades extracurriculares e serviço comunitário. '' Agora está fechado devido à falência.</v>
      </c>
      <c r="I460" s="3" t="str">
        <f>IFERROR(__xludf.DUMMYFUNCTION("GOOGLETRANSLATE(E460)"),"#VALUE!")</f>
        <v>#VALUE!</v>
      </c>
    </row>
    <row r="461" ht="15.75" customHeight="1">
      <c r="A461" s="1">
        <v>459.0</v>
      </c>
      <c r="B461" s="3" t="s">
        <v>1693</v>
      </c>
      <c r="C461" s="3" t="s">
        <v>1694</v>
      </c>
      <c r="D461" s="3" t="s">
        <v>1695</v>
      </c>
      <c r="F461" s="3" t="str">
        <f>IFERROR(__xludf.DUMMYFUNCTION("GOOGLETRANSLATE(B461)")," Faringite estreptocócica")</f>
        <v> Faringite estreptocócica</v>
      </c>
      <c r="G461" s="3" t="str">
        <f>IFERROR(__xludf.DUMMYFUNCTION("GOOGLETRANSLATE(C461)"),"De onde vem as bactérias que causam a garganta Strep")</f>
        <v>De onde vem as bactérias que causam a garganta Strep</v>
      </c>
      <c r="H461" s="3" t="str">
        <f>IFERROR(__xludf.DUMMYFUNCTION("GOOGLETRANSLATE(D461)")," A garganta da estreita é causada pelo grupo beta do grupo A - estreptococcus hemolítico (gás ou S. pyogenes). Outras bactérias como o não - Grupo A beta - estreptococos hemolíticos e fusobacterium também podem causar faringite. É espalhado por contato di"&amp;"reto e próximo com uma pessoa infectada; Assim, a aglomeração, como pode ser encontrado nas forças armadas e nas escolas, aumenta a taxa de transmissão. As bactérias secas em poeira não são infecciosas, embora bactérias úmidas em escovas de dentes ou iten"&amp;"s semelhantes possam persistir por até quinze dias. Alimentos contaminados podem resultar em surtos, mas isso é raro. Das crianças sem sinais ou sintomas, 12 % carregam gás na faringe e, após o tratamento, aproximadamente 15 % deles permanecem positivos e"&amp;" são verdadeiros `` portadores ''.")</f>
        <v> A garganta da estreita é causada pelo grupo beta do grupo A - estreptococcus hemolítico (gás ou S. pyogenes). Outras bactérias como o não - Grupo A beta - estreptococos hemolíticos e fusobacterium também podem causar faringite. É espalhado por contato direto e próximo com uma pessoa infectada; Assim, a aglomeração, como pode ser encontrado nas forças armadas e nas escolas, aumenta a taxa de transmissão. As bactérias secas em poeira não são infecciosas, embora bactérias úmidas em escovas de dentes ou itens semelhantes possam persistir por até quinze dias. Alimentos contaminados podem resultar em surtos, mas isso é raro. Das crianças sem sinais ou sintomas, 12 % carregam gás na faringe e, após o tratamento, aproximadamente 15 % deles permanecem positivos e são verdadeiros `` portadores ''.</v>
      </c>
      <c r="I461" s="3" t="str">
        <f>IFERROR(__xludf.DUMMYFUNCTION("GOOGLETRANSLATE(E461)"),"#VALUE!")</f>
        <v>#VALUE!</v>
      </c>
    </row>
    <row r="462" ht="15.75" customHeight="1">
      <c r="A462" s="1">
        <v>460.0</v>
      </c>
      <c r="B462" s="3" t="s">
        <v>1696</v>
      </c>
      <c r="C462" s="3" t="s">
        <v>1697</v>
      </c>
      <c r="D462" s="3" t="s">
        <v>1698</v>
      </c>
      <c r="F462" s="3" t="str">
        <f>IFERROR(__xludf.DUMMYFUNCTION("GOOGLETRANSLATE(B462)")," Jason Thompson (ator)")</f>
        <v> Jason Thompson (ator)</v>
      </c>
      <c r="G462" s="3" t="str">
        <f>IFERROR(__xludf.DUMMYFUNCTION("GOOGLETRANSLATE(C462)"),"que interpreta Billy em Young e o inquieto")</f>
        <v>que interpreta Billy em Young e o inquieto</v>
      </c>
      <c r="H462" s="3" t="str">
        <f>IFERROR(__xludf.DUMMYFUNCTION("GOOGLETRANSLATE(D462)")," Em dezembro de 2015, foi anunciado que Thompson se juntaria aos jovens e inquietos como Billy Abbott; Ele começou a aparecer em 10 de janeiro de 2016.")</f>
        <v> Em dezembro de 2015, foi anunciado que Thompson se juntaria aos jovens e inquietos como Billy Abbott; Ele começou a aparecer em 10 de janeiro de 2016.</v>
      </c>
      <c r="I462" s="3" t="str">
        <f>IFERROR(__xludf.DUMMYFUNCTION("GOOGLETRANSLATE(E462)"),"#VALUE!")</f>
        <v>#VALUE!</v>
      </c>
    </row>
    <row r="463" ht="15.75" customHeight="1">
      <c r="A463" s="1">
        <v>461.0</v>
      </c>
      <c r="B463" s="3" t="s">
        <v>1699</v>
      </c>
      <c r="C463" s="3" t="s">
        <v>1700</v>
      </c>
      <c r="D463" s="3" t="s">
        <v>1701</v>
      </c>
      <c r="E463" s="3" t="s">
        <v>1702</v>
      </c>
      <c r="F463" s="3" t="str">
        <f>IFERROR(__xludf.DUMMYFUNCTION("GOOGLETRANSLATE(B463)")," A estrela - banner spangled")</f>
        <v> A estrela - banner spangled</v>
      </c>
      <c r="G463" s="3" t="str">
        <f>IFERROR(__xludf.DUMMYFUNCTION("GOOGLETRANSLATE(C463)"),"Onde estava o autor quando ele escreveu a bandeira Star Spangled")</f>
        <v>Onde estava o autor quando ele escreveu a bandeira Star Spangled</v>
      </c>
      <c r="H463" s="3" t="str">
        <f>IFERROR(__xludf.DUMMYFUNCTION("GOOGLETRANSLATE(D463)")," `` The Star - Banner Spangled '' é o hino nacional dos Estados Unidos da América. A letra vem de `` Defense of Fort M'Henry '', um poema escrito em 14 de setembro de 1814, no 35 ano - advogado e poeta amador Francis Scott Key depois de testemunhar o bomb"&amp;"ardeio de Fort McHenry por navios britânicos do The the Marinha Real em Baltimore Harbor durante a Batalha de Baltimore na Guerra de 1812. Key foi inspirado pela grande bandeira americana, a estrela - Banner Spangled, voando triunfantemente acima do forte"&amp;" durante a vitória americana.")</f>
        <v> `` The Star - Banner Spangled '' é o hino nacional dos Estados Unidos da América. A letra vem de `` Defense of Fort M'Henry '', um poema escrito em 14 de setembro de 1814, no 35 ano - advogado e poeta amador Francis Scott Key depois de testemunhar o bombardeio de Fort McHenry por navios britânicos do The the Marinha Real em Baltimore Harbor durante a Batalha de Baltimore na Guerra de 1812. Key foi inspirado pela grande bandeira americana, a estrela - Banner Spangled, voando triunfantemente acima do forte durante a vitória americana.</v>
      </c>
      <c r="I463" s="3" t="str">
        <f>IFERROR(__xludf.DUMMYFUNCTION("GOOGLETRANSLATE(E463)"),"Fort McHenry")</f>
        <v>Fort McHenry</v>
      </c>
    </row>
    <row r="464" ht="15.75" customHeight="1">
      <c r="A464" s="1">
        <v>462.0</v>
      </c>
      <c r="B464" s="3" t="s">
        <v>1703</v>
      </c>
      <c r="C464" s="3" t="s">
        <v>1704</v>
      </c>
      <c r="D464" s="3" t="s">
        <v>1705</v>
      </c>
      <c r="E464" s="3" t="s">
        <v>1706</v>
      </c>
      <c r="F464" s="3" t="str">
        <f>IFERROR(__xludf.DUMMYFUNCTION("GOOGLETRANSLATE(B464)")," Pagode japonês")</f>
        <v> Pagode japonês</v>
      </c>
      <c r="G464" s="3" t="str">
        <f>IFERROR(__xludf.DUMMYFUNCTION("GOOGLETRANSLATE(C464)"),"A razão pela qual os telhados de pagode japoneses diminuem em tamanho")</f>
        <v>A razão pela qual os telhados de pagode japoneses diminuem em tamanho</v>
      </c>
      <c r="H464" s="3" t="str">
        <f>IFERROR(__xludf.DUMMYFUNCTION("GOOGLETRANSLATE(D464)")," A borda dos beirais de um pagode forma uma linha reta, com cada borda seguinte sendo mais curta que a outra. Quanto mais diferença de comprimento (um parâmetro chamado Teigen (逓減 逓減, diminuição gradual) em japonês) entre as histórias, mais sólido e segur"&amp;"o o pagode parece ser. Teigen e o finial são maiores em pagodes mais antigos, dando -lhes uma sensação de solidez. Vice -versa, os pagodes recentes tendem a ser mais íngremes e têm finials mais curtos, criando silhuetas de sovelter.")</f>
        <v> A borda dos beirais de um pagode forma uma linha reta, com cada borda seguinte sendo mais curta que a outra. Quanto mais diferença de comprimento (um parâmetro chamado Teigen (逓減 逓減, diminuição gradual) em japonês) entre as histórias, mais sólido e seguro o pagode parece ser. Teigen e o finial são maiores em pagodes mais antigos, dando -lhes uma sensação de solidez. Vice -versa, os pagodes recentes tendem a ser mais íngremes e têm finials mais curtos, criando silhuetas de sovelter.</v>
      </c>
      <c r="I464" s="3" t="str">
        <f>IFERROR(__xludf.DUMMYFUNCTION("GOOGLETRANSLATE(E464)"),"quanto mais sólido e seguro, o pagode parece ser")</f>
        <v>quanto mais sólido e seguro, o pagode parece ser</v>
      </c>
    </row>
    <row r="465" ht="15.75" customHeight="1">
      <c r="A465" s="1">
        <v>463.0</v>
      </c>
      <c r="B465" s="3" t="s">
        <v>1707</v>
      </c>
      <c r="C465" s="3" t="s">
        <v>1708</v>
      </c>
      <c r="D465" s="3" t="s">
        <v>1709</v>
      </c>
      <c r="E465" s="3" t="s">
        <v>1710</v>
      </c>
      <c r="F465" s="3" t="str">
        <f>IFERROR(__xludf.DUMMYFUNCTION("GOOGLETRANSLATE(B465)")," Sol da meia Noite")</f>
        <v> Sol da meia Noite</v>
      </c>
      <c r="G465" s="3" t="str">
        <f>IFERROR(__xludf.DUMMYFUNCTION("GOOGLETRANSLATE(C465)"),"Quando o círculo ártico recebe 24 horas de luz do dia")</f>
        <v>Quando o círculo ártico recebe 24 horas de luz do dia</v>
      </c>
      <c r="H465" s="3" t="str">
        <f>IFERROR(__xludf.DUMMYFUNCTION("GOOGLETRANSLATE(D465)")," O sol da meia -noite é um fenômeno natural que ocorre nos meses de verão em locais ao norte do círculo ártico ou ao sul do círculo antártico, quando o sol permanece visível na meia -noite local.")</f>
        <v> O sol da meia -noite é um fenômeno natural que ocorre nos meses de verão em locais ao norte do círculo ártico ou ao sul do círculo antártico, quando o sol permanece visível na meia -noite local.</v>
      </c>
      <c r="I465" s="3" t="str">
        <f>IFERROR(__xludf.DUMMYFUNCTION("GOOGLETRANSLATE(E465)"),"Nos meses de verão")</f>
        <v>Nos meses de verão</v>
      </c>
    </row>
    <row r="466" ht="15.75" customHeight="1">
      <c r="A466" s="1">
        <v>464.0</v>
      </c>
      <c r="B466" s="3" t="s">
        <v>1711</v>
      </c>
      <c r="C466" s="3" t="s">
        <v>1712</v>
      </c>
      <c r="D466" s="3" t="s">
        <v>1713</v>
      </c>
      <c r="F466" s="3" t="str">
        <f>IFERROR(__xludf.DUMMYFUNCTION("GOOGLETRANSLATE(B466)")," Coronel Bogey março")</f>
        <v> Coronel Bogey março</v>
      </c>
      <c r="G466" s="3" t="str">
        <f>IFERROR(__xludf.DUMMYFUNCTION("GOOGLETRANSLATE(C466)"),"Qual é a música que eles assobiam no clube de café da manhã")</f>
        <v>Qual é a música que eles assobiam no clube de café da manhã</v>
      </c>
      <c r="H466" s="3" t="str">
        <f>IFERROR(__xludf.DUMMYFUNCTION("GOOGLETRANSLATE(D466)")," A música tem sido usada em mais de quarenta filmes, incluindo The Love Race (1931), The Lady Vanishes (1938), o mouse que Roeded (1959), The Parent Trap (1961) e The Breakfast Club (1985).")</f>
        <v> A música tem sido usada em mais de quarenta filmes, incluindo The Love Race (1931), The Lady Vanishes (1938), o mouse que Roeded (1959), The Parent Trap (1961) e The Breakfast Club (1985).</v>
      </c>
      <c r="I466" s="3" t="str">
        <f>IFERROR(__xludf.DUMMYFUNCTION("GOOGLETRANSLATE(E466)"),"#VALUE!")</f>
        <v>#VALUE!</v>
      </c>
    </row>
    <row r="467" ht="15.75" customHeight="1">
      <c r="A467" s="1">
        <v>465.0</v>
      </c>
      <c r="B467" s="3" t="s">
        <v>1714</v>
      </c>
      <c r="C467" s="3" t="s">
        <v>1715</v>
      </c>
      <c r="D467" s="3" t="s">
        <v>1716</v>
      </c>
      <c r="E467" s="3" t="s">
        <v>1717</v>
      </c>
      <c r="F467" s="3" t="str">
        <f>IFERROR(__xludf.DUMMYFUNCTION("GOOGLETRANSLATE(B467)")," Reação do acrossoma")</f>
        <v> Reação do acrossoma</v>
      </c>
      <c r="G467" s="3" t="str">
        <f>IFERROR(__xludf.DUMMYFUNCTION("GOOGLETRANSLATE(C467)"),"O que o acrossoma faz em uma célula espermática")</f>
        <v>O que o acrossoma faz em uma célula espermática</v>
      </c>
      <c r="H467" s="3" t="str">
        <f>IFERROR(__xludf.DUMMYFUNCTION("GOOGLETRANSLATE(D467)")," Nos mamíferos, a reação do acrossoma libera haluronidase e acrosina; Seu papel na fertilização ainda não está claro. A reação acrossomal não começa até que o esperma entre em contato com a zona pelúcida do oócito. Ao entrar em contato com a Zona Pellucid"&amp;"a, as enzimas acosomais começam a se dissolver e o filamento de actina entra em contato com a Zona Pellucida. Uma vez que os dois se encontram, ocorre um influxo de cálcio, causando uma cascata de sinalização. Os grânulos corticais dentro do oócito se fun"&amp;"dem na membrana externa e ocorre uma reação de bloco rápido transitório.")</f>
        <v> Nos mamíferos, a reação do acrossoma libera haluronidase e acrosina; Seu papel na fertilização ainda não está claro. A reação acrossomal não começa até que o esperma entre em contato com a zona pelúcida do oócito. Ao entrar em contato com a Zona Pellucida, as enzimas acosomais começam a se dissolver e o filamento de actina entra em contato com a Zona Pellucida. Uma vez que os dois se encontram, ocorre um influxo de cálcio, causando uma cascata de sinalização. Os grânulos corticais dentro do oócito se fundem na membrana externa e ocorre uma reação de bloco rápido transitório.</v>
      </c>
      <c r="I467" s="3" t="str">
        <f>IFERROR(__xludf.DUMMYFUNCTION("GOOGLETRANSLATE(E467)"),"libera hialuronidase e acrosina")</f>
        <v>libera hialuronidase e acrosina</v>
      </c>
    </row>
    <row r="468" ht="15.75" customHeight="1">
      <c r="A468" s="1">
        <v>466.0</v>
      </c>
      <c r="B468" s="3" t="s">
        <v>1718</v>
      </c>
      <c r="C468" s="3" t="s">
        <v>1719</v>
      </c>
      <c r="D468" s="3" t="s">
        <v>1720</v>
      </c>
      <c r="E468" s="3" t="s">
        <v>1721</v>
      </c>
      <c r="F468" s="3" t="str">
        <f>IFERROR(__xludf.DUMMYFUNCTION("GOOGLETRANSLATE(B468)")," O Coringa (o Cavaleiro das Trevas)")</f>
        <v> O Coringa (o Cavaleiro das Trevas)</v>
      </c>
      <c r="G468" s="3" t="str">
        <f>IFERROR(__xludf.DUMMYFUNCTION("GOOGLETRANSLATE(C468)"),"Qual era o plano de Joker no Cavaleiro das Trevas")</f>
        <v>Qual era o plano de Joker no Cavaleiro das Trevas</v>
      </c>
      <c r="H468" s="3" t="str">
        <f>IFERROR(__xludf.DUMMYFUNCTION("GOOGLETRANSLATE(D468)")," A interpretação do filme do Coringa incorpora temas de caos, anarquia e obsessão: ao longo do filme, o personagem expressa um desejo de perturbar a ordem social através do crime e se define por seu conflito com Batman. O personagem também explora técnica"&amp;"s encontradas nas apresentações anteriores de Ledger, incluindo seu ato de palhaço no filme de fantasia de Terry Gilliam, The Brothers Grimm. Além disso, faz referência a pinturas do artista Francis Bacon, o romance de Anthony Burgess, A Clockwork Orange "&amp;"e vários músicos de rock punk.")</f>
        <v> A interpretação do filme do Coringa incorpora temas de caos, anarquia e obsessão: ao longo do filme, o personagem expressa um desejo de perturbar a ordem social através do crime e se define por seu conflito com Batman. O personagem também explora técnicas encontradas nas apresentações anteriores de Ledger, incluindo seu ato de palhaço no filme de fantasia de Terry Gilliam, The Brothers Grimm. Além disso, faz referência a pinturas do artista Francis Bacon, o romance de Anthony Burgess, A Clockwork Orange e vários músicos de rock punk.</v>
      </c>
      <c r="I468" s="3" t="str">
        <f>IFERROR(__xludf.DUMMYFUNCTION("GOOGLETRANSLATE(E468)"),"para perturbar a ordem social através do crime")</f>
        <v>para perturbar a ordem social através do crime</v>
      </c>
    </row>
    <row r="469" ht="15.75" customHeight="1">
      <c r="A469" s="1">
        <v>467.0</v>
      </c>
      <c r="B469" s="3" t="s">
        <v>1722</v>
      </c>
      <c r="C469" s="3" t="s">
        <v>1723</v>
      </c>
      <c r="D469" s="3" t="s">
        <v>1724</v>
      </c>
      <c r="E469" s="3" t="s">
        <v>1725</v>
      </c>
      <c r="F469" s="3" t="str">
        <f>IFERROR(__xludf.DUMMYFUNCTION("GOOGLETRANSLATE(B469)")," Ficus religioso")</f>
        <v> Ficus religioso</v>
      </c>
      <c r="G469" s="3" t="str">
        <f>IFERROR(__xludf.DUMMYFUNCTION("GOOGLETRANSLATE(C469)"),"Qual é o nome de Arasamaram em inglês")</f>
        <v>Qual é o nome de Arasamaram em inglês</v>
      </c>
      <c r="H469" s="3" t="str">
        <f>IFERROR(__xludf.DUMMYFUNCTION("GOOGLETRANSLATE(D469)")," Ficus religioso ou figo sagrado é uma espécie de fig nativa do subcontinente indiano e da Indochina. Pertence às Moraceae, a família FIG ou Mulberry. Também é conhecido como árvore bodhi, árvore de Pippala, árvore peepul, árvore peepal ou árvore ashwatth"&amp;"a (na Índia e no Nepal).")</f>
        <v> Ficus religioso ou figo sagrado é uma espécie de fig nativa do subcontinente indiano e da Indochina. Pertence às Moraceae, a família FIG ou Mulberry. Também é conhecido como árvore bodhi, árvore de Pippala, árvore peepul, árvore peepal ou árvore ashwattha (na Índia e no Nepal).</v>
      </c>
      <c r="I469" s="3" t="str">
        <f>IFERROR(__xludf.DUMMYFUNCTION("GOOGLETRANSLATE(E469)"),"figo sagrado")</f>
        <v>figo sagrado</v>
      </c>
    </row>
    <row r="470" ht="15.75" customHeight="1">
      <c r="A470" s="1">
        <v>468.0</v>
      </c>
      <c r="B470" s="3" t="s">
        <v>1726</v>
      </c>
      <c r="C470" s="3" t="s">
        <v>1727</v>
      </c>
      <c r="D470" s="3" t="s">
        <v>1728</v>
      </c>
      <c r="F470" s="3" t="str">
        <f>IFERROR(__xludf.DUMMYFUNCTION("GOOGLETRANSLATE(B470)")," Lista das maiores áreas selvagens dos Estados Unidos")</f>
        <v> Lista das maiores áreas selvagens dos Estados Unidos</v>
      </c>
      <c r="G470" s="3" t="str">
        <f>IFERROR(__xludf.DUMMYFUNCTION("GOOGLETRANSLATE(C470)"),"maior área selvagem a leste do rio Mississippi")</f>
        <v>maior área selvagem a leste do rio Mississippi</v>
      </c>
      <c r="H470" s="3" t="str">
        <f>IFERROR(__xludf.DUMMYFUNCTION("GOOGLETRANSLATE(D470)"),"   Nome da área (s) da área (s) da área da região selvagem: Agência / agências de km2 localizadas inteiramente ou parcialmente em Wrangell - Saint Elias Wilderness Alaska 9.078.675 36.740.1 nps wrangell - parque nacional de St. Elias ARCELIETIENCIDENDENDE"&amp;"NDIDADE ALASSIDA 8.000.000 32,374.9 FWS ARCS ARCOUTIE BEATIDENDERNEDIDADE 8.000.000 32,374.9 Wilderness Alaska 7.167.192 29.004,6 portões NPs do Parque Nacional do Ártico Noatak Wilderness Alaska 5.765.427 23.331,9 NPS NOATAK NACIONAL PERSERVENDO MENIFICA"&amp;"ÇÃO KATMAI WORDERNENS ALASKA 3.384.358 13,696.0 NPS Katmai Katmai 44.3 NPS Death Valley National Park Glacier Bay Wilderness Alaska 2.664.876 10.784,4 NPS Glacier BAY NACIONAL LAKE Clark Wilderness Alaska 2.619.550 10.600.9 NPS LAKE Clark Parque Nacional "&amp;"Frank Church - Rio de Not Return Wilderness Idaho 2.366.757 9.577.9 FS / BLM Payette Floresta nacional / Floresta nacional nacional / Salmão Floresta nacional / Bibreotom Florestas / ROOT Florestas nacionais / florestas nacionais / florestas nacionais flo"&amp;"restas nacionais / florestas nacionais / bibliotecas Florestas nacionais Togiak Wilderness Alaska 2.274.066 9.202,8 FWS Togiak Refúgio nacional da vida selvagem FJORDS MONUMENTO NACIONAL MONUMENTO NACIONAL Alaska 2,142.442 8.670.2 FS Misty Fjords Monument"&amp;" (Floresta Nacional da Tongess)) Denali Wilder Alaska 2,2.2.10 Monuments nacional de fjords 2,3.3.3.8, nacional de fjords Monument (Floresta Nacional da finson). Alasca 1.354.247 5.480,4 FWS Kenai National Wildlife Refuge Selway - Bitterroot Wilderness   "&amp;"Idaho / Montana   1,340,502   5,424.8   FS   Nez Perce National Forest / Bitterroot National Forest / Clearwater National Forest / Lolo National Forest     Aleutian Islands Wilderness   Alaska   1,300,000   5,260.9   FWS   Aleutian Islands National Wildli"&amp;"fe Refuge     Andreafsky Wilderness   Alaska   1,300,000   5,260.9   FWS   Yukon Delta National Wildlife Refuge     Marjory Stoneman Douglas Wilderness Florida 1.296.500 5.246,7 NPS Everglades National Park Innoko Wilderness Alaska 1.240.000 5.018.1 FWS I"&amp;"nnoko National Wildlife Refuge Bob Marshall Florestão Montana 1,009 e 4,084.7 Flathall 55 3.869,8 Monumento Nacional da Ilha do Admiralty FS (Floresta Nacional Tongass) Absaroka - Beartooth Wilderness   Montana / Wyoming   943,626   3,818.7   FS   Gallati"&amp;"n National Forest / Custer National Forest / Shoshone National Forest     Unimak Wilderness   Alaska   910,000   3,682.6   FWS   Alaska Maritime National Wildlife Refuge     Olympic Wilderness   Washington   876,669   3,547.8   NPS   Olympic National Park"&amp;"     Boundary Waters Canoe Area Wilderness   Minnesota   1,090,000   4,411.1   FS Forest Superior Nacional Cabeza Prieta Adexagem Arizona 803.418 3.251,3 FWS Cabeza Prieta Nacional Refuge Refuge Sequoia - Kings Canyon Wilderness California 768.222 3,108.9"&amp;" NPS Kings Canyon National Park / Sequoia Parque nacional Yosemite Wyoming 704.274 2.850,1 FIDADE NACIONAL FS SHOSHONE Mojave Wilderness California 695.200 2.813,4 NPS Mojave National Preserve Tracy Arm - Fords Terror Wilderness Alaska 653.179 2.643.3 FS "&amp;"Tongass National Florestes John MUIRNENDENDENDENDENS CALIFORNIONCIONS 650.734 2,633 FS SIERRA SIERRA / INYO FORMURHO FORMURHOMEN MINATER MINAr. ES Parque Nacional / Lago Ross Área de Recreação Nacional / Área de Recreação Nacional de Chelan Lake Nunivak W"&amp;"ilderness Alaska 600.000 2.428.1 FWS Yukon Delta Refúgio Nacional da Vida Selvagem Joshua Árvore Wilderness California 594.502 2,405.9 NPS Joshua Tree Nacional Parque TETON Wilderness 3 2.309,0 FS WENACKEE NACIONAL FLORESTA / Mount Baker Floresta Nacional"&amp;" Gila deserto Novo México 558.014 2.258.2 FS GILA NACIONAL PASAYTEN WILDERNENTE Washington 529.477 2.142.7 FLILING NACIONAL FILIDADE / MONTH BLILIFORHA NACIONAL FS / Florestas Nacionais Florestas / Florestas Nacional Florestas / Florestas Nacional Florest"&amp;"as / Florestas Nacionais Florestas / Mount Florestas / Mount Florestas Blorerness Califórnia 525,627 27.127.127.10 Floresta nacional da Floresta Nacional de Seis Rios Arizona 516.200 2.089,0 FWS Refúgio Nacional da Vida Selvagem Kofa Weminuche Wilderness "&amp;"Colorado 488.210 1,975,7 FS HOURLIMENTES SAN JUAN FLORESTA NACIONAL / RIO Grande floresta alta Uintas Wilderness Utah 456,705 1,882.2.2.2.2.2.70 Florestas nacionais. 48.926 1.816.7 FS Tongass Nacional Bridger Bridger Wilderness Wyoming 428.087 1.732,4 FS "&amp;"Bridger Floresta Nacional Becharof Wilderness Alaska 400.000 1,618.7 FWS Becharof National Wildlife Refuge Koyukukuk Wilderness Alaska 400.000 1,618.7 ALVENDLE .2 FS Wenatchee Nacional Floresta / Snoqualmie Floresta Nacional Okefenokee Wilderness Georgia "&amp;"353.981 1.432,5 FWS OKEFENOKEE Nacional Refúgio Norte de Absaroka Dexerness Wyoming 350.488 1,418.4 FS Shoshone Nacional da floresta da floresta nacional Wilderness / Whitman Florest 350,461 1,18.3 Fs Wutlowa 350 Florestas Florestas / Florestas Florestas "&amp;"350.461 1,8.3 Fs. Floresta Nacional Baranof South Wilderness Alaska 319.568 1.293,2 FS Tongass National Forest     Gros Ventre Wilderness   Wyoming   317,874   1,286.4   FS   Teton National Forest     Black Rock Desert Wilderness   Nevada   314,829   1,27"&amp;"4.1   BLM   Black Rock Desert -- High Rock Canyon Emigrant Trails National Conservation Area     Organ Pipe Cactus Wilderness   Arizona   312,600   1,265.0   NPS   Organ Pipe Cactus National Monument     Izembek Wilderness   Alaska   307,982   1,246.4 FWS"&amp;" IZEMBEK NACIONAL VIDA SIVERNDIDA VIDA SIVERNENTE VII A VII GOLDENDERNIONCIONAL Califórnia 303.511 1.228,3 FS INYO NACIONAL FORESTA / FORMA NACIONAL DO NACIONAL TRÊS Irmãs Wilderness Oregon 286.708 1,160.3 FS Willamette Florestas nacionais da floresta 0,7"&amp;"0801660.3 Festra de floresta nacional , 328 1.081,8 BLM West Chichagof - Yakobi Wilderness Alaska 265.286 1.073,6 FS FORMA NACIONAL TONGASS LEE METCALF WILDERNENTE MONTANA 254.288 1,029.1 FS / BLM GALLATIN FLORESTA NACIONAL / BEAVERHEAD MONTANHAS BRANCAS "&amp;"BRANCAS NA Califórnia 252.577 1,022222222222222222.2, Blmen. 1,4 FLIOT NACIONAL FS TONTO / Coconino National Forest Semidi Wilderness Alaska 250.000 1.011,7 FWS Alaska Maritime National Wildlife Refúgio Rocky Mountain National Park National Wilderness Col"&amp;"orado 249.339 1,009.0 NPS Rocky Mountain National Mountains Mountains Kerlingness Califórnia 245,320 992.8 Blm / Fs Inyo Florestes Nacional da Florestidade 245.320 992.8 Blm / Fs Inyo Florde Wilderness California 240.024 971,3 FS / BLM LOS PADRES NACIONAL"&amp;" FLORESTA NACIONAL SELAWIK Wilderness Alaska 240.000 971.2 FWS Selawik National Wildlife Refuge Scakinggoat Wilderness Montana 239.936 971.0 FS Lewis e Clark National Forest / Helena Florestas Florestas / Lolo / Lolo Florestas / 971.0 Fs Lewis e Clark Nat"&amp;"ional Florestas / Lolo Florestas / Lolo Florestas / Lolo Florestas / 971.0 Fs Lewis e Clark National Florestas / Florestas Florestas / Lolo / Florestas / 971. Wilderness Colorado 235.214 951.9 FS White River Nacional Floresta Nacional / Routt Floresta Nac"&amp;"ional ANSEL Adams Wilderness California 231.533 937.0 FS / NPS Sierra Nacional Floresta / INYO Floresta Nacional / Demônios Post Monumento Nacional Rainous Rainier Washingness 228,480 924.6 NPS NPS Rainlier Rainlium 228,044   922.9   FS / NPS   San Isabel"&amp;" National Forest / Rio Grande National Forest / Great Sand Dunes National Park     Pecos Wilderness   New Mexico   223,333   903.8   FS   Santa Fe National Forest / Carson National Forest     Sespe Wilderness   California   219,700   889.1   FS   Los Padr"&amp;"es National Forest     Sawtooth Wilderness   Idaho   217,088   878.5 FS Sawtooth National Recreation Area (floresta nacional de Boise / Floresta Nacional da Floresta / Floresta Nacional de Sawtooth) Hells Canyon Wilderness Oregon / Idaho 214.944 869.8 FS "&amp;"/ BLM Hells Canyon National Recreation Area (Wallowa National Forest / Nez Perce National Forest / Payette National Florest / Whitman Whitman Floresta) Hump Gospel Wilderness Idaho 205.796 832,8 FS NEZ FORMA NACIONAL ALDO LEOPOLD VERDADENDO NOVO MÉXICO 20"&amp;"2.016 817.5 FS GILA NACIONAL FLORESTH KINHERNENSNENDERNENTIONCONALODNOIFICAL 199.444 807.1 BLM Fitzpatricking Wilderness Wyoming 198520 1992.444 807. .8 FS Los Padres National Forest High Peaks Wilderness Nova York 192.685 779.8 NYS dec Adirondack Park Cl"&amp;"oud Peak Wilderness Wyoming 189.039 765.0 FS Bighorn National Florest Sheephole Vale / Wilderness California 186.673 755.4 BLM SISKIYOU Wilderness / Califórnia 182,802 739. Snowmass Wilderness Colorado 181.512 734.6 FS Branco Floresta Nacional da Floresta"&amp;" Nacional / Gunnison Yolla Bolly - Eel de Eel Médio Califórnia 180.877 732.0 FS / BLM Mendocino National Florest / Trinity Floresta Nacional / Seis Rios Florestas Nacionais Kalmiops Wilderness Wilderness 179,75572777. Wilderness   Washington / Oregon   17"&amp;"7,423   718.0   FS   Umatilla National Forest     Turtle Mountains Wilderness   California   177,136   716.8   BLM       West Elk Wilderness   Colorado   176,412   713.9   FS   Gunnison National Forest     Kobuk Valley Wilderness   Alaska   174,545   706."&amp;"4   NPS   Kobuk Valley National Park     Steens Mountain Wilderness   Oregon   170,025   688.1   BLM       William O. Douglas Wilderness Washington 168.232 680,8 FS Snoqualmie Floresta Nacional / Gifford Pinchot Picos da Floresta Nacional da Floresta Colo"&amp;"rado 167,414 677.5 FS San Isabel Floresta nacional / Gunnison Nacional / Branco Rio Nacional Montanhas Antiga Woman Wilderness CALIFORNO 162,985 659.6 6.6110 - Blm CARRONDERNO -BRANCO - ice -RIVILIDADE NACIONIAL Woman Womerness Wilderness 162,985 659.6 6."&amp;" Forest / Stanislaus National Forest     Mount Zirkel Wilderness   Colorado   159,935   647.2   FS   Routt National Forest     Superstition Wilderness   Arizona   159,757   646.5   FS   Tonto National Forest     South San Juan Wilderness   Colorado   158,"&amp;"790   642.6   FS   Rio Grande National Forest / San Juan National Forest     Anaconda - Pintler Wilderness   Montana   158,615   641.9   FS   Beaverhead Floresta nacional / Deerlodge Floresta Nacional / Bitterroot Montanhas Mórmon Nacionais Mórmon Wildern"&amp;"ess Nevada 157.938 639.2 Blm Lake Chelan - Wilderness Washington Washington 151.435 612.8 FS Okanogan Floresta nacional / Wenatchee Floresto nacional Kelso Wilderness Wilderness 144,2622 58. Nacional Forest Isle Royale Wilderness Michigan 132.018 534.3 NP"&amp;"S Isle Royale Parque Nacional Hawaii Vulcões Wilderness Hawaii 130.790 529.3 NPS Hawaii Volcões nacionais do parque nacional Wilderness, Califórnia, 130,081 526.4 FS / Blm sequoia sequoia florestrmrmsrmness ARSTRASTRATRA Montanha 130,081 526.4 FS / Blm Se"&amp;"quoia Forestrmrmrmsrmil 626 524.6 FS Gunnison National Forest / Rio Grande National Forest     Hoover Wilderness   California   128,421   519.7   FS   Toiyabe National Forest / Inyo National Forest     Zion Wilderness   Utah   124,406   503.5   NPS   Zion"&amp;" National Park     Meadow Valley Range Wilderness   Nevada   123,488   499.7   BLM       Jedediah Smith Wilderness   Wyoming   123,451   499.6   FS   Targhee National Forest     Holy Cross Wilderness   Colorado 122.884 497,3 FS FORMA NACIONAL DA FORMAÇÃO "&amp;"NACIONAL / SAN ISABEL NACIONAL SCHELLS SCHELLS NEVADA 121.497 491.7 FS Humboldt Nacional North Fork John Day Wilderness Oregon Lostless Lostless Wosrless Wosrled Browerl. Wilderness Washington 117.528 475.6 FS MOUNT BAKER FORMAÇÃO NACIONAL JIM MCCLURE - J"&amp;"ERRY PAIXO VERDADEIRA IDAHO 116.898 473.1 FS / BLM SALMON - Florestas nacionais da floresta nacional Sky Wilderness Aregon 116.300 470.6 FS Rio Rio Rio Florma nacional / WinemaMa Floresta Florestas nacionais acolhedores Wilderness Arizona 112.400 454.9 BL"&amp;"M Emigrantes deserto Califórnia 112.277 454.4 FS Stanislaus Floresta Nacional Delamar Montanhas Devadeira Nevada 111.328 450.5 BLM Jarbidge Wilderness Nevada 111,087 449. 9.400 442,7 BLM Vermilion Cliffs National Monument / Grand Staircase - Escalante Nat"&amp;"ional Monument     Goat Rocks Wilderness   Washington   107,018   433.1   FS   Gifford Pinchot National Forest / Snoqualmie National Forest     Mount Jefferson Wilderness   Oregon   107,008   433.0   FS   Willamette National Forest / Deschutes National Fo"&amp;"rest / Mount Hood National Forest     Wild Sky Wilderness   Washington   106,577   431.3   FS   Snoqualmie National Floresta NOPAH Wilderness California 106.571 431,3 BLM Uncompahgre Wilderness Colorado 102.721 415.7 FS / BLM Uncompahgre Floresta Nacional"&amp;" Popo de Florestas Florestas / Florestas Nacionais Florestas / Florestas Florestas 40 412.3 412.3 Florestas Florestas 40 412.3 412.3 Florestas Florestas 40 412.3 412.3 Florestas Florestas 412 412.3 Florestas 412.3 412.3 Florestas 412.3 412.3 412.3 Florest"&amp;"as Florestais Cedar Mountain Wilderness Utah 100.000 404,7 Blm Mokelumne Wilderness California 99.161 401,3 FS ELDORADO FORESTA NACIONAL / STANISLAUS Floresta nacional / Toiyabe Florestas nacionais rios Wilderness Wilderness ALASKA 98,729 399.5 FS Florest"&amp;"as nacional. , 429 394.3 BLM San Gorgonio Wilderness California 94.664 383,1 FS / BLM San Bernardino Montanhas da floresta nacional da floresta Montana 94.272 381.5 FS Kootenai Floresta nacional / Kaniksu Nacional de florestas da floresta de rubiamento da"&amp;" floresta 376.7 Florestas de florestas da floresta De Wales Wilderness Alasca 90.968 368.1 FS Tongass Nacional Floresta Cecil D. Andrus - Núsculas brancas deserto Idaho 90.769 367,3 FS / BLM SAWTOOTH NACIONAL BRUNEau - rios de jarbidge Wilderness Idaho 89"&amp;".996 364.2 Blm Mt. Moriah Wilderness Nevada 89.790 363,4 FS / BLM Humboldt Floresta Nacional Paiute Dexorness Arizona 87.900 355.7 BLM Grand Canyon - Monumento nacional de parasão Chiricahua Wildernessi Arizona 87,700 354.9 FS Coronado ChoMehuevi Moundern"&amp;"essi 87,700 354.9 FS Coronado Chemehuevi Moundernessi 87,700 354.9 FS Coronado Chemehuevi A 85.748 347,0 BLM STEPLADDER MONTANHAS WORDERNESS CALIFÓRNIA 83.536 338.1 BLM Etolin South Wilderness Alaska 82.619 334.3 FS Tongass National Forest Hunter - Fringp"&amp;"an Wilderness Colorado 82.026 331.9 FS White River Florestas Nacional Bering Sea Wilderness Aleaska 81.340 329.2 FWS Alaska / FS Sequoia National Forest Shenandoah Wilderness Virginia 79.579 322,0 NPS SHENandoah Parque Nacional Lassen Wilderness Vulcânico"&amp;" Califórnia 78.982 319.6 NPS LASSEN Parque Nacional Vulcânico Mount Grafton Wilderness Nevada 78.754 318.7 BLM Picos indianos Wilderness 77,71111111 da floresta 318. 76.317 308.8 FS CORONADO NACIONAL RESPENHAÇÃO DA PRIMAÇÃO DA PRIMAÇÃO DA PRIMAÇÃO DA PRIM"&amp;"EIRA DE SPRIÊNCIA NA CALIFÓRNIA 76.280 308.7 Montanhas Blm Whipple Wilderness California 76.032 307.7 Blm Black Ridge Canyons Wilderness Colorado / Utah 75.439 305.3 Blm McInnis Canyons Conservação National ARCUS GLANÇO GLANÇENSENDIDADE 7. FS Arapaho Flor"&amp;"esta Nacional / Pike Floresta Nacional Rio Wilderness Alaska 74.298 300,7 FS FLORESTA NACIONAL DE TONGASS OWENS PETO DE PATO DE CALIFÓRNIA 74.060 299.7 MISTÓRIAS MISSÃO MISTÓRIAS VERDIDAS MONTANAS 73.877 299.0 FS FLORESTA NACIONAL RATAH RATAH RAIRRADO 73,"&amp;"08 295. 72,575   293.7   BLM       Pahrump Valley Wilderness   California   72,528   293.5   BLM       Santa Rosa Wilderness   California   72,259   292.4   BLM / FS   San Bernardino National Forest     Saguaro Wilderness   Arizona   70,905   286.9   NPS "&amp;"  Saguaro National Park     South Warner Wilderness   California   70,614   285.8   FS   Modoc National Forest     Kanab Creek Wilderness   Arizona   70,460   285.1   FS / BLM   Kaibab National Forest     Bristol Mountains Wilderness   California   70,028"&amp;"   283.4   BLM       Strawberry Mountain Wilderness   Oregon   69,350   280.6   FS   Malheur National Forest     Highland Ridge Wilderness   Nevada   68,627   277.7   BLM       Hemingway -- Boulders Wilderness   Idaho   67,998   275.2   FS   Sawtooth Nati"&amp;"onal Forest     Dick Smith Wilderness   California   67,800   274.4   FS   Los Padres National Monte da floresta Wilderness Oregon 67.320 272,4 FS MT. Capuz Nacional Floresta Sul Egan Range Wilderness Nevada 67.214 272.0 BlM Tebenkof Bay Wilderness Alaska"&amp;" 66.812 270.4 FS Tongass National Florest Comanche Peak Wilderness Colorado 66.791 270.3 FS Roosevelt Dominguez da floresta Colorado 65.393 264,6 FS Gunnison National Florest / Rio Branco Montanhas Nacionais da Floresta Nacional Deserto Nevada 64.984 263."&amp;"0 BLM Black Rock Desert - High Rock Canyon Emigrant Trails Area de conservação nacional Mark O. Hatfield Wilderness Oregon 64.960 262.9 FS Mt. Capuz National Floresta Nacional Badlands Wilderness Dakota do Sul 64.144 259,6 NPS Badlands Nacional Parque Nac"&amp;"ional Woolsey Peak Wilderness Arizona 64.000 259.0 BLM Desolação deserto Califórnia 63,475 256.9 FS Eldorado Floresta Norte Maricopa Desenhando Wilderness Arizona 63,200 255.8 255.8 Blorado Sonorn Sonorn Sonorn Sonorn Wilderness Arizona 63,200 255.8200 25"&amp;"5.8 BLIMOR SOM SONOR SOM SONOR SONOR SONOR SONOR SONOR SONOR SONOR / FS Gunnison Floresta Nacional Cebolla Wilderness Novo México 61.500 248,9 BLM SALMON - HULKEBERRYBERRY WORDERNENTE Oregon 61.340 248,2 FS MT. Floresta nacional Floresta quatro picos dese"&amp;"rto Arizona 61.074 247,2 FS TONTO NACIONAL FORESTA NACIONAL KUIU deserto Alasca 60.581 245,2 FS Floresta nacional nacional Maricopa Montanhas Nacional Soxerness Werderness Wilderness 60.100 243.2 BLM Sonoran Desert Monuments Sul Sierra Sierra -Wilderness "&amp;"California Wilderness California 60.076 243.1 FS Mendocino National High Rock Lake Lake Wilderness Nevada 59.094 239.1 Blm Black Rock Desert - High Rock Canyon Emigrantes Trilhas Área de Conservação Nacional Mount Charleston Nacional de Refratação Naciona"&amp;"l (Fs / Blm Charleston National Rrecha (ToIy Toiyy NEVADA 57.442 232.5 FS / Blm Mountains Spring Área de Relés (Toi Nacional (Fs / Blm Mountains Nacional da área de recreação (To Ivada 57,42 232.5 FS / Blm Spring Spring Area Rrecheation (Toi Rreian. Wilde"&amp;"rness Arizona 56.933 230.4 FS Coronado Floresta nacional Pahute Pico da região selvagem Nevada 56.890 230.2 BLM Black Rock Desert - High Rock Canyon Emigrantes trilhas nacionais da floresta nacional Sycamore Canyon Wilderness ARIZONA 55,937 226.4 FS PRESC"&amp;"OTS PRESCOMOR Nevada 54.535 220,7 BLM Black Rock Desert - High Rock Canyon Emigrant Trails Área de conservação nacional Mount Thielsen Wilderness Oregon 54.267 219.6 FS WIRMA NACIONAL FORESTO / UMPQUA Floresta nacional / Deschutes Florestas nacionais pico"&amp;" de diamante Wilderness / Willetim 54,185 219. Wilderness California 53.887 218.1 FS / BLM MENDOCINO NACIONAL FLORESTA BIG JACKS CREEK WIDERNDO IDAHO 52.826 213.8 BLM MOUNT Washington Wilderness Oregon 52.738 213.4 FS Willamette National Forest / Deschute"&amp;"s Florestas nacionais East Fork Canyon Wilderness Nevada 52. Emigrantes trilhas da área de conservação nacional Grant Range Wilderness Nevada 52.600 212.9 FS Humboldt Norda nacional nórdica Pico da região selvagem Washington 52.180 211.2 FS Snoqualmie Nac"&amp;"ional da floresta Sacata Wilderness 51,48 51.900 210.0 BLM Weepah Spring Wildeness Nevada 51,48.90 210.0 BLM Weepah Spring Wilderness Nevada 51,480.90 210.0 BLM Weepah Spring Wilderness Nevada 51,480.90 210.0 BLM Weepah Spring Wilderness Nevada 51,48.90 2"&amp;"10.0 BLM Weepah Spring Wildendne M Montanhas Orocópias deserto Califórnia 50.562 204.6 BLM COSO Wilderness Califórnia 50.520 204.4 Blm Chama River Canyon Wilderness Novo México 50.300 203.6 FS Santa Fest Florestal Nacional / Floresta Nacional Nacional Flo"&amp;"resta Petrificada Área Nacional de Wilderness Wilderness Arizona 50.260 203.4 NPS PETRIFIDADE PETRIFICADO PINE VALLEY Montanha montanhosa Floresta Nacional")</f>
        <v>   Nome da área (s) da área (s) da área da região selvagem: Agência / agências de km2 localizadas inteiramente ou parcialmente em Wrangell - Saint Elias Wilderness Alaska 9.078.675 36.740.1 nps wrangell - parque nacional de St. Elias ARCELIETIENCIDENDENDENDIDADE ALASSIDA 8.000.000 32,374.9 FWS ARCS ARCOUTIE BEATIDENDERNEDIDADE 8.000.000 32,374.9 Wilderness Alaska 7.167.192 29.004,6 portões NPs do Parque Nacional do Ártico Noatak Wilderness Alaska 5.765.427 23.331,9 NPS NOATAK NACIONAL PERSERVENDO MENIFICAÇÃO KATMAI WORDERNENS ALASKA 3.384.358 13,696.0 NPS Katmai Katmai 44.3 NPS Death Valley National Park Glacier Bay Wilderness Alaska 2.664.876 10.784,4 NPS Glacier BAY NACIONAL LAKE Clark Wilderness Alaska 2.619.550 10.600.9 NPS LAKE Clark Parque Nacional Frank Church - Rio de Not Return Wilderness Idaho 2.366.757 9.577.9 FS / BLM Payette Floresta nacional / Floresta nacional nacional / Salmão Floresta nacional / Bibreotom Florestas / ROOT Florestas nacionais / florestas nacionais / florestas nacionais florestas nacionais / florestas nacionais / bibliotecas Florestas nacionais Togiak Wilderness Alaska 2.274.066 9.202,8 FWS Togiak Refúgio nacional da vida selvagem FJORDS MONUMENTO NACIONAL MONUMENTO NACIONAL Alaska 2,142.442 8.670.2 FS Misty Fjords Monument (Floresta Nacional da Tongess)) Denali Wilder Alaska 2,2.2.10 Monuments nacional de fjords 2,3.3.3.8, nacional de fjords Monument (Floresta Nacional da finson). Alasca 1.354.247 5.480,4 FWS Kenai National Wildlife Refuge Selway - Bitterroot Wilderness   Idaho / Montana   1,340,502   5,424.8   FS   Nez Perce National Forest / Bitterroot National Forest / Clearwater National Forest / Lolo National Forest     Aleutian Islands Wilderness   Alaska   1,300,000   5,260.9   FWS   Aleutian Islands National Wildlife Refuge     Andreafsky Wilderness   Alaska   1,300,000   5,260.9   FWS   Yukon Delta National Wildlife Refuge     Marjory Stoneman Douglas Wilderness Florida 1.296.500 5.246,7 NPS Everglades National Park Innoko Wilderness Alaska 1.240.000 5.018.1 FWS Innoko National Wildlife Refuge Bob Marshall Florestão Montana 1,009 e 4,084.7 Flathall 55 3.869,8 Monumento Nacional da Ilha do Admiralty FS (Floresta Nacional Tongass) Absaroka - Beartooth Wilderness   Montana / Wyoming   943,626   3,818.7   FS   Gallatin National Forest / Custer National Forest / Shoshone National Forest     Unimak Wilderness   Alaska   910,000   3,682.6   FWS   Alaska Maritime National Wildlife Refuge     Olympic Wilderness   Washington   876,669   3,547.8   NPS   Olympic National Park     Boundary Waters Canoe Area Wilderness   Minnesota   1,090,000   4,411.1   FS Forest Superior Nacional Cabeza Prieta Adexagem Arizona 803.418 3.251,3 FWS Cabeza Prieta Nacional Refuge Refuge Sequoia - Kings Canyon Wilderness California 768.222 3,108.9 NPS Kings Canyon National Park / Sequoia Parque nacional Yosemite Wyoming 704.274 2.850,1 FIDADE NACIONAL FS SHOSHONE Mojave Wilderness California 695.200 2.813,4 NPS Mojave National Preserve Tracy Arm - Fords Terror Wilderness Alaska 653.179 2.643.3 FS Tongass National Florestes John MUIRNENDENDENDENDENS CALIFORNIONCIONS 650.734 2,633 FS SIERRA SIERRA / INYO FORMURHO FORMURHOMEN MINATER MINAr. ES Parque Nacional / Lago Ross Área de Recreação Nacional / Área de Recreação Nacional de Chelan Lake Nunivak Wilderness Alaska 600.000 2.428.1 FWS Yukon Delta Refúgio Nacional da Vida Selvagem Joshua Árvore Wilderness California 594.502 2,405.9 NPS Joshua Tree Nacional Parque TETON Wilderness 3 2.309,0 FS WENACKEE NACIONAL FLORESTA / Mount Baker Floresta Nacional Gila deserto Novo México 558.014 2.258.2 FS GILA NACIONAL PASAYTEN WILDERNENTE Washington 529.477 2.142.7 FLILING NACIONAL FILIDADE / MONTH BLILIFORHA NACIONAL FS / Florestas Nacionais Florestas / Florestas Nacional Florestas / Florestas Nacional Florestas / Florestas Nacionais Florestas / Mount Florestas / Mount Florestas Blorerness Califórnia 525,627 27.127.127.10 Floresta nacional da Floresta Nacional de Seis Rios Arizona 516.200 2.089,0 FWS Refúgio Nacional da Vida Selvagem Kofa Weminuche Wilderness Colorado 488.210 1,975,7 FS HOURLIMENTES SAN JUAN FLORESTA NACIONAL / RIO Grande floresta alta Uintas Wilderness Utah 456,705 1,882.2.2.2.2.2.70 Florestas nacionais. 48.926 1.816.7 FS Tongass Nacional Bridger Bridger Wilderness Wyoming 428.087 1.732,4 FS Bridger Floresta Nacional Becharof Wilderness Alaska 400.000 1,618.7 FWS Becharof National Wildlife Refuge Koyukukuk Wilderness Alaska 400.000 1,618.7 ALVENDLE .2 FS Wenatchee Nacional Floresta / Snoqualmie Floresta Nacional Okefenokee Wilderness Georgia 353.981 1.432,5 FWS OKEFENOKEE Nacional Refúgio Norte de Absaroka Dexerness Wyoming 350.488 1,418.4 FS Shoshone Nacional da floresta da floresta nacional Wilderness / Whitman Florest 350,461 1,18.3 Fs Wutlowa 350 Florestas Florestas / Florestas Florestas 350.461 1,8.3 Fs. Floresta Nacional Baranof South Wilderness Alaska 319.568 1.293,2 FS Tongass National Forest     Gros Ventre Wilderness   Wyoming   317,874   1,286.4   FS   Teton National Forest     Black Rock Desert Wilderness   Nevada   314,829   1,274.1   BLM   Black Rock Desert -- High Rock Canyon Emigrant Trails National Conservation Area     Organ Pipe Cactus Wilderness   Arizona   312,600   1,265.0   NPS   Organ Pipe Cactus National Monument     Izembek Wilderness   Alaska   307,982   1,246.4 FWS IZEMBEK NACIONAL VIDA SIVERNDIDA VIDA SIVERNENTE VII A VII GOLDENDERNIONCIONAL Califórnia 303.511 1.228,3 FS INYO NACIONAL FORESTA / FORMA NACIONAL DO NACIONAL TRÊS Irmãs Wilderness Oregon 286.708 1,160.3 FS Willamette Florestas nacionais da floresta 0,70801660.3 Festra de floresta nacional , 328 1.081,8 BLM West Chichagof - Yakobi Wilderness Alaska 265.286 1.073,6 FS FORMA NACIONAL TONGASS LEE METCALF WILDERNENTE MONTANA 254.288 1,029.1 FS / BLM GALLATIN FLORESTA NACIONAL / BEAVERHEAD MONTANHAS BRANCAS BRANCAS NA Califórnia 252.577 1,022222222222222222.2, Blmen. 1,4 FLIOT NACIONAL FS TONTO / Coconino National Forest Semidi Wilderness Alaska 250.000 1.011,7 FWS Alaska Maritime National Wildlife Refúgio Rocky Mountain National Park National Wilderness Colorado 249.339 1,009.0 NPS Rocky Mountain National Mountains Mountains Kerlingness Califórnia 245,320 992.8 Blm / Fs Inyo Florestes Nacional da Florestidade 245.320 992.8 Blm / Fs Inyo Florde Wilderness California 240.024 971,3 FS / BLM LOS PADRES NACIONAL FLORESTA NACIONAL SELAWIK Wilderness Alaska 240.000 971.2 FWS Selawik National Wildlife Refuge Scakinggoat Wilderness Montana 239.936 971.0 FS Lewis e Clark National Forest / Helena Florestas Florestas / Lolo / Lolo Florestas / 971.0 Fs Lewis e Clark National Florestas / Lolo Florestas / Lolo Florestas / Lolo Florestas / 971.0 Fs Lewis e Clark National Florestas / Florestas Florestas / Lolo / Florestas / 971. Wilderness Colorado 235.214 951.9 FS White River Nacional Floresta Nacional / Routt Floresta Nacional ANSEL Adams Wilderness California 231.533 937.0 FS / NPS Sierra Nacional Floresta / INYO Floresta Nacional / Demônios Post Monumento Nacional Rainous Rainier Washingness 228,480 924.6 NPS NPS Rainlier Rainlium 228,044   922.9   FS / NPS   San Isabel National Forest / Rio Grande National Forest / Great Sand Dunes National Park     Pecos Wilderness   New Mexico   223,333   903.8   FS   Santa Fe National Forest / Carson National Forest     Sespe Wilderness   California   219,700   889.1   FS   Los Padres National Forest     Sawtooth Wilderness   Idaho   217,088   878.5 FS Sawtooth National Recreation Area (floresta nacional de Boise / Floresta Nacional da Floresta / Floresta Nacional de Sawtooth) Hells Canyon Wilderness Oregon / Idaho 214.944 869.8 FS / BLM Hells Canyon National Recreation Area (Wallowa National Forest / Nez Perce National Forest / Payette National Florest / Whitman Whitman Floresta) Hump Gospel Wilderness Idaho 205.796 832,8 FS NEZ FORMA NACIONAL ALDO LEOPOLD VERDADENDO NOVO MÉXICO 202.016 817.5 FS GILA NACIONAL FLORESTH KINHERNENSNENDERNENTIONCONALODNOIFICAL 199.444 807.1 BLM Fitzpatricking Wilderness Wyoming 198520 1992.444 807. .8 FS Los Padres National Forest High Peaks Wilderness Nova York 192.685 779.8 NYS dec Adirondack Park Cloud Peak Wilderness Wyoming 189.039 765.0 FS Bighorn National Florest Sheephole Vale / Wilderness California 186.673 755.4 BLM SISKIYOU Wilderness / Califórnia 182,802 739. Snowmass Wilderness Colorado 181.512 734.6 FS Branco Floresta Nacional da Floresta Nacional / Gunnison Yolla Bolly - Eel de Eel Médio Califórnia 180.877 732.0 FS / BLM Mendocino National Florest / Trinity Floresta Nacional / Seis Rios Florestas Nacionais Kalmiops Wilderness Wilderness 179,75572777. Wilderness   Washington / Oregon   177,423   718.0   FS   Umatilla National Forest     Turtle Mountains Wilderness   California   177,136   716.8   BLM       West Elk Wilderness   Colorado   176,412   713.9   FS   Gunnison National Forest     Kobuk Valley Wilderness   Alaska   174,545   706.4   NPS   Kobuk Valley National Park     Steens Mountain Wilderness   Oregon   170,025   688.1   BLM       William O. Douglas Wilderness Washington 168.232 680,8 FS Snoqualmie Floresta Nacional / Gifford Pinchot Picos da Floresta Nacional da Floresta Colorado 167,414 677.5 FS San Isabel Floresta nacional / Gunnison Nacional / Branco Rio Nacional Montanhas Antiga Woman Wilderness CALIFORNO 162,985 659.6 6.6110 - Blm CARRONDERNO -BRANCO - ice -RIVILIDADE NACIONIAL Woman Womerness Wilderness 162,985 659.6 6. Forest / Stanislaus National Forest     Mount Zirkel Wilderness   Colorado   159,935   647.2   FS   Routt National Forest     Superstition Wilderness   Arizona   159,757   646.5   FS   Tonto National Forest     South San Juan Wilderness   Colorado   158,790   642.6   FS   Rio Grande National Forest / San Juan National Forest     Anaconda - Pintler Wilderness   Montana   158,615   641.9   FS   Beaverhead Floresta nacional / Deerlodge Floresta Nacional / Bitterroot Montanhas Mórmon Nacionais Mórmon Wilderness Nevada 157.938 639.2 Blm Lake Chelan - Wilderness Washington Washington 151.435 612.8 FS Okanogan Floresta nacional / Wenatchee Floresto nacional Kelso Wilderness Wilderness 144,2622 58. Nacional Forest Isle Royale Wilderness Michigan 132.018 534.3 NPS Isle Royale Parque Nacional Hawaii Vulcões Wilderness Hawaii 130.790 529.3 NPS Hawaii Volcões nacionais do parque nacional Wilderness, Califórnia, 130,081 526.4 FS / Blm sequoia sequoia florestrmrmsrmness ARSTRASTRATRA Montanha 130,081 526.4 FS / Blm Sequoia Forestrmrmrmsrmil 626 524.6 FS Gunnison National Forest / Rio Grande National Forest     Hoover Wilderness   California   128,421   519.7   FS   Toiyabe National Forest / Inyo National Forest     Zion Wilderness   Utah   124,406   503.5   NPS   Zion National Park     Meadow Valley Range Wilderness   Nevada   123,488   499.7   BLM       Jedediah Smith Wilderness   Wyoming   123,451   499.6   FS   Targhee National Forest     Holy Cross Wilderness   Colorado 122.884 497,3 FS FORMA NACIONAL DA FORMAÇÃO NACIONAL / SAN ISABEL NACIONAL SCHELLS SCHELLS NEVADA 121.497 491.7 FS Humboldt Nacional North Fork John Day Wilderness Oregon Lostless Lostless Wosrless Wosrled Browerl. Wilderness Washington 117.528 475.6 FS MOUNT BAKER FORMAÇÃO NACIONAL JIM MCCLURE - JERRY PAIXO VERDADEIRA IDAHO 116.898 473.1 FS / BLM SALMON - Florestas nacionais da floresta nacional Sky Wilderness Aregon 116.300 470.6 FS Rio Rio Rio Florma nacional / WinemaMa Floresta Florestas nacionais acolhedores Wilderness Arizona 112.400 454.9 BLM Emigrantes deserto Califórnia 112.277 454.4 FS Stanislaus Floresta Nacional Delamar Montanhas Devadeira Nevada 111.328 450.5 BLM Jarbidge Wilderness Nevada 111,087 449. 9.400 442,7 BLM Vermilion Cliffs National Monument / Grand Staircase - Escalante National Monument     Goat Rocks Wilderness   Washington   107,018   433.1   FS   Gifford Pinchot National Forest / Snoqualmie National Forest     Mount Jefferson Wilderness   Oregon   107,008   433.0   FS   Willamette National Forest / Deschutes National Forest / Mount Hood National Forest     Wild Sky Wilderness   Washington   106,577   431.3   FS   Snoqualmie National Floresta NOPAH Wilderness California 106.571 431,3 BLM Uncompahgre Wilderness Colorado 102.721 415.7 FS / BLM Uncompahgre Floresta Nacional Popo de Florestas Florestas / Florestas Nacionais Florestas / Florestas Florestas 40 412.3 412.3 Florestas Florestas 40 412.3 412.3 Florestas Florestas 40 412.3 412.3 Florestas Florestas 412 412.3 Florestas 412.3 412.3 Florestas 412.3 412.3 412.3 Florestas Florestais Cedar Mountain Wilderness Utah 100.000 404,7 Blm Mokelumne Wilderness California 99.161 401,3 FS ELDORADO FORESTA NACIONAL / STANISLAUS Floresta nacional / Toiyabe Florestas nacionais rios Wilderness Wilderness ALASKA 98,729 399.5 FS Florestas nacional. , 429 394.3 BLM San Gorgonio Wilderness California 94.664 383,1 FS / BLM San Bernardino Montanhas da floresta nacional da floresta Montana 94.272 381.5 FS Kootenai Floresta nacional / Kaniksu Nacional de florestas da floresta de rubiamento da floresta 376.7 Florestas de florestas da floresta De Wales Wilderness Alasca 90.968 368.1 FS Tongass Nacional Floresta Cecil D. Andrus - Núsculas brancas deserto Idaho 90.769 367,3 FS / BLM SAWTOOTH NACIONAL BRUNEau - rios de jarbidge Wilderness Idaho 89.996 364.2 Blm Mt. Moriah Wilderness Nevada 89.790 363,4 FS / BLM Humboldt Floresta Nacional Paiute Dexorness Arizona 87.900 355.7 BLM Grand Canyon - Monumento nacional de parasão Chiricahua Wildernessi Arizona 87,700 354.9 FS Coronado ChoMehuevi Moundernessi 87,700 354.9 FS Coronado Chemehuevi Moundernessi 87,700 354.9 FS Coronado Chemehuevi A 85.748 347,0 BLM STEPLADDER MONTANHAS WORDERNESS CALIFÓRNIA 83.536 338.1 BLM Etolin South Wilderness Alaska 82.619 334.3 FS Tongass National Forest Hunter - Fringpan Wilderness Colorado 82.026 331.9 FS White River Florestas Nacional Bering Sea Wilderness Aleaska 81.340 329.2 FWS Alaska / FS Sequoia National Forest Shenandoah Wilderness Virginia 79.579 322,0 NPS SHENandoah Parque Nacional Lassen Wilderness Vulcânico Califórnia 78.982 319.6 NPS LASSEN Parque Nacional Vulcânico Mount Grafton Wilderness Nevada 78.754 318.7 BLM Picos indianos Wilderness 77,71111111 da floresta 318. 76.317 308.8 FS CORONADO NACIONAL RESPENHAÇÃO DA PRIMAÇÃO DA PRIMAÇÃO DA PRIMAÇÃO DA PRIMEIRA DE SPRIÊNCIA NA CALIFÓRNIA 76.280 308.7 Montanhas Blm Whipple Wilderness California 76.032 307.7 Blm Black Ridge Canyons Wilderness Colorado / Utah 75.439 305.3 Blm McInnis Canyons Conservação National ARCUS GLANÇO GLANÇENSENDIDADE 7. FS Arapaho Floresta Nacional / Pike Floresta Nacional Rio Wilderness Alaska 74.298 300,7 FS FLORESTA NACIONAL DE TONGASS OWENS PETO DE PATO DE CALIFÓRNIA 74.060 299.7 MISTÓRIAS MISSÃO MISTÓRIAS VERDIDAS MONTANAS 73.877 299.0 FS FLORESTA NACIONAL RATAH RATAH RAIRRADO 73,08 295. 72,575   293.7   BLM       Pahrump Valley Wilderness   California   72,528   293.5   BLM       Santa Rosa Wilderness   California   72,259   292.4   BLM / FS   San Bernardino National Forest     Saguaro Wilderness   Arizona   70,905   286.9   NPS   Saguaro National Park     South Warner Wilderness   California   70,614   285.8   FS   Modoc National Forest     Kanab Creek Wilderness   Arizona   70,460   285.1   FS / BLM   Kaibab National Forest     Bristol Mountains Wilderness   California   70,028   283.4   BLM       Strawberry Mountain Wilderness   Oregon   69,350   280.6   FS   Malheur National Forest     Highland Ridge Wilderness   Nevada   68,627   277.7   BLM       Hemingway -- Boulders Wilderness   Idaho   67,998   275.2   FS   Sawtooth National Forest     Dick Smith Wilderness   California   67,800   274.4   FS   Los Padres National Monte da floresta Wilderness Oregon 67.320 272,4 FS MT. Capuz Nacional Floresta Sul Egan Range Wilderness Nevada 67.214 272.0 BlM Tebenkof Bay Wilderness Alaska 66.812 270.4 FS Tongass National Florest Comanche Peak Wilderness Colorado 66.791 270.3 FS Roosevelt Dominguez da floresta Colorado 65.393 264,6 FS Gunnison National Florest / Rio Branco Montanhas Nacionais da Floresta Nacional Deserto Nevada 64.984 263.0 BLM Black Rock Desert - High Rock Canyon Emigrant Trails Area de conservação nacional Mark O. Hatfield Wilderness Oregon 64.960 262.9 FS Mt. Capuz National Floresta Nacional Badlands Wilderness Dakota do Sul 64.144 259,6 NPS Badlands Nacional Parque Nacional Woolsey Peak Wilderness Arizona 64.000 259.0 BLM Desolação deserto Califórnia 63,475 256.9 FS Eldorado Floresta Norte Maricopa Desenhando Wilderness Arizona 63,200 255.8 255.8 Blorado Sonorn Sonorn Sonorn Sonorn Wilderness Arizona 63,200 255.8200 255.8 BLIMOR SOM SONOR SOM SONOR SONOR SONOR SONOR SONOR SONOR SONOR / FS Gunnison Floresta Nacional Cebolla Wilderness Novo México 61.500 248,9 BLM SALMON - HULKEBERRYBERRY WORDERNENTE Oregon 61.340 248,2 FS MT. Floresta nacional Floresta quatro picos deserto Arizona 61.074 247,2 FS TONTO NACIONAL FORESTA NACIONAL KUIU deserto Alasca 60.581 245,2 FS Floresta nacional nacional Maricopa Montanhas Nacional Soxerness Werderness Wilderness 60.100 243.2 BLM Sonoran Desert Monuments Sul Sierra Sierra -Wilderness California Wilderness California 60.076 243.1 FS Mendocino National High Rock Lake Lake Wilderness Nevada 59.094 239.1 Blm Black Rock Desert - High Rock Canyon Emigrantes Trilhas Área de Conservação Nacional Mount Charleston Nacional de Refratação Nacional (Fs / Blm Charleston National Rrecha (ToIy Toiyy NEVADA 57.442 232.5 FS / Blm Mountains Spring Área de Relés (Toi Nacional (Fs / Blm Mountains Nacional da área de recreação (To Ivada 57,42 232.5 FS / Blm Spring Spring Area Rrecheation (Toi Rreian. Wilderness Arizona 56.933 230.4 FS Coronado Floresta nacional Pahute Pico da região selvagem Nevada 56.890 230.2 BLM Black Rock Desert - High Rock Canyon Emigrantes trilhas nacionais da floresta nacional Sycamore Canyon Wilderness ARIZONA 55,937 226.4 FS PRESCOTS PRESCOMOR Nevada 54.535 220,7 BLM Black Rock Desert - High Rock Canyon Emigrant Trails Área de conservação nacional Mount Thielsen Wilderness Oregon 54.267 219.6 FS WIRMA NACIONAL FORESTO / UMPQUA Floresta nacional / Deschutes Florestas nacionais pico de diamante Wilderness / Willetim 54,185 219. Wilderness California 53.887 218.1 FS / BLM MENDOCINO NACIONAL FLORESTA BIG JACKS CREEK WIDERNDO IDAHO 52.826 213.8 BLM MOUNT Washington Wilderness Oregon 52.738 213.4 FS Willamette National Forest / Deschutes Florestas nacionais East Fork Canyon Wilderness Nevada 52. Emigrantes trilhas da área de conservação nacional Grant Range Wilderness Nevada 52.600 212.9 FS Humboldt Norda nacional nórdica Pico da região selvagem Washington 52.180 211.2 FS Snoqualmie Nacional da floresta Sacata Wilderness 51,48 51.900 210.0 BLM Weepah Spring Wildeness Nevada 51,48.90 210.0 BLM Weepah Spring Wilderness Nevada 51,480.90 210.0 BLM Weepah Spring Wilderness Nevada 51,480.90 210.0 BLM Weepah Spring Wilderness Nevada 51,48.90 210.0 BLM Weepah Spring Wildendne M Montanhas Orocópias deserto Califórnia 50.562 204.6 BLM COSO Wilderness Califórnia 50.520 204.4 Blm Chama River Canyon Wilderness Novo México 50.300 203.6 FS Santa Fest Florestal Nacional / Floresta Nacional Nacional Floresta Petrificada Área Nacional de Wilderness Wilderness Arizona 50.260 203.4 NPS PETRIFIDADE PETRIFICADO PINE VALLEY Montanha montanhosa Floresta Nacional</v>
      </c>
      <c r="I470" s="3" t="str">
        <f>IFERROR(__xludf.DUMMYFUNCTION("GOOGLETRANSLATE(E470)"),"#VALUE!")</f>
        <v>#VALUE!</v>
      </c>
    </row>
    <row r="471" ht="15.75" customHeight="1">
      <c r="A471" s="1">
        <v>469.0</v>
      </c>
      <c r="B471" s="3" t="s">
        <v>1729</v>
      </c>
      <c r="C471" s="3" t="s">
        <v>1730</v>
      </c>
      <c r="D471" s="3" t="s">
        <v>1731</v>
      </c>
      <c r="E471" s="3" t="s">
        <v>1732</v>
      </c>
      <c r="F471" s="3" t="str">
        <f>IFERROR(__xludf.DUMMYFUNCTION("GOOGLETRANSLATE(B471)")," Laureus World Sports Awards")</f>
        <v> Laureus World Sports Awards</v>
      </c>
      <c r="G471" s="3" t="str">
        <f>IFERROR(__xludf.DUMMYFUNCTION("GOOGLETRANSLATE(C471)"),"quem ganhou o prêmio de pessoa esportiva do ano 2017")</f>
        <v>quem ganhou o prêmio de pessoa esportiva do ano 2017</v>
      </c>
      <c r="H471" s="3" t="str">
        <f>IFERROR(__xludf.DUMMYFUNCTION("GOOGLETRANSLATE(D471)"),"   Ano Sportsman Sportswoman Team Breakthrough Retorno Ação de Disabilidade Momento REF 2000 Woods, Tiger Tiger Woods Jones, Marion Marion Jones * Manchester United F.C. García, Sergio Sergio García Armstrong, Lance Lance Armstrong * Sauvage, Louise Sauva"&amp;"ge Palmer, Shaun Shaun Palmer N / A 2001 Woods, Tiger Tiger Woods Freeman, Cathy Cathy Freeman France Francy Football Sain, Marat Marat Marat Safin Capriati, Jennnifer Jennn Jenn Jenn Jenn Jenn Jenn Jenn Sain, Marat Marat Safin Capriati, , Vinny Vinny Lau"&amp;"wers   Horn , Mike Mike Horn   N / A       2002   Schumacher , Michael Michael Schumacher   Capriati , Jennifer Jennifer Capriati   Australia national cricket team   Montoya , Juan Pablo Juan Pablo Montoya   Ivanišević , Goran Goran Ivanišević   Vergeer ,"&amp;" Esther Esther Vergeer   Burnquist , Bob Bob Burnquist   N / A 2003 Armstrong, Lance Lance Armstrong * Williams, Serena Williams Brasil Brasil Football Team Ming, Yao Yao Ming Ronaldo Milton, Michael Michael Milton Potter, Dean Potter N / A Schumacher, Mi"&amp;"chael Michael Schumacher Sörennstam, Annika Annika Sö. Equipe da União Wie, Michelle Michelle Wie Maier, Hermann Hermann Maier Connor, Earle Earle Connor * Beachley, Layne Layne Beachley N / A 2005 Federer, Roger Roger Federer Holmes, Kelly Kelly Kelly Ho"&amp;"lmes Greeece Alex se equipe de futebol Xiang, Liu Liu Xiang Zanardi, Holmes Greeece Alex, Alex, Xiang, Liu Xiang Zanardi, Holmes Greece, ALEXE Zanardi   Petitclerc , Chantal Chantal Petitclerc   McArthur , Ellen Ellen McArthur   N / A       2006   Federer"&amp;" , Roger Roger Federer   Kostelić , Janica Janica Kostelić   Renault F1 team   Nadal , Rafael Rafael Nadal   Hingis , Martina Martina Hingis   van Dyk , Ernst Ernst van Dyk   d'Arrigo , Angelo Angelo d'Arrigo   N / A       2007   Federer , Roger Roger Fed"&amp;"erer   Isinbayeva , Yelena Yelena Isinbayeva   Italy national football team   Williams , Serena Serena Williams   Braxenthaler , Martin Martin Braxenthaler   Mauresmo , Amélie Amélie Mauresmo   Slater , Kelly Kelly Slater   N / A       2008   Federer , Ro"&amp;"ger Roger Federer   Henin , Justine Justine Henin   South Africa national rugby union team   Radcliffe , Paula Paula Radcliffe   Vergeer , Esther Esther Vergeer   Hamilton , Lewis Lewis Hamilton   White , Shaun Shaun White   N / A       2009   Bolt , Usai"&amp;"n Usain Bolt   Isinbayeva , Yelena Yelena Isinbayeva   China Olympic team   Klitschko , Vitali Vitali Klitschko Dias, Daniel Daniel Dias Adlington, Rebecca Rebecca Adlington Slater, Kelly Kelly Kelly Slater N / A Bolt, Usain Bolt Williams, Serena Serena W"&amp;"illiams Brawn F1 Team Clijsters, Kim Kim Kim Clijsters Dunen Duion Jenson Button   Gilmore , Stephanie Stephanie Gilmore   N / A       2011   Nadal , Rafael Rafael Nadal   Vonn , Lindsey Lindsey Vonn   Spain national football team   Rossi , Valentino Vale"&amp;"ntino Rossi   Bentele , Verena Verena Bentele   Kaymer , Martin Martin Kaymer   Slater , Kelly Kelly Slater   N / A       2012   Djokovic Novok Novak Djokovic Cheruiyot, Vivian Cheruiyot Barcelona FC Barcelona Clarke, Darren Darren Clarke Pistorius, Oscar"&amp;" Pistorius Pistorius McIlroy, Rory Rory McIlroy Slater, Kelly Kelly Slater N / A 2013 Bolt, Usain Bolt Bolt. team   Sánchez , Félix Félix Sánchez   Dias , Daniel Daniel Dias   Murray , Andy Andy Murray   Baumgartner , Felix Felix Baumgartner   N / A      "&amp;" 2014   Vettel , Sebastian Sebastian Vettel   Franklin , Missy Missy Franklin   Bayern FC Bayern Munich   Nadal , Rafael Rafael Nadal   Bochet , Marie Marie Bochet   Márquez , Marc Marc Márquez   Bestwick , Jamie Jamie Bestwick   N / A       2015   Djokov"&amp;"ic , Novak Novak Djokovic   Dibaba , Genzebe Genzebe Dibaba   Germany national football team   Burger , Schalk Schalk Burger   McFadden , Tatyana Tatyana McFadden   Ricciardo , Daniel Daniel Ricciardo   Eustace , Alan Alan Eustace   N / A 2016 Djokovic, N"&amp;"ovak Novak Djokovic Williams, Serena Williams New Zealand National Rugby Union Team Carter, Dan Dan Carter Dias, Daniel Daniel Dias Spieth, Jordan Jordan Spieth Frodeno, Jan Jan Frodeno N / A 2017 Bolt, Usain Bolt Biles Biles Chicago Cubs Phelps, Michael "&amp;"Michael Phelps Vio, Beatrice Beatrice Vio Rosberg, Nico Nico Rosberg Atherton, Rachel Rachel Atherton Barca FC Barcelona sob - 12s")</f>
        <v>   Ano Sportsman Sportswoman Team Breakthrough Retorno Ação de Disabilidade Momento REF 2000 Woods, Tiger Tiger Woods Jones, Marion Marion Jones * Manchester United F.C. García, Sergio Sergio García Armstrong, Lance Lance Armstrong * Sauvage, Louise Sauvage Palmer, Shaun Shaun Palmer N / A 2001 Woods, Tiger Tiger Woods Freeman, Cathy Cathy Freeman France Francy Football Sain, Marat Marat Marat Safin Capriati, Jennnifer Jennn Jenn Jenn Jenn Jenn Jenn Jenn Sain, Marat Marat Safin Capriati, , Vinny Vinny Lauwers   Horn , Mike Mike Horn   N / A       2002   Schumacher , Michael Michael Schumacher   Capriati , Jennifer Jennifer Capriati   Australia national cricket team   Montoya , Juan Pablo Juan Pablo Montoya   Ivanišević , Goran Goran Ivanišević   Vergeer , Esther Esther Vergeer   Burnquist , Bob Bob Burnquist   N / A 2003 Armstrong, Lance Lance Armstrong * Williams, Serena Williams Brasil Brasil Football Team Ming, Yao Yao Ming Ronaldo Milton, Michael Michael Milton Potter, Dean Potter N / A Schumacher, Michael Michael Schumacher Sörennstam, Annika Annika Sö. Equipe da União Wie, Michelle Michelle Wie Maier, Hermann Hermann Maier Connor, Earle Earle Connor * Beachley, Layne Layne Beachley N / A 2005 Federer, Roger Roger Federer Holmes, Kelly Kelly Kelly Holmes Greeece Alex se equipe de futebol Xiang, Liu Liu Xiang Zanardi, Holmes Greeece Alex, Alex, Xiang, Liu Xiang Zanardi, Holmes Greece, ALEXE Zanardi   Petitclerc , Chantal Chantal Petitclerc   McArthur , Ellen Ellen McArthur   N / A       2006   Federer , Roger Roger Federer   Kostelić , Janica Janica Kostelić   Renault F1 team   Nadal , Rafael Rafael Nadal   Hingis , Martina Martina Hingis   van Dyk , Ernst Ernst van Dyk   d'Arrigo , Angelo Angelo d'Arrigo   N / A       2007   Federer , Roger Roger Federer   Isinbayeva , Yelena Yelena Isinbayeva   Italy national football team   Williams , Serena Serena Williams   Braxenthaler , Martin Martin Braxenthaler   Mauresmo , Amélie Amélie Mauresmo   Slater , Kelly Kelly Slater   N / A       2008   Federer , Roger Roger Federer   Henin , Justine Justine Henin   South Africa national rugby union team   Radcliffe , Paula Paula Radcliffe   Vergeer , Esther Esther Vergeer   Hamilton , Lewis Lewis Hamilton   White , Shaun Shaun White   N / A       2009   Bolt , Usain Usain Bolt   Isinbayeva , Yelena Yelena Isinbayeva   China Olympic team   Klitschko , Vitali Vitali Klitschko Dias, Daniel Daniel Dias Adlington, Rebecca Rebecca Adlington Slater, Kelly Kelly Kelly Slater N / A Bolt, Usain Bolt Williams, Serena Serena Williams Brawn F1 Team Clijsters, Kim Kim Kim Clijsters Dunen Duion Jenson Button   Gilmore , Stephanie Stephanie Gilmore   N / A       2011   Nadal , Rafael Rafael Nadal   Vonn , Lindsey Lindsey Vonn   Spain national football team   Rossi , Valentino Valentino Rossi   Bentele , Verena Verena Bentele   Kaymer , Martin Martin Kaymer   Slater , Kelly Kelly Slater   N / A       2012   Djokovic Novok Novak Djokovic Cheruiyot, Vivian Cheruiyot Barcelona FC Barcelona Clarke, Darren Darren Clarke Pistorius, Oscar Pistorius Pistorius McIlroy, Rory Rory McIlroy Slater, Kelly Kelly Slater N / A 2013 Bolt, Usain Bolt Bolt. team   Sánchez , Félix Félix Sánchez   Dias , Daniel Daniel Dias   Murray , Andy Andy Murray   Baumgartner , Felix Felix Baumgartner   N / A       2014   Vettel , Sebastian Sebastian Vettel   Franklin , Missy Missy Franklin   Bayern FC Bayern Munich   Nadal , Rafael Rafael Nadal   Bochet , Marie Marie Bochet   Márquez , Marc Marc Márquez   Bestwick , Jamie Jamie Bestwick   N / A       2015   Djokovic , Novak Novak Djokovic   Dibaba , Genzebe Genzebe Dibaba   Germany national football team   Burger , Schalk Schalk Burger   McFadden , Tatyana Tatyana McFadden   Ricciardo , Daniel Daniel Ricciardo   Eustace , Alan Alan Eustace   N / A 2016 Djokovic, Novak Novak Djokovic Williams, Serena Williams New Zealand National Rugby Union Team Carter, Dan Dan Carter Dias, Daniel Daniel Dias Spieth, Jordan Jordan Spieth Frodeno, Jan Jan Frodeno N / A 2017 Bolt, Usain Bolt Biles Biles Chicago Cubs Phelps, Michael Michael Phelps Vio, Beatrice Beatrice Vio Rosberg, Nico Nico Rosberg Atherton, Rachel Rachel Atherton Barca FC Barcelona sob - 12s</v>
      </c>
      <c r="I471" s="3" t="str">
        <f>IFERROR(__xludf.DUMMYFUNCTION("GOOGLETRANSLATE(E471)"),"Usain")</f>
        <v>Usain</v>
      </c>
    </row>
    <row r="472" ht="15.75" customHeight="1">
      <c r="A472" s="1">
        <v>470.0</v>
      </c>
      <c r="B472" s="3" t="s">
        <v>1733</v>
      </c>
      <c r="C472" s="3" t="s">
        <v>1734</v>
      </c>
      <c r="D472" s="3" t="s">
        <v>1735</v>
      </c>
      <c r="E472" s="3" t="s">
        <v>1736</v>
      </c>
      <c r="F472" s="3" t="str">
        <f>IFERROR(__xludf.DUMMYFUNCTION("GOOGLETRANSLATE(B472)")," Esclerose lateral amiotrófica")</f>
        <v> Esclerose lateral amiotrófica</v>
      </c>
      <c r="G472" s="3" t="str">
        <f>IFERROR(__xludf.DUMMYFUNCTION("GOOGLETRANSLATE(C472)"),"Qual é a forma completa da doença de ALS")</f>
        <v>Qual é a forma completa da doença de ALS</v>
      </c>
      <c r="H472" s="3" t="str">
        <f>IFERROR(__xludf.DUMMYFUNCTION("GOOGLETRANSLATE(D472)")," A esclerose lateral amiotrófica (ELA), também conhecida como doença do neurônio motor (MND), e a doença de Lou Gehrig, é uma doença específica que causa a morte de neurônios que controlam os músculos voluntários. Alguns também usam o termo doença do neur"&amp;"ônio motor para um grupo de condições das quais a ALS é a mais comum. A ALS é caracterizada por músculos rígidos, contração muscular e pior pior da fraqueza devido a músculos que diminuem o tamanho. Isso resulta em dificuldade em falar, engolir e eventual"&amp;"mente respirar.")</f>
        <v> A esclerose lateral amiotrófica (ELA), também conhecida como doença do neurônio motor (MND), e a doença de Lou Gehrig, é uma doença específica que causa a morte de neurônios que controlam os músculos voluntários. Alguns também usam o termo doença do neurônio motor para um grupo de condições das quais a ALS é a mais comum. A ALS é caracterizada por músculos rígidos, contração muscular e pior pior da fraqueza devido a músculos que diminuem o tamanho. Isso resulta em dificuldade em falar, engolir e eventualmente respirar.</v>
      </c>
      <c r="I472" s="3" t="str">
        <f>IFERROR(__xludf.DUMMYFUNCTION("GOOGLETRANSLATE(E472)"),"Esclerose lateral amiotrófica")</f>
        <v>Esclerose lateral amiotrófica</v>
      </c>
    </row>
    <row r="473" ht="15.75" customHeight="1">
      <c r="A473" s="1">
        <v>471.0</v>
      </c>
      <c r="B473" s="3" t="s">
        <v>570</v>
      </c>
      <c r="C473" s="3" t="s">
        <v>1737</v>
      </c>
      <c r="D473" s="3" t="s">
        <v>1738</v>
      </c>
      <c r="E473" s="3" t="s">
        <v>1739</v>
      </c>
      <c r="F473" s="3" t="str">
        <f>IFERROR(__xludf.DUMMYFUNCTION("GOOGLETRANSLATE(B473)")," As Crônicas de Narnia")</f>
        <v> As Crônicas de Narnia</v>
      </c>
      <c r="G473" s="3" t="str">
        <f>IFERROR(__xludf.DUMMYFUNCTION("GOOGLETRANSLATE(C473)"),"Quantos livros estão na série Narnia")</f>
        <v>Quantos livros estão na série Narnia</v>
      </c>
      <c r="H473" s="3" t="str">
        <f>IFERROR(__xludf.DUMMYFUNCTION("GOOGLETRANSLATE(D473)")," As Crônicas de Nárnia são uma série de sete romances de fantasia de C.S. Lewis. É considerado um clássico da literatura infantil e é o trabalho mais conhecido do autor, tendo vendido mais de 100 milhões de cópias em 47 idiomas. Escrito por Lewis, ilustra"&amp;"do por Pauline Baynes, e originalmente publicado em Londres entre 1950 e 1956, as Crônicas de Nárnia foram adaptadas várias vezes, completas ou em parte, para rádio, televisão, palco e cinema.")</f>
        <v> As Crônicas de Nárnia são uma série de sete romances de fantasia de C.S. Lewis. É considerado um clássico da literatura infantil e é o trabalho mais conhecido do autor, tendo vendido mais de 100 milhões de cópias em 47 idiomas. Escrito por Lewis, ilustrado por Pauline Baynes, e originalmente publicado em Londres entre 1950 e 1956, as Crônicas de Nárnia foram adaptadas várias vezes, completas ou em parte, para rádio, televisão, palco e cinema.</v>
      </c>
      <c r="I473" s="3" t="str">
        <f>IFERROR(__xludf.DUMMYFUNCTION("GOOGLETRANSLATE(E473)"),"Sete")</f>
        <v>Sete</v>
      </c>
    </row>
    <row r="474" ht="15.75" customHeight="1">
      <c r="A474" s="1">
        <v>472.0</v>
      </c>
      <c r="B474" s="3" t="s">
        <v>1740</v>
      </c>
      <c r="C474" s="3" t="s">
        <v>1741</v>
      </c>
      <c r="D474" s="3" t="s">
        <v>1742</v>
      </c>
      <c r="E474" s="3" t="s">
        <v>1743</v>
      </c>
      <c r="F474" s="3" t="str">
        <f>IFERROR(__xludf.DUMMYFUNCTION("GOOGLETRANSLATE(B474)")," Marcus Alvarez")</f>
        <v> Marcus Alvarez</v>
      </c>
      <c r="G474" s="3" t="str">
        <f>IFERROR(__xludf.DUMMYFUNCTION("GOOGLETRANSLATE(C474)"),"que interpreta Sons of Anarchy Presidente em maia")</f>
        <v>que interpreta Sons of Anarchy Presidente em maia</v>
      </c>
      <c r="H474" s="3" t="str">
        <f>IFERROR(__xludf.DUMMYFUNCTION("GOOGLETRANSLATE(D474)")," Marcus Álvarez é um personagem fictício da série de televisão FX Sons of Anarchy e seu spinoff Mayans MC, interpretado por Emilio Rivera. Ele inicialmente serve como antagonista do show, mas gradualmente chega a uma relação menos hostil com os filhos da "&amp;"anarquia. Ele é o líder dos maias, um clube de motociclistas mexicanos - Outlaw.")</f>
        <v> Marcus Álvarez é um personagem fictício da série de televisão FX Sons of Anarchy e seu spinoff Mayans MC, interpretado por Emilio Rivera. Ele inicialmente serve como antagonista do show, mas gradualmente chega a uma relação menos hostil com os filhos da anarquia. Ele é o líder dos maias, um clube de motociclistas mexicanos - Outlaw.</v>
      </c>
      <c r="I474" s="3" t="str">
        <f>IFERROR(__xludf.DUMMYFUNCTION("GOOGLETRANSLATE(E474)"),"Marcus Álvarez")</f>
        <v>Marcus Álvarez</v>
      </c>
    </row>
    <row r="475" ht="15.75" customHeight="1">
      <c r="A475" s="1">
        <v>473.0</v>
      </c>
      <c r="B475" s="3" t="s">
        <v>1744</v>
      </c>
      <c r="C475" s="3" t="s">
        <v>1745</v>
      </c>
      <c r="D475" s="3" t="s">
        <v>1746</v>
      </c>
      <c r="F475" s="3" t="str">
        <f>IFERROR(__xludf.DUMMYFUNCTION("GOOGLETRANSLATE(B475)")," Atmosfera da terra")</f>
        <v> Atmosfera da terra</v>
      </c>
      <c r="G475" s="3" t="str">
        <f>IFERROR(__xludf.DUMMYFUNCTION("GOOGLETRANSLATE(C475)"),"Faça uma lista dos gases presentes na atmosfera da Terra")</f>
        <v>Faça uma lista dos gases presentes na atmosfera da Terra</v>
      </c>
      <c r="H475" s="3" t="str">
        <f>IFERROR(__xludf.DUMMYFUNCTION("GOOGLETRANSLATE(D475)")," Os principais constituintes do ar seco, por volume de volume, fórmula de nomes de gás em PPMV em % de nitrogênio 780.840 78.084 oxigênio o 209.460 20.946 Argon AR 9.340 0.9340 Dióxido de carbono HE 5.00 0.04 NEON NE 18.18 0.001818 Helium Helium : Vapor d"&amp;"e água H O 10 - 50.000 0,001 % - 5 % Notas: A fração de volume é igual à fração molar apenas para gás ideal, consulte também o volume (termodinâmica) PPMV: Peças por milhão por volume de vapor de água é de cerca de 0,25 % em massa sobre a massa sobre A at"&amp;"mosfera completa vapor varia fortemente")</f>
        <v> Os principais constituintes do ar seco, por volume de volume, fórmula de nomes de gás em PPMV em % de nitrogênio 780.840 78.084 oxigênio o 209.460 20.946 Argon AR 9.340 0.9340 Dióxido de carbono HE 5.00 0.04 NEON NE 18.18 0.001818 Helium Helium : Vapor de água H O 10 - 50.000 0,001 % - 5 % Notas: A fração de volume é igual à fração molar apenas para gás ideal, consulte também o volume (termodinâmica) PPMV: Peças por milhão por volume de vapor de água é de cerca de 0,25 % em massa sobre a massa sobre A atmosfera completa vapor varia fortemente</v>
      </c>
      <c r="I475" s="3" t="str">
        <f>IFERROR(__xludf.DUMMYFUNCTION("GOOGLETRANSLATE(E475)"),"#VALUE!")</f>
        <v>#VALUE!</v>
      </c>
    </row>
    <row r="476" ht="15.75" customHeight="1">
      <c r="A476" s="1">
        <v>474.0</v>
      </c>
      <c r="B476" s="3" t="s">
        <v>1747</v>
      </c>
      <c r="C476" s="3" t="s">
        <v>1748</v>
      </c>
      <c r="D476" s="3" t="s">
        <v>1749</v>
      </c>
      <c r="E476" s="3" t="s">
        <v>1750</v>
      </c>
      <c r="F476" s="3" t="str">
        <f>IFERROR(__xludf.DUMMYFUNCTION("GOOGLETRANSLATE(B476)")," Lista de campeonatos esportivos de Michigan")</f>
        <v> Lista de campeonatos esportivos de Michigan</v>
      </c>
      <c r="G476" s="3" t="str">
        <f>IFERROR(__xludf.DUMMYFUNCTION("GOOGLETRANSLATE(C476)"),"Quando foi a última vez que uma equipe esportiva de Detroit venceu um campeonato")</f>
        <v>Quando foi a última vez que uma equipe esportiva de Detroit venceu um campeonato</v>
      </c>
      <c r="H476" s="3" t="str">
        <f>IFERROR(__xludf.DUMMYFUNCTION("GOOGLETRANSLATE(D476)")," 2008 O Detroit Shock ganha seu terceiro campeonato da WNBA nas finais da WNBA. É o terceiro título da equipe em seis temporadas.")</f>
        <v> 2008 O Detroit Shock ganha seu terceiro campeonato da WNBA nas finais da WNBA. É o terceiro título da equipe em seis temporadas.</v>
      </c>
      <c r="I476" s="3" t="str">
        <f>IFERROR(__xludf.DUMMYFUNCTION("GOOGLETRANSLATE(E476)"),"2008")</f>
        <v>2008</v>
      </c>
    </row>
    <row r="477" ht="15.75" customHeight="1">
      <c r="A477" s="1">
        <v>475.0</v>
      </c>
      <c r="B477" s="3" t="s">
        <v>1751</v>
      </c>
      <c r="C477" s="3" t="s">
        <v>1752</v>
      </c>
      <c r="D477" s="3" t="s">
        <v>1753</v>
      </c>
      <c r="E477" s="3" t="s">
        <v>1754</v>
      </c>
      <c r="F477" s="3" t="str">
        <f>IFERROR(__xludf.DUMMYFUNCTION("GOOGLETRANSLATE(B477)")," Lista de jogadores da Premier League com 100 ou mais gols")</f>
        <v> Lista de jogadores da Premier League com 100 ou mais gols</v>
      </c>
      <c r="G477" s="3" t="str">
        <f>IFERROR(__xludf.DUMMYFUNCTION("GOOGLETRANSLATE(C477)"),"quem marcou mais gols na Premier League inglesa")</f>
        <v>quem marcou mais gols na Premier League inglesa</v>
      </c>
      <c r="H477" s="3" t="str">
        <f>IFERROR(__xludf.DUMMYFUNCTION("GOOGLETRANSLATE(D477)")," Lista de jogadores da Premier League com 100 ou mais gols classificam os jogadores da Premier League Club (S) GOTS RATION RATIO Shearer, Alan Alan Shearer Blackburn Rovers, Newcastle United 260 441 0.59 Rooney, Wayne Wayne Rooney Everton, Manchester Unit"&amp;"ed 208 491 0.42 Cole, Andy Andy Andy Andy Cole   Newcastle United , Manchester United , Blackburn Rovers , Fulham , Manchester City , Portsmouth   187   414   0.45       Lampard , Frank Frank Lampard   West Ham United , Chelsea , Manchester City   177   6"&amp;"09   0.29       Henry , Thierry Thierry Henry   Arsenal   175   258   0.68     6   Fowler , Robbie Robbie Fowler Liverpool, Leeds United, Manchester City 163 379 0,43 7 Defoe, Jermain Jermain Defoe West Ham United, Portsmouth, Tottenham Hotspur, Sunderlan"&amp;"d, Bournemouth 162 491 0.33 8 Owen, Michael Michael Owen Liverpool, Newcastle United, ManChester United, Stoke, 150 32, Michael Owen Liverpool, Newcastle United, ManChester United, Stoke, 150 32. 9 Ferdinand, Les Les Ferdinand Queens Park Rangers, Newcast"&amp;"le United, Tottenham Hotspur, West Ham United, Leicester City, Bolton Wanderers 149 351 0.42 10 Sheringham, Teddy Teddy Sheringham Nottingham Forest, Tottenham Hotspur, ManChester United, Portddy portdy, portdy Sheringham Nottingham Forest, Totten Hotspur"&amp;", ManChester United, Portsmouth 0.35     11   van Persie , Robin Robin van Persie   Arsenal , Manchester United   144   280   0.51     12   Agüero , Sergio Sergio Agüero   Manchester City   143   206   0.69     13   Hasselbaink , Jimmy Floyd Jimmy Floyd H"&amp;"asselbaink   Leeds United , Chelsea , Middlesbrough , Charlton Athletic   127   288   0.44     14   Keane , Robbie Robbie Keane   Coventry City , Leeds United , Tottenham Hotspur , Liverpool , West Ham United , Aston Villa   126   349   0.36     15   Anel"&amp;"ka , Nicolas Nicolas Anelka   Arsenal , Liverpool , Manchester City , Bolton Wanderers , Chelsea , West Bromwich Albion   125   364   0.34     16   Yorke , Dwight Dwight Yorke Aston Villa, Manchester United, Blackburn Rovers, Birmingham City, Sunderland 1"&amp;"23 375 0,33 17 Gerrard, Steven Steven Gerrard Liverpool 120 504 0.24 18 Wright, Ian Ian Wright Arsen, Du Du United 113 213 213 0.53. United , Coventry City , Aston Villa   111   312   0.36     20   Heskey , Emile Emile Heskey   Leicester City , Liverpool "&amp;", Birmingham City , Wigan Athletic , Aston Villa   110   516   0.21     21   Giggs , Ryan Ryan Giggs   Manchester United   109   632   0.17     22   Kane , Harry Harry Kane   Tottenham Hotspur   108   153   0.71     23   Crouch , Peter Peter Crouch   Asto"&amp;"n Villa , Southampton , Liverpool , Portsmouth , Tottenham Hotspur , Stoke City   108   462   0.23     23   Scholes , Paul Paul Scholes   Manchester United   107   499   0.21     25   Bent , Darren Darren Bent   Ipswich Town , Charlton Athletic , Tottenha"&amp;"m Hotspur , Sunderland , Aston Villa , Fulham   106   276   0.38     26   Drogba , Didier Didier Drogba   Chelsea   104   254   0.41     27   Lukaku , Romelu Romelu Lukaku   West Bromwich Albion , Everton , Manchester United   101   220   0.46     28   Le"&amp;" Tissier , Matt Matt Le Tissier   Southampton   100   270 0,37 tocadores de Italics Show ainda jogando futebol profissional; Bold shows jogadores ainda jogando na Premier League.")</f>
        <v> Lista de jogadores da Premier League com 100 ou mais gols classificam os jogadores da Premier League Club (S) GOTS RATION RATIO Shearer, Alan Alan Shearer Blackburn Rovers, Newcastle United 260 441 0.59 Rooney, Wayne Wayne Rooney Everton, Manchester United 208 491 0.42 Cole, Andy Andy Andy Andy Cole   Newcastle United , Manchester United , Blackburn Rovers , Fulham , Manchester City , Portsmouth   187   414   0.45       Lampard , Frank Frank Lampard   West Ham United , Chelsea , Manchester City   177   609   0.29       Henry , Thierry Thierry Henry   Arsenal   175   258   0.68     6   Fowler , Robbie Robbie Fowler Liverpool, Leeds United, Manchester City 163 379 0,43 7 Defoe, Jermain Jermain Defoe West Ham United, Portsmouth, Tottenham Hotspur, Sunderland, Bournemouth 162 491 0.33 8 Owen, Michael Michael Owen Liverpool, Newcastle United, ManChester United, Stoke, 150 32, Michael Owen Liverpool, Newcastle United, ManChester United, Stoke, 150 32. 9 Ferdinand, Les Les Ferdinand Queens Park Rangers, Newcastle United, Tottenham Hotspur, West Ham United, Leicester City, Bolton Wanderers 149 351 0.42 10 Sheringham, Teddy Teddy Sheringham Nottingham Forest, Tottenham Hotspur, ManChester United, Portddy portdy, portdy Sheringham Nottingham Forest, Totten Hotspur, ManChester United, Portsmouth 0.35     11   van Persie , Robin Robin van Persie   Arsenal , Manchester United   144   280   0.51     12   Agüero , Sergio Sergio Agüero   Manchester City   143   206   0.69     13   Hasselbaink , Jimmy Floyd Jimmy Floyd Hasselbaink   Leeds United , Chelsea , Middlesbrough , Charlton Athletic   127   288   0.44     14   Keane , Robbie Robbie Keane   Coventry City , Leeds United , Tottenham Hotspur , Liverpool , West Ham United , Aston Villa   126   349   0.36     15   Anelka , Nicolas Nicolas Anelka   Arsenal , Liverpool , Manchester City , Bolton Wanderers , Chelsea , West Bromwich Albion   125   364   0.34     16   Yorke , Dwight Dwight Yorke Aston Villa, Manchester United, Blackburn Rovers, Birmingham City, Sunderland 123 375 0,33 17 Gerrard, Steven Steven Gerrard Liverpool 120 504 0.24 18 Wright, Ian Ian Wright Arsen, Du Du United 113 213 213 0.53. United , Coventry City , Aston Villa   111   312   0.36     20   Heskey , Emile Emile Heskey   Leicester City , Liverpool , Birmingham City , Wigan Athletic , Aston Villa   110   516   0.21     21   Giggs , Ryan Ryan Giggs   Manchester United   109   632   0.17     22   Kane , Harry Harry Kane   Tottenham Hotspur   108   153   0.71     23   Crouch , Peter Peter Crouch   Aston Villa , Southampton , Liverpool , Portsmouth , Tottenham Hotspur , Stoke City   108   462   0.23     23   Scholes , Paul Paul Scholes   Manchester United   107   499   0.21     25   Bent , Darren Darren Bent   Ipswich Town , Charlton Athletic , Tottenham Hotspur , Sunderland , Aston Villa , Fulham   106   276   0.38     26   Drogba , Didier Didier Drogba   Chelsea   104   254   0.41     27   Lukaku , Romelu Romelu Lukaku   West Bromwich Albion , Everton , Manchester United   101   220   0.46     28   Le Tissier , Matt Matt Le Tissier   Southampton   100   270 0,37 tocadores de Italics Show ainda jogando futebol profissional; Bold shows jogadores ainda jogando na Premier League.</v>
      </c>
      <c r="I477" s="3" t="str">
        <f>IFERROR(__xludf.DUMMYFUNCTION("GOOGLETRANSLATE(E477)"),"Alan Shearer")</f>
        <v>Alan Shearer</v>
      </c>
    </row>
    <row r="478" ht="15.75" customHeight="1">
      <c r="A478" s="1">
        <v>476.0</v>
      </c>
      <c r="B478" s="3" t="s">
        <v>1755</v>
      </c>
      <c r="C478" s="3" t="s">
        <v>1756</v>
      </c>
      <c r="D478" s="3" t="s">
        <v>1757</v>
      </c>
      <c r="F478" s="3" t="str">
        <f>IFERROR(__xludf.DUMMYFUNCTION("GOOGLETRANSLATE(B478)")," Hierarquia da Igreja Católica")</f>
        <v> Hierarquia da Igreja Católica</v>
      </c>
      <c r="G478" s="3" t="str">
        <f>IFERROR(__xludf.DUMMYFUNCTION("GOOGLETRANSLATE(C478)"),"Qual é a diferença entre padre e bispo")</f>
        <v>Qual é a diferença entre padre e bispo</v>
      </c>
      <c r="H478" s="3" t="str">
        <f>IFERROR(__xludf.DUMMYFUNCTION("GOOGLETRANSLATE(D478)")," Todo o clero, incluindo diáconos, padres e bispos, pode pregar, ensinar, batizar, testemunhar casamentos e conduzir liturgias funerárias. Somente padres e bispos podem celebrar os sacramentos da Eucaristia (embora outros possam ser ministros da Santa Com"&amp;"unhão), penitência (reconciliação, confissão), confirmação (os padres podem administrar esse sacramento com a aprovação eclesiástica anterior) e a unção dos doentes. Somente os bispos podem administrar o sacramento das ordens sagradas, pelas quais os home"&amp;"ns são ordenados como bispos, padres ou diáconos.")</f>
        <v> Todo o clero, incluindo diáconos, padres e bispos, pode pregar, ensinar, batizar, testemunhar casamentos e conduzir liturgias funerárias. Somente padres e bispos podem celebrar os sacramentos da Eucaristia (embora outros possam ser ministros da Santa Comunhão), penitência (reconciliação, confissão), confirmação (os padres podem administrar esse sacramento com a aprovação eclesiástica anterior) e a unção dos doentes. Somente os bispos podem administrar o sacramento das ordens sagradas, pelas quais os homens são ordenados como bispos, padres ou diáconos.</v>
      </c>
      <c r="I478" s="3" t="str">
        <f>IFERROR(__xludf.DUMMYFUNCTION("GOOGLETRANSLATE(E478)"),"#VALUE!")</f>
        <v>#VALUE!</v>
      </c>
    </row>
    <row r="479" ht="15.75" customHeight="1">
      <c r="A479" s="1">
        <v>477.0</v>
      </c>
      <c r="B479" s="3" t="s">
        <v>1758</v>
      </c>
      <c r="C479" s="3" t="s">
        <v>1759</v>
      </c>
      <c r="D479" s="3" t="s">
        <v>1760</v>
      </c>
      <c r="E479" s="3" t="s">
        <v>1761</v>
      </c>
      <c r="F479" s="3" t="str">
        <f>IFERROR(__xludf.DUMMYFUNCTION("GOOGLETRANSLATE(B479)")," Uluru")</f>
        <v> Uluru</v>
      </c>
      <c r="G479" s="3" t="str">
        <f>IFERROR(__xludf.DUMMYFUNCTION("GOOGLETRANSLATE(C479)"),"Qual é a elevação de Uluru-kata (em metros) na Austrália")</f>
        <v>Qual é a elevação de Uluru-kata (em metros) na Austrália</v>
      </c>
      <c r="H479" s="3" t="str">
        <f>IFERROR(__xludf.DUMMYFUNCTION("GOOGLETRANSLATE(D479)"),"   Uluru (Uluṟu) Ayers Vista aérea rock da elevação do Território do Norte do Estado da Austrália ULU Austrália 863 m (2.831 pés) Propriedade 348 m (1.142 pés) Coordena 25 20 25.34500 ° S 131.03611 ° E / - 25.34500; 131.03611 Coordenadas: 25 ° 20 42 '' S "&amp;"131 ° 02 10 '' E 131.03611 ELOGOTENY PETERMANN NOME DO PRÓMEIO MUNDIAL PATERIAL UNESCO Nome do ULU - Kata Tjuṯa Ano do Parque Nacional de 1987 ( # 11) Número 447 Critérios V, VI, VII, Site ULUW")</f>
        <v>   Uluru (Uluṟu) Ayers Vista aérea rock da elevação do Território do Norte do Estado da Austrália ULU Austrália 863 m (2.831 pés) Propriedade 348 m (1.142 pés) Coordena 25 20 25.34500 ° S 131.03611 ° E / - 25.34500; 131.03611 Coordenadas: 25 ° 20 42 '' S 131 ° 02 10 '' E 131.03611 ELOGOTENY PETERMANN NOME DO PRÓMEIO MUNDIAL PATERIAL UNESCO Nome do ULU - Kata Tjuṯa Ano do Parque Nacional de 1987 ( # 11) Número 447 Critérios V, VI, VII, Site ULUW</v>
      </c>
      <c r="I479" s="3" t="str">
        <f>IFERROR(__xludf.DUMMYFUNCTION("GOOGLETRANSLATE(E479)"),"863 m")</f>
        <v>863 m</v>
      </c>
    </row>
    <row r="480" ht="15.75" customHeight="1">
      <c r="A480" s="1">
        <v>478.0</v>
      </c>
      <c r="B480" s="3" t="s">
        <v>1762</v>
      </c>
      <c r="C480" s="3" t="s">
        <v>1763</v>
      </c>
      <c r="D480" s="3" t="s">
        <v>1764</v>
      </c>
      <c r="F480" s="3" t="str">
        <f>IFERROR(__xludf.DUMMYFUNCTION("GOOGLETRANSLATE(B480)")," Um ótimo dia no Harlem (fotografia)")</f>
        <v> Um ótimo dia no Harlem (fotografia)</v>
      </c>
      <c r="G480" s="3" t="str">
        <f>IFERROR(__xludf.DUMMYFUNCTION("GOOGLETRANSLATE(C480)"),"Um ótimo dia no Harlem quem é quem")</f>
        <v>Um ótimo dia no Harlem quem é quem</v>
      </c>
      <c r="H480" s="3" t="str">
        <f>IFERROR(__xludf.DUMMYFUNCTION("GOOGLETRANSLATE(D480)"),"     Red Allen Buster Bailey Conde Basie Emmett Berry Arte Blakey Lawrence Brown Scoville Browne Buck Clayton Bill Crump Vic Dickenson Roy Eldridge Artigar Bud Freeman Dizzy Gillespie Tyree Glenn Benny Golson Sonny Greer Johnny Gigi Gigi Gryce Coleman Haw"&amp;"kins J.C. Hilton Jefferson Osie Johnson Hank Jones Jo Jones Jimmy Jones Taft Jordan Max Kaminsky Gene Krupa Eddie Locke Marian McPartland Charles Mingue Miff Miff thelonious Monk Gerry Mulligan Oscar Pettifor RURSTILHELL LUBLELL ROLOTS SONNY Rollins Jimmy"&amp;" Rushing Rushing Rushing Rushing Rushing Stewart Maxine Sullivan Joe Thomas Wilbur Ware Dickie Wells George Wettling Ernie Wilkins Mary Lou Williams Lester Young")</f>
        <v>     Red Allen Buster Bailey Conde Basie Emmett Berry Arte Blakey Lawrence Brown Scoville Browne Buck Clayton Bill Crump Vic Dickenson Roy Eldridge Artigar Bud Freeman Dizzy Gillespie Tyree Glenn Benny Golson Sonny Greer Johnny Gigi Gigi Gryce Coleman Hawkins J.C. Hilton Jefferson Osie Johnson Hank Jones Jo Jones Jimmy Jones Taft Jordan Max Kaminsky Gene Krupa Eddie Locke Marian McPartland Charles Mingue Miff Miff thelonious Monk Gerry Mulligan Oscar Pettifor RURSTILHELL LUBLELL ROLOTS SONNY Rollins Jimmy Rushing Rushing Rushing Rushing Rushing Stewart Maxine Sullivan Joe Thomas Wilbur Ware Dickie Wells George Wettling Ernie Wilkins Mary Lou Williams Lester Young</v>
      </c>
      <c r="I480" s="3" t="str">
        <f>IFERROR(__xludf.DUMMYFUNCTION("GOOGLETRANSLATE(E480)"),"#VALUE!")</f>
        <v>#VALUE!</v>
      </c>
    </row>
    <row r="481" ht="15.75" customHeight="1">
      <c r="A481" s="1">
        <v>479.0</v>
      </c>
      <c r="B481" s="3" t="s">
        <v>1765</v>
      </c>
      <c r="C481" s="3" t="s">
        <v>1766</v>
      </c>
      <c r="D481" s="3" t="s">
        <v>1767</v>
      </c>
      <c r="E481" s="3" t="s">
        <v>1447</v>
      </c>
      <c r="F481" s="3" t="str">
        <f>IFERROR(__xludf.DUMMYFUNCTION("GOOGLETRANSLATE(B481)")," Knight Rider (franquia)")</f>
        <v> Knight Rider (franquia)</v>
      </c>
      <c r="G481" s="3" t="str">
        <f>IFERROR(__xludf.DUMMYFUNCTION("GOOGLETRANSLATE(C481)"),"Quantas estações existem de cavaleiro cavaleiro")</f>
        <v>Quantas estações existem de cavaleiro cavaleiro</v>
      </c>
      <c r="H481" s="3" t="str">
        <f>IFERROR(__xludf.DUMMYFUNCTION("GOOGLETRANSLATE(D481)")," A série original de Knight Rider seguiu as aventuras de Michael Knight, um lutador de crimes modernos - do Dia que usa um automóvel tecnologicamente avançado e artificialmente inteligente. Este carro é praticamente indestrutível, devido a um revestimento"&amp;" de alta tecnologia aplicado a ele. Esta série estreou em 1982 e durou quatro temporadas na NBC. Essas aventuras foram continuadas com os filmes da televisão Knight Rider 2000 e Knight Rider 2010 e o curto -time morado Knight Rider. Um outro filme de tele"&amp;"visão, Knight Rider, serviu como piloto da série de televisão de 2008, Knight Rider. Em 1985, uma série Spin - Off, Code of Vengeance, também estreou.")</f>
        <v> A série original de Knight Rider seguiu as aventuras de Michael Knight, um lutador de crimes modernos - do Dia que usa um automóvel tecnologicamente avançado e artificialmente inteligente. Este carro é praticamente indestrutível, devido a um revestimento de alta tecnologia aplicado a ele. Esta série estreou em 1982 e durou quatro temporadas na NBC. Essas aventuras foram continuadas com os filmes da televisão Knight Rider 2000 e Knight Rider 2010 e o curto -time morado Knight Rider. Um outro filme de televisão, Knight Rider, serviu como piloto da série de televisão de 2008, Knight Rider. Em 1985, uma série Spin - Off, Code of Vengeance, também estreou.</v>
      </c>
      <c r="I481" s="3" t="str">
        <f>IFERROR(__xludf.DUMMYFUNCTION("GOOGLETRANSLATE(E481)"),"quatro")</f>
        <v>quatro</v>
      </c>
    </row>
    <row r="482" ht="15.75" customHeight="1">
      <c r="A482" s="1">
        <v>480.0</v>
      </c>
      <c r="B482" s="3" t="s">
        <v>1768</v>
      </c>
      <c r="C482" s="3" t="s">
        <v>1769</v>
      </c>
      <c r="D482" s="3" t="s">
        <v>1770</v>
      </c>
      <c r="E482" s="3" t="s">
        <v>1771</v>
      </c>
      <c r="F482" s="3" t="str">
        <f>IFERROR(__xludf.DUMMYFUNCTION("GOOGLETRANSLATE(B482)")," Alguém que eu conhecia")</f>
        <v> Alguém que eu conhecia</v>
      </c>
      <c r="G482" s="3" t="str">
        <f>IFERROR(__xludf.DUMMYFUNCTION("GOOGLETRANSLATE(C482)"),"quem a garota em alguém que eu costumava conhecer")</f>
        <v>quem a garota em alguém que eu costumava conhecer</v>
      </c>
      <c r="H482" s="3" t="str">
        <f>IFERROR(__xludf.DUMMYFUNCTION("GOOGLETRANSLATE(D482)")," `` Alguém que eu conhecia '' foi realizado várias vezes nos principais programas de TV dos EUA, como The Voice, American Idol e Saturday Night Live. Foi coberto pelo grupo de rock indie canadense da Terra usando uma única guitarra tocada simultaneamente "&amp;"pelos cinco membros da banda e pelos atores Darren Criss e Matt Bomer no episódio de Glee `` Big Brother ''. O videoclipe que o acompanha foi dirigido pela artista australiana Natasha Pincus. O vídeo, que recebeu mais de 1,1 bilhão de visualizações no You"&amp;"Tube em agosto de 2018, estreou em 5 de julho de 2011. Ele mostra Gotye e Kimbra nus contra um cenário branco. Enquanto eles cantam, um padrão de tinta cobre gradualmente a pele e o pano de fundo através da animação de stop motion.")</f>
        <v> `` Alguém que eu conhecia '' foi realizado várias vezes nos principais programas de TV dos EUA, como The Voice, American Idol e Saturday Night Live. Foi coberto pelo grupo de rock indie canadense da Terra usando uma única guitarra tocada simultaneamente pelos cinco membros da banda e pelos atores Darren Criss e Matt Bomer no episódio de Glee `` Big Brother ''. O videoclipe que o acompanha foi dirigido pela artista australiana Natasha Pincus. O vídeo, que recebeu mais de 1,1 bilhão de visualizações no YouTube em agosto de 2018, estreou em 5 de julho de 2011. Ele mostra Gotye e Kimbra nus contra um cenário branco. Enquanto eles cantam, um padrão de tinta cobre gradualmente a pele e o pano de fundo através da animação de stop motion.</v>
      </c>
      <c r="I482" s="3" t="str">
        <f>IFERROR(__xludf.DUMMYFUNCTION("GOOGLETRANSLATE(E482)"),"Kimbra")</f>
        <v>Kimbra</v>
      </c>
    </row>
    <row r="483" ht="15.75" customHeight="1">
      <c r="A483" s="1">
        <v>481.0</v>
      </c>
      <c r="B483" s="3" t="s">
        <v>1772</v>
      </c>
      <c r="C483" s="3" t="s">
        <v>1773</v>
      </c>
      <c r="D483" s="3" t="s">
        <v>1774</v>
      </c>
      <c r="F483" s="3" t="str">
        <f>IFERROR(__xludf.DUMMYFUNCTION("GOOGLETRANSLATE(B483)")," Declaração de Independência dos Estados Unidos")</f>
        <v> Declaração de Independência dos Estados Unidos</v>
      </c>
      <c r="G483" s="3" t="str">
        <f>IFERROR(__xludf.DUMMYFUNCTION("GOOGLETRANSLATE(C483)"),"O que significa o quinto parágrafo da declaração de independência")</f>
        <v>O que significa o quinto parágrafo da declaração de independência</v>
      </c>
      <c r="H483" s="3" t="str">
        <f>IFERROR(__xludf.DUMMYFUNCTION("GOOGLETRANSLATE(D483)"),"   Introdução afirma como uma questão de lei natural a capacidade do povo de assumir a independência política; reconhece que os fundamentos para essa independência devem ser razoáveis ​​e, portanto, explicáveis, e devem ser explicados. No Congresso, 4 de "&amp;"julho de 1776. A declaração unânime dos treze Estados Unidos da América, quando, no decorrer dos eventos humanos, torna -se necessário que um povo dissolve as bandas políticas que os conectaram a outro e assumirem entre os poderes da terra, os separados e"&amp;" separados e Estação igual à qual as leis da natureza e da natureza as autorizam, um respeito decente às opiniões da humanidade exige que elas declarem as causas que as impelam à separação. O preâmbulo descreve uma filosofia geral do governo que justifica"&amp;" a revolução quando o governo prejudica os direitos naturais. Consideramos essas verdades que todos os homens são criados iguais, que são dotados por seu criador com certos direitos inalienáveis, que entre eles são a vida, a liberdade e a busca da felicid"&amp;"ade. Para garantir esses direitos, os governos são instituídos entre os homens, obtendo seus justos poderes do consentimento dos governados, que sempre que qualquer forma de governo se torna destrutiva desses fins, é o direito do povo de alterá -lo ou abo"&amp;"lir -o, e Instituir um novo governo, estabelecendo sua base sobre tais princípios e organizando seus poderes de tal forma, pois para eles parecerá mais provável de afetar sua segurança e felicidade. A prudência, de fato, determinará que os governos estabe"&amp;"lecidos há muito tempo não devem ser alterados para causas leves e transitórias; E, portanto, toda a experiência, mostrou que a humanidade está mais disposta a sofrer, enquanto os males são sofridos, do que a se certa abolindo as formas às quais estão aco"&amp;"stumadas. Mas quando uma longa linha de abusos e usurpações, perseguir invariavelmente o mesmo objeto evidencia um design para reduzi -los sob o despotismo absoluto, é o direito deles, é seu dever, de fora do governo e fornecer novos guardas para sua futu"&amp;"ra segurança . Indicto Um Lei de Participação Documentando os Rei `` Lesões e Usurpações '' dos Americanos 'Direitos e Liberdades dos Americanos. Tal tem sido o sofrimento do paciente dessas colônias; E agora é a necessidade que os restringe a alterar seu"&amp;"s antigos sistemas de governo. A história do atual rei da Grã -Bretanha é uma história de lesões e usurpações repetidas, todas tendo em objeto direto o estabelecimento de uma tirania absoluta sobre esses estados. Para provar isso, deixe os fatos serem sub"&amp;"metidos a um mundo sincero. Ele recusou seu consentimento às leis, o mais saudável e necessário para o bem público. Ele proibiu seus governadores de aprovar leis de importância imediata e premente, a menos que suspensas em sua operação até que seu consent"&amp;"imento seja obtido; E quando tão suspenso, ele negligenciou totalmente. Ele se recusou a aprovar outras leis para a acomodação de grandes distritos de pessoas, a menos que essas pessoas abandonassem o direito de representação no Legislativo, um direito in"&amp;"estimável a elas e formidável apenas para tiranos. Ele abriu juntos órgãos legislativos em lugares incomuns, desconfortáveis ​​e distantes do depositário de seus registros públicos, com o único objetivo de fatigá -los em conformidade com suas medidas. Ele"&amp;" dissolveu casas representativas repetidamente, por se opor à firmeza viril de suas invasões sobre os direitos do povo. Ele se recusou por um longo tempo, após tais dissoluções, para fazer com que outros sejam eleitos, pelos quais os poderes legislativos,"&amp;" incapazes de aniquilação, retornaram às pessoas em geral para o exercício; O estado permanecendo nesse meio tempo exposto a todos os perigos da invasão de fora e convulsões dentro. Ele se esforçou para impedir a população desses estados; Para esse fim, o"&amp;"bstruindo as leis pela naturalização de estrangeiros; Recusando -se a passar por outros para incentivar suas migrações por cá e a elevar as condições de novas apropriações de terras. Ele obstruiu a administração da justiça, recusando seu consentimento às "&amp;"leis por estabelecer poderes judiciários. Ele tornou os juízes dependentes de sua vontade sozinhos para o mandato de seus escritórios e o valor e o pagamento de seus salários. Ele ergueu uma infinidade de novos escritórios e enviou enxames de oficiais par"&amp;"a assediar nosso povo e comer sua substância. Ele manteve entre nós, em tempos de paz, exércitos permanecendo sem o consentimento de nossas legislaturas. Ele afetou para tornar os militares independentes e superiores ao poder civil. Ele se combinou com ou"&amp;"tras pessoas para nos sujeitar a uma jurisdição estrangeira à nossa Constituição e não reconhecida por nossas leis; Dando seu consentimento a seus atos de legislação presa: por trimestre grandes órgãos de tropas armadas entre nós: por protegê -los, por um"&amp;" julgamento simulado da punição por qualquer assassinato que eles devem cometer nos habitantes desses estados: por cortar nosso comércio com com o comércio com Todas as partes do mundo: por impor impostos a nós sem o nosso consentimento: por nos privar em"&amp;" muitos casos, do benefício do julgamento pelo júri: por transportar -nos além do mar para ser julgado por ofensas fingidas: para abolir o sistema livre de leis inglesas Em uma província vizinha, estabelecendo nela um governo arbitrário e ampliando seus l"&amp;"imites, a fim de torná -lo ao mesmo tempo um exemplo e encaixar um instrumento para introduzir a mesma regra absoluta nessas colônias para tirar nossas cartas, abolir nossas leis mais valiosas e alterar fundamentalmente As formas de nossos governos: por s"&amp;"uspender nossas próprias legislaturas e se declarar investiram com poder para nos legislar em todos os casos. Ele abdicou o governo aqui, declarando -nos fora de sua proteção e travando guerra contra nós. Ele saqueou nossos mares, devastou nossas costas, "&amp;"queimou nossas cidades e destruiu a vida de nosso povo. Naquele momento, ele está transportando grandes exércitos de mercenários estrangeiros para completar as obras da morte, desolação e tirania, já começando com circunstâncias de crueldade e perfídia ma"&amp;"l paralelizadas nas idades mais bárbaras e totalmente indignas de uma nação civilizada. Ele restringiu nossos concidadãos em cativeiro no alto mar para portar armas contra seu país, a se tornarem executores de seus amigos e irmãos, ou a se cair por suas m"&amp;"ãos. Ele excitou insurreições domésticas entre nós e se esforçou para trazer os habitantes de nossas fronteiras, os impiedosos selvagens indianos cuja regra conhecida de guerra é uma destruição indistinta de todas as idades, sexos e condições. Em todas as"&amp;" etapas dessas opressões, solicitamos a reparação nos termos mais humildes: nossas petições repetidas foram respondidas apenas por lesões repetidas. Um príncipe, cujo caráter é assim marcado por todo ato que pode definir um tirano, é impróprio para ser o "&amp;"governante de um povo livre. Denúncia Esta seção termina essencialmente o caso da independência. As condições que justificam a revolução foram mostradas. Nem estamos querendo atenção aos nossos irmãos britânicos. Nós os alertamos de tempos em tempos de te"&amp;"ntativas por sua legislatura de estender uma jurisdição injustificável sobre nós. Lembramos -lhes das circunstâncias de nossa emigração e liquidação aqui. Apelamos à sua justiça e magnanimidade nativa, e as conjuramos pelos laços de nossos parentes comuns"&amp;" para negar essas usurpações, o que, inevitavelmente, interromperia nossas conexões e correspondências. Eles também foram surdos à voz da justiça e da consanguinidade. Devemos, portanto, concordar com a necessidade, que denuncia nossa separação e os segur"&amp;"a, enquanto mantivemos o resto da humanidade, inimigos na guerra, em paz amigos. Conclusão Os signatários afirmam que existem condições sob as quais as pessoas devem mudar seu governo, que os britânicos produziram tais condições e, por necessidade, as col"&amp;"ônias devem eliminar laços políticos com a coroa britânica e se tornarem estados independentes. A conclusão contém, em sua essência, a resolução Lee que foi aprovada em 2 de julho. Nós, portanto, os representantes dos Estados Unidos da América, no Congres"&amp;"so Geral, reunimos, apelando para o juiz supremo do mundo pela retidão de nossas intenções, fazemos, em nome e pela autoridade das boas pessoas dessas colônias , publicar e declarar solenemente que essas colônias unidas são, e do direito, deve ser estados"&amp;" livres e independentes; que eles são absolvidos de toda lealdade à coroa britânica e que toda a conexão política entre eles e o estado da Grã -Bretanha é e deve ser totalmente dissolvida; e que, como estados livres e independentes, eles têm pleno poder p"&amp;"ara cobrar guerra, concluir a paz, contratar alianças, estabelecer comércio e fazer todos os outros atos e coisas que os estados independentes podem fazer. E para o apoio dessa declaração, com uma firme dependência da proteção da Providência Divina, nos c"&amp;"omprometemos mutuamente em nossas vidas, em nossas fortunas e nossa sagrada honra. Assinaturas A primeira e mais famosa assinatura na cópia absorvida foi a de John Hancock, presidente do Congresso Continental. Dois futuros presidentes (Thomas Jefferson e "&amp;"John Adams) e um pai e grande avô de dois outros presidentes (Benjamin Harrison) estavam entre os signatários. Edward Rutledge (26 anos) era o signatário mais jovem, e Benjamin Franklin (70 anos) era o assinante mais antigo. The fifty - six signers of the"&amp;" Declaration represented the new states as follows ( from north to south ) :      New Hampshire : Josiah Bartlett , William Whipple , Matthew Thornton   Massachusetts : Samuel Adams , John Adams , John Hancock , Robert Treat Paine , Elbridge Gerry   Rhode"&amp;" Ilha: Stephen Hopkins, William Ellery Connecticut: Roger Sherman, Samuel Huntington, William Williams, Oliver Wolcott Nova York: William Floyd, Philip Livingston, Francis Lewis, Lewis Morris New Jersey: Richard Stockton, John Witherspoon, Francis Howkins"&amp;"on, John Hartn: John Stockton, John Witherspoon, Francis Howkinson, John Jersey, John Stockton, John Witherspoon, Francis Hookkins, Clark   Pennsylvania : Robert Morris , Benjamin Rush , Benjamin Franklin , John Morton , George Clymer , James Smith , Geor"&amp;"ge Taylor , James Wilson , George Ross   Delaware : George Read , Caesar Rodney , Thomas McKean   Maryland : Samuel Chase , William Paca , Thomas Stone , Charles Carroll of Carrollton   Virginia : George Wythe , Richard Henry Lee , Thomas Jefferson , Benj"&amp;"amin Harrison , Thomas Nelson Jr. , Francis Lightfoot Lee , Carter Braxton   North Carolina : William Hooper , Joseph Hewes , John Penn   South Carolina : Edward Rutledge , Thomas Heyward Jr ., Thomas Lynch Jr., Arthur Middleton Georgia: Button Gwinnett, "&amp;"Lyman Hall, George Walton")</f>
        <v>   Introdução afirma como uma questão de lei natural a capacidade do povo de assumir a independência política; reconhece que os fundamentos para essa independência devem ser razoáveis ​​e, portanto, explicáveis, e devem ser explicados. No Congresso, 4 de julho de 1776. A declaração unânime dos treze Estados Unidos da América, quando, no decorrer dos eventos humanos, torna -se necessário que um povo dissolve as bandas políticas que os conectaram a outro e assumirem entre os poderes da terra, os separados e separados e Estação igual à qual as leis da natureza e da natureza as autorizam, um respeito decente às opiniões da humanidade exige que elas declarem as causas que as impelam à separação. O preâmbulo descreve uma filosofia geral do governo que justifica a revolução quando o governo prejudica os direitos naturais. Consideramos essas verdades que todos os homens são criados iguais, que são dotados por seu criador com certos direitos inalienáveis, que entre eles são a vida, a liberdade e a busca da felicidade. Para garantir esses direitos, os governos são instituídos entre os homens, obtendo seus justos poderes do consentimento dos governados, que sempre que qualquer forma de governo se torna destrutiva desses fins, é o direito do povo de alterá -lo ou abolir -o, e Instituir um novo governo, estabelecendo sua base sobre tais princípios e organizando seus poderes de tal forma, pois para eles parecerá mais provável de afetar sua segurança e felicidade. A prudência, de fato, determinará que os governos estabelecidos há muito tempo não devem ser alterados para causas leves e transitórias; E, portanto, toda a experiência, mostrou que a humanidade está mais disposta a sofrer, enquanto os males são sofridos, do que a se certa abolindo as formas às quais estão acostumadas. Mas quando uma longa linha de abusos e usurpações, perseguir invariavelmente o mesmo objeto evidencia um design para reduzi -los sob o despotismo absoluto, é o direito deles, é seu dever, de fora do governo e fornecer novos guardas para sua futura segurança . Indicto Um Lei de Participação Documentando os Rei `` Lesões e Usurpações '' dos Americanos 'Direitos e Liberdades dos Americanos. Tal tem sido o sofrimento do paciente dessas colônias; E agora é a necessidade que os restringe a alterar seus antigos sistemas de governo. A história do atual rei da Grã -Bretanha é uma história de lesões e usurpações repetidas, todas tendo em objeto direto o estabelecimento de uma tirania absoluta sobre esses estados. Para provar isso, deixe os fatos serem submetidos a um mundo sincero. Ele recusou seu consentimento às leis, o mais saudável e necessário para o bem público. Ele proibiu seus governadores de aprovar leis de importância imediata e premente, a menos que suspensas em sua operação até que seu consentimento seja obtido; E quando tão suspenso, ele negligenciou totalmente. Ele se recusou a aprovar outras leis para a acomodação de grandes distritos de pessoas, a menos que essas pessoas abandonassem o direito de representação no Legislativo, um direito inestimável a elas e formidável apenas para tiranos. Ele abriu juntos órgãos legislativos em lugares incomuns, desconfortáveis ​​e distantes do depositário de seus registros públicos, com o único objetivo de fatigá -los em conformidade com suas medidas. Ele dissolveu casas representativas repetidamente, por se opor à firmeza viril de suas invasões sobre os direitos do povo. Ele se recusou por um longo tempo, após tais dissoluções, para fazer com que outros sejam eleitos, pelos quais os poderes legislativos, incapazes de aniquilação, retornaram às pessoas em geral para o exercício; O estado permanecendo nesse meio tempo exposto a todos os perigos da invasão de fora e convulsões dentro. Ele se esforçou para impedir a população desses estados; Para esse fim, obstruindo as leis pela naturalização de estrangeiros; Recusando -se a passar por outros para incentivar suas migrações por cá e a elevar as condições de novas apropriações de terras. Ele obstruiu a administração da justiça, recusando seu consentimento às leis por estabelecer poderes judiciários. Ele tornou os juízes dependentes de sua vontade sozinhos para o mandato de seus escritórios e o valor e o pagamento de seus salários. Ele ergueu uma infinidade de novos escritórios e enviou enxames de oficiais para assediar nosso povo e comer sua substância. Ele manteve entre nós, em tempos de paz, exércitos permanecendo sem o consentimento de nossas legislaturas. Ele afetou para tornar os militares independentes e superiores ao poder civil. Ele se combinou com outras pessoas para nos sujeitar a uma jurisdição estrangeira à nossa Constituição e não reconhecida por nossas leis; Dando seu consentimento a seus atos de legislação presa: por trimestre grandes órgãos de tropas armadas entre nós: por protegê -los, por um julgamento simulado da punição por qualquer assassinato que eles devem cometer nos habitantes desses estados: por cortar nosso comércio com com o comércio com Todas as partes do mundo: por impor impostos a nós sem o nosso consentimento: por nos privar em muitos casos, do benefício do julgamento pelo júri: por transportar -nos além do mar para ser julgado por ofensas fingidas: para abolir o sistema livre de leis inglesas Em uma província vizinha, estabelecendo nela um governo arbitrário e ampliando seus limites, a fim de torná -lo ao mesmo tempo um exemplo e encaixar um instrumento para introduzir a mesma regra absoluta nessas colônias para tirar nossas cartas, abolir nossas leis mais valiosas e alterar fundamentalmente As formas de nossos governos: por suspender nossas próprias legislaturas e se declarar investiram com poder para nos legislar em todos os casos. Ele abdicou o governo aqui, declarando -nos fora de sua proteção e travando guerra contra nós. Ele saqueou nossos mares, devastou nossas costas, queimou nossas cidades e destruiu a vida de nosso povo. Naquele momento, ele está transportando grandes exércitos de mercenários estrangeiros para completar as obras da morte, desolação e tirania, já começando com circunstâncias de crueldade e perfídia mal paralelizadas nas idades mais bárbaras e totalmente indignas de uma nação civilizada. Ele restringiu nossos concidadãos em cativeiro no alto mar para portar armas contra seu país, a se tornarem executores de seus amigos e irmãos, ou a se cair por suas mãos. Ele excitou insurreições domésticas entre nós e se esforçou para trazer os habitantes de nossas fronteiras, os impiedosos selvagens indianos cuja regra conhecida de guerra é uma destruição indistinta de todas as idades, sexos e condições. Em todas as etapas dessas opressões, solicitamos a reparação nos termos mais humildes: nossas petições repetidas foram respondidas apenas por lesões repetidas. Um príncipe, cujo caráter é assim marcado por todo ato que pode definir um tirano, é impróprio para ser o governante de um povo livre. Denúncia Esta seção termina essencialmente o caso da independência. As condições que justificam a revolução foram mostradas. Nem estamos querendo atenção aos nossos irmãos britânicos. Nós os alertamos de tempos em tempos de tentativas por sua legislatura de estender uma jurisdição injustificável sobre nós. Lembramos -lhes das circunstâncias de nossa emigração e liquidação aqui. Apelamos à sua justiça e magnanimidade nativa, e as conjuramos pelos laços de nossos parentes comuns para negar essas usurpações, o que, inevitavelmente, interromperia nossas conexões e correspondências. Eles também foram surdos à voz da justiça e da consanguinidade. Devemos, portanto, concordar com a necessidade, que denuncia nossa separação e os segura, enquanto mantivemos o resto da humanidade, inimigos na guerra, em paz amigos. Conclusão Os signatários afirmam que existem condições sob as quais as pessoas devem mudar seu governo, que os britânicos produziram tais condições e, por necessidade, as colônias devem eliminar laços políticos com a coroa britânica e se tornarem estados independentes. A conclusão contém, em sua essência, a resolução Lee que foi aprovada em 2 de julho. Nós, portanto, os representantes dos Estados Unidos da América, no Congresso Geral, reunimos, apelando para o juiz supremo do mundo pela retidão de nossas intenções, fazemos, em nome e pela autoridade das boas pessoas dessas colônias , publicar e declarar solenemente que essas colônias unidas são, e do direito, deve ser estados livres e independentes; que eles são absolvidos de toda lealdade à coroa britânica e que toda a conexão política entre eles e o estado da Grã -Bretanha é e deve ser totalmente dissolvida; e que, como estados livres e independentes, eles têm pleno poder para cobrar guerra, concluir a paz, contratar alianças, estabelecer comércio e fazer todos os outros atos e coisas que os estados independentes podem fazer. E para o apoio dessa declaração, com uma firme dependência da proteção da Providência Divina, nos comprometemos mutuamente em nossas vidas, em nossas fortunas e nossa sagrada honra. Assinaturas A primeira e mais famosa assinatura na cópia absorvida foi a de John Hancock, presidente do Congresso Continental. Dois futuros presidentes (Thomas Jefferson e John Adams) e um pai e grande avô de dois outros presidentes (Benjamin Harrison) estavam entre os signatários. Edward Rutledge (26 anos) era o signatário mais jovem, e Benjamin Franklin (70 anos) era o assinante mais antigo. The fifty - six signers of the Declaration represented the new states as follows ( from north to south ) :      New Hampshire : Josiah Bartlett , William Whipple , Matthew Thornton   Massachusetts : Samuel Adams , John Adams , John Hancock , Robert Treat Paine , Elbridge Gerry   Rhode Ilha: Stephen Hopkins, William Ellery Connecticut: Roger Sherman, Samuel Huntington, William Williams, Oliver Wolcott Nova York: William Floyd, Philip Livingston, Francis Lewis, Lewis Morris New Jersey: Richard Stockton, John Witherspoon, Francis Howkinson, John Hartn: John Stockton, John Witherspoon, Francis Howkinson, John Jersey, John Stockton, John Witherspoon, Francis Hookkins, Clark   Pennsylvania : Robert Morris , Benjamin Rush , Benjamin Franklin , John Morton , George Clymer , James Smith , George Taylor , James Wilson , George Ross   Delaware : George Read , Caesar Rodney , Thomas McKean   Maryland : Samuel Chase , William Paca , Thomas Stone , Charles Carroll of Carrollton   Virginia : George Wythe , Richard Henry Lee , Thomas Jefferson , Benjamin Harrison , Thomas Nelson Jr. , Francis Lightfoot Lee , Carter Braxton   North Carolina : William Hooper , Joseph Hewes , John Penn   South Carolina : Edward Rutledge , Thomas Heyward Jr ., Thomas Lynch Jr., Arthur Middleton Georgia: Button Gwinnett, Lyman Hall, George Walton</v>
      </c>
      <c r="I483" s="3" t="str">
        <f>IFERROR(__xludf.DUMMYFUNCTION("GOOGLETRANSLATE(E483)"),"#VALUE!")</f>
        <v>#VALUE!</v>
      </c>
    </row>
    <row r="484" ht="15.75" customHeight="1">
      <c r="A484" s="1">
        <v>482.0</v>
      </c>
      <c r="B484" s="3" t="s">
        <v>1775</v>
      </c>
      <c r="C484" s="3" t="s">
        <v>1776</v>
      </c>
      <c r="D484" s="3" t="s">
        <v>1777</v>
      </c>
      <c r="F484" s="3" t="str">
        <f>IFERROR(__xludf.DUMMYFUNCTION("GOOGLETRANSLATE(B484)")," Espantalho (oz)")</f>
        <v> Espantalho (oz)</v>
      </c>
      <c r="G484" s="3" t="str">
        <f>IFERROR(__xludf.DUMMYFUNCTION("GOOGLETRANSLATE(C484)"),"Quando o Scarecrow aparece em Mágico de Oz")</f>
        <v>Quando o Scarecrow aparece em Mágico de Oz</v>
      </c>
      <c r="H484" s="3" t="str">
        <f>IFERROR(__xludf.DUMMYFUNCTION("GOOGLETRANSLATE(D484)")," No clássico romance de Baum, The Wonderful Wizard of Oz, The Living Scarecrow encontra Dorothy Gale em um campo no país Munchkin enquanto ela está a caminho da cidade de Emerald. Ele conta a ela sobre sua criação e de como ele a princípio assustou os cor"&amp;"vos, antes que um mais velho percebesse que ele era um homem de palha, fazendo com que os outros corvos começassem a comer o milho. O velho Crow então contou o espantalho sobre a importância dos cérebros. O `` irracional '' Scarecrow se junta a Dorothy na"&amp;" esperança de que o mago lhe dê um cérebro. Mais tarde, eles se juntam ao Tin Woodman e pelo leão covarde. Quando o grupo vai para o oeste, ele mata os corvos da bruxa torcendo o pescoço. Ele é desmontado pelos macacos voadores e suas roupas jogadas por u"&amp;"ma árvore, mas quando suas roupas estão cheias de palha, ele está de volta. Depois que Dorothy e seus amigos concluíram sua missão de matar a Bruxa Malvada do Ocidente, o mago dá aos cérebros de espantalhos (feitos de farelo, alfinetes e agulhas - na real"&amp;"idade um placebo, pois ele foi o mais inteligente dos viajantes durante todo esse tempo ) . Antes de deixar Oz em um balão, o mago nomeia o espantalho para governar a cidade de Emerald em seu lugar. Ele acompanha Dorothy e os outros até o palácio da boa b"&amp;"ruxa do sul de Glinda, e ela usa o boné de ouro para convocar os macacos alados, que levam o espantalho de volta à cidade de Emerald.")</f>
        <v> No clássico romance de Baum, The Wonderful Wizard of Oz, The Living Scarecrow encontra Dorothy Gale em um campo no país Munchkin enquanto ela está a caminho da cidade de Emerald. Ele conta a ela sobre sua criação e de como ele a princípio assustou os corvos, antes que um mais velho percebesse que ele era um homem de palha, fazendo com que os outros corvos começassem a comer o milho. O velho Crow então contou o espantalho sobre a importância dos cérebros. O `` irracional '' Scarecrow se junta a Dorothy na esperança de que o mago lhe dê um cérebro. Mais tarde, eles se juntam ao Tin Woodman e pelo leão covarde. Quando o grupo vai para o oeste, ele mata os corvos da bruxa torcendo o pescoço. Ele é desmontado pelos macacos voadores e suas roupas jogadas por uma árvore, mas quando suas roupas estão cheias de palha, ele está de volta. Depois que Dorothy e seus amigos concluíram sua missão de matar a Bruxa Malvada do Ocidente, o mago dá aos cérebros de espantalhos (feitos de farelo, alfinetes e agulhas - na realidade um placebo, pois ele foi o mais inteligente dos viajantes durante todo esse tempo ) . Antes de deixar Oz em um balão, o mago nomeia o espantalho para governar a cidade de Emerald em seu lugar. Ele acompanha Dorothy e os outros até o palácio da boa bruxa do sul de Glinda, e ela usa o boné de ouro para convocar os macacos alados, que levam o espantalho de volta à cidade de Emerald.</v>
      </c>
      <c r="I484" s="3" t="str">
        <f>IFERROR(__xludf.DUMMYFUNCTION("GOOGLETRANSLATE(E484)"),"#VALUE!")</f>
        <v>#VALUE!</v>
      </c>
    </row>
    <row r="485" ht="15.75" customHeight="1">
      <c r="A485" s="1">
        <v>483.0</v>
      </c>
      <c r="B485" s="3" t="s">
        <v>1778</v>
      </c>
      <c r="C485" s="3" t="s">
        <v>1779</v>
      </c>
      <c r="D485" s="3" t="s">
        <v>1780</v>
      </c>
      <c r="E485" s="3" t="s">
        <v>1781</v>
      </c>
      <c r="F485" s="3" t="str">
        <f>IFERROR(__xludf.DUMMYFUNCTION("GOOGLETRANSLATE(B485)")," Anos Jackson")</f>
        <v> Anos Jackson</v>
      </c>
      <c r="G485" s="3" t="str">
        <f>IFERROR(__xludf.DUMMYFUNCTION("GOOGLETRANSLATE(C485)"),"Onde anos Jackson jogou basquete universitário")</f>
        <v>Onde anos Jackson jogou basquete universitário</v>
      </c>
      <c r="H485" s="3" t="str">
        <f>IFERROR(__xludf.DUMMYFUNCTION("GOOGLETRANSLATE(D485)")," Jaren Jackson Sr. (nascido em 27 de outubro de 1967) é um treinador de basquete profissional americano e ex -jogador de basquete profissional. Um guarda de tiro de 6'4 '' (1,93 m) nascido em Nova Orleans, Louisiana, Jackson tocou na Universidade de Georg"&amp;"etown de 1985 a 1989 e se formou com um diploma de bacharel em finanças. Ele nunca foi convocado para a NBA, mas jogou 13 temporadas para várias equipes. Ele é mais conhecido por seu mandato no San Antonio Spurs, que ele ajudou a vencer seu primeiro campe"&amp;"onato da NBA em 1999.")</f>
        <v> Jaren Jackson Sr. (nascido em 27 de outubro de 1967) é um treinador de basquete profissional americano e ex -jogador de basquete profissional. Um guarda de tiro de 6'4 '' (1,93 m) nascido em Nova Orleans, Louisiana, Jackson tocou na Universidade de Georgetown de 1985 a 1989 e se formou com um diploma de bacharel em finanças. Ele nunca foi convocado para a NBA, mas jogou 13 temporadas para várias equipes. Ele é mais conhecido por seu mandato no San Antonio Spurs, que ele ajudou a vencer seu primeiro campeonato da NBA em 1999.</v>
      </c>
      <c r="I485" s="3" t="str">
        <f>IFERROR(__xludf.DUMMYFUNCTION("GOOGLETRANSLATE(E485)"),"Universidade de Georgetown")</f>
        <v>Universidade de Georgetown</v>
      </c>
    </row>
    <row r="486" ht="15.75" customHeight="1">
      <c r="A486" s="1">
        <v>484.0</v>
      </c>
      <c r="B486" s="3" t="s">
        <v>1782</v>
      </c>
      <c r="C486" s="3" t="s">
        <v>1783</v>
      </c>
      <c r="D486" s="3" t="s">
        <v>1784</v>
      </c>
      <c r="E486" s="3" t="s">
        <v>1785</v>
      </c>
      <c r="F486" s="3" t="str">
        <f>IFERROR(__xludf.DUMMYFUNCTION("GOOGLETRANSLATE(B486)")," História do tempo nos Estados Unidos")</f>
        <v> História do tempo nos Estados Unidos</v>
      </c>
      <c r="G486" s="3" t="str">
        <f>IFERROR(__xludf.DUMMYFUNCTION("GOOGLETRANSLATE(C486)"),"Quando os EUA começaram a usar o horário de verão")</f>
        <v>Quando os EUA começaram a usar o horário de verão</v>
      </c>
      <c r="H486" s="3" t="str">
        <f>IFERROR(__xludf.DUMMYFUNCTION("GOOGLETRANSLATE(D486)")," O horário de verão foi estabelecido pela Lei do Tempo Padrão de 1918. A lei pretendia economizar eletricidade por sete meses do ano, durante a Primeira Guerra Mundial foi revogada em 1919 por causa de um veto presidencial, mas os fusos tempos de tempo pa"&amp;"drão permaneceram por lei, com a Comissão de Comércio Interestadual (ICC) tendo a autoridade sobre os limites do fuso horário. O horário da luz do dia se tornou um assunto local.")</f>
        <v> O horário de verão foi estabelecido pela Lei do Tempo Padrão de 1918. A lei pretendia economizar eletricidade por sete meses do ano, durante a Primeira Guerra Mundial foi revogada em 1919 por causa de um veto presidencial, mas os fusos tempos de tempo padrão permaneceram por lei, com a Comissão de Comércio Interestadual (ICC) tendo a autoridade sobre os limites do fuso horário. O horário da luz do dia se tornou um assunto local.</v>
      </c>
      <c r="I486" s="3" t="str">
        <f>IFERROR(__xludf.DUMMYFUNCTION("GOOGLETRANSLATE(E486)"),"1918")</f>
        <v>1918</v>
      </c>
    </row>
    <row r="487" ht="15.75" customHeight="1">
      <c r="A487" s="1">
        <v>485.0</v>
      </c>
      <c r="B487" s="3" t="s">
        <v>1786</v>
      </c>
      <c r="C487" s="3" t="s">
        <v>1787</v>
      </c>
      <c r="D487" s="3" t="s">
        <v>1788</v>
      </c>
      <c r="E487" s="3" t="s">
        <v>1789</v>
      </c>
      <c r="F487" s="3" t="str">
        <f>IFERROR(__xludf.DUMMYFUNCTION("GOOGLETRANSLATE(B487)")," Lista de líderes anuais de pontuação da National Basketball Association")</f>
        <v> Lista de líderes anuais de pontuação da National Basketball Association</v>
      </c>
      <c r="G487" s="3" t="str">
        <f>IFERROR(__xludf.DUMMYFUNCTION("GOOGLETRANSLATE(C487)"),"que liderou a NBA na pontuação no ano passado")</f>
        <v>que liderou a NBA na pontuação no ano passado</v>
      </c>
      <c r="H487" s="3" t="str">
        <f>IFERROR(__xludf.DUMMYFUNCTION("GOOGLETRANSLATE(D487)"),"   A temporada da temporada Age Pos Team Games jogou gols de campo Made 3 - Point Field Gots fez lances livres fizeram pontos totais Pontos por jogo Ref 1946 - 47 Joe Fulks * 25 f / c Philadelphia Warriors 60 475 - 439 1.389 23.2 1947 - 48 Max Zaslofsky 2"&amp;"2 g / f Chicago Stags 48 373 - 261 1.007 21,0 1948 - 49 George Mikan * 24 Minneapolis Lakers 60 583 - 532 1.698 28,3 1949 - 50 George Mikan * (2) 25 MINNEPOLIS LAKERS 68 680 27.4 1950 - 51 George Mikan * (3) 26 Minneapolis Lakers 68 678 - 576 1.932 28,4 1"&amp;"951 - 52 Paul Arizin * 23 f / g Philadelphia Warriors 66 548 - 578 1,674 25,4 1952 - 53 NeiltonSton * 23 * 23 23. 23. Warriors 70 504 - 556 1.564 22,3 1953 - 54 Neil Johnston * (2) 24 Philadelphia Warriors 72 591 - 577 1.759 24,5 1954 - 55 Neil Johnston *"&amp;" (3) 25 Philadelphia 72 1954 - 55 1. - 56 BOB PETTIT * 23 F / C St. Louis Hawks 72 646 - 557 1.849 25,7 1956 - 57 Paul Arizin * (2) 28 F / G Philadelphia Warriors 71 613 - 591 1.817 25,6 1957 - 58 George Yardley * * 29 f / g Detroit Pistons 72 673 - 655 2"&amp;".001 27,8 1958 - 59 BOB PETTIT * (2) 26 F / C St. Louis Hawks 72 719 - 667 2,105 29.2 1959 - 60 Wiltlain * 23 Philadelphia Warriors 72 1,065 - 577 2.707 37,6 1960- 61 Wilt Chamberlain * (2) 24 Philadelphia Warriors 79 1.251- 531 3.033 38,4 1961- 62 Wilt C"&amp;"hamberlain * (3) 25 Philadelphia Warriors 80 1,597 Chamberlain * (4) 26 Warriors de São Francisco 80 1.463 - 660 3.586 44,8 1963 - 64 Wilt Chamberlain * (5) 27 Warriors de São Francisco 80 1,204 - 540 2.948 36,9 1964 - 65 Wiltlain * (6) 28 28 26. Warriors"&amp;" Philadelphia 76ers 73 1.063 - 408 2.534 34,7 1965 - 66 Wilt Chamberlain * (7) 29 Philadelphia 76ers 79 1.074 - 501 2,649 33,5 1966 - 67 Rick Barry * 22 São francisco Warriors 78 1,010 1966 - 67 Rick * 22 22 São frâncisco 78 1,010 1966 - 67 Rick * 22 22 S"&amp;"ão frâncisco 78 1,010 1966 - 67 Rick * 22 22 São francisco - 68 Dave Bing * 24 Detroit Pistons 79 835 - 472 2.142 27.1 1968 - 69 Elvin Hayes * 23 f / c San Diego Rockets 82 930 - 467 2.327 28,4 1969 - 70 Jerry West * 31 Los Angeles Lakers 74 831 - - 647 2"&amp;".309 31.2 1970 - 71 Lew Alcindor * 23 Milwaukee Bucks 82 1.063 - 470 2.596 31,7 1971 - 72 Kareem Abdul - Jabbar * (2) 24 Milwaukee Bucks 81 1,159 - 504 2,822222222222222222222222222222S, 24 Kansas City - Omaha Kings 80 1.028 - 663 2.719 34,0 1973 - 74 Bob"&amp;" McAdoo * 22 C / F Buffalo Braves 74 901 - 459 2,261 30,6 1974 - 75 Bob McAdoo * (2) 23 C / F Buffalo Braves 82 1.095 -641 2.831 34,5 1975 -76 Bob McAdoo * (3) 24 C / F Buffalo Braves 78 934 -559 2.427 31,1 1976 -77 Pete Maravich * 29 Jazz de Nova Orleans"&amp;" 73 886 -501 2,273 31.177 1977 - 78 George Gervin * 25 g / f San Antonio Spurs 82 864 - 504 2.232 27,2 1978 - 79 George Gervin * (2) 26 g / f San Antonio Spurs 80 947 - 471 2.365 29.6 1979 - 80 George Gervin * ( 3) 27 g / f San Antonio Spurs 78 1.024 32 5"&amp;"05 2.585 33,1 1980 - 81 Adrian Dantley * 24 f / g utah jazz 80 909 632 2.452 30,7 1981 - 82 George Gervin * (4) 29 g / f São Antonio Spurs 79 993 10 555 2.551 32,3 1982 - 83 Alex English * 29 Nuggets Denver 82 959 406 2.326 28,4 1983 - 84 Adrian Dantley *"&amp;" (2) 27 F / G Utah Jazz 79 802 813 2,418 30.6 1984 - 85 Bernard New York Knicks 55 691 426 1.809 32,9 1985 - 86 Dominique Wilkins * 26 Atlanta Hawks 78 888 13 577 2.366 30,3 1986 - 87 Michael Jordan * 23 Chicago Bulls 82 1,098 J. 24 Chicago Bulls 82 1.069"&amp;" 7 723 2.868 35,0 1988 -89 Michael Jordan * (3) 25 Bulls de Chicago 81 966 27 674 2.633 32,5 1989 -90 Michael Jordan * (4) 26 Chicago Bulls 82 1,034 92 593 2,77 91 Michael Jordan * (5) 27 Chicago Bulls 82 990 29 571 2.580 31,5 1991 - 92 Michael Jordan * ("&amp;"6) 28 Chicago Bulls 80 943 27 491 2.404 30.1 81 476 2.541 32,6 1993 - 94 David Robinson * 28 San Antonio Spurs 80 840 10 693 2.383 29,8 1994 - 95 Shaquille O'Neal * 22 Orlando Magic 79 930 0 455 2,315 29.3 1995 - 96 Michael Jordan * (8) Chicago Bulls 82 9"&amp;"16 111 548 2.491 30,4 1996 - 97 Michael Jordan * (9) 33 Chicago Bulls 82 920 111 480 2.431 29.6 1997 - 98 Michael Jordan * (10) 34 Bulls 82 881 30 565 2,357 28.7. Allen Iverson * 23 Philadelphia 76ers 48 435 58 356 1.284 26,8 1999 - 00 Shaquille O'Neal * "&amp;"(2) 27 Los Angeles Lakers 79 956 0 432 2,344 29.7 2000 - 01 Allen iverson * (2) 25 Philadphia 76 585 2.207 31.1 2001 - 02 Allen Iverson * (3) 26 Philadelphia 76ers 60 665 78 475 1.883 31,4 2002 - 03 Tracy McGrady * 23 g / f Orlando Magic 75 829 173 576 2."&amp;"407 32.1 2003 - 04 ) 24 g / f Orlando Magic 67 653 174 398 1.878 28,0 2004 - 05 Allen Iverson * (4) 29 Philadelphia 76ers 75 771 104 656 2,302 30,7 2005 - 06 Kobe 27 Los Angeles Lakers 80 978 180 180 69666666666 60 69660 69660 69660 20,7 20,7 20,7 20,7 60"&amp;" 69660 20. - 07 Kobe Bryant (2) 28 Los Angeles Lakers 77 813 137 667 2.430 31,6 2007 - 08 LeBron James ^ 23 Cleveland Cavaliers 75 794 113 549 2.250 30.0 2008 - 09 DWYANE ^ 27. - 10 Kevin Durant ^ 21 Oklahoma City Thunder 82 794 128 756 2.472 30.1 2010- 1"&amp;"1 Kevin Durant ^ (2) 22 22 Oklahoma City Thunder 78 711 145 594 2,161 27,7 2011- 12 Kevin Durant ^ (3) 23 23 23 23 27 66 643 133 431 1.850 28,0 2012 - 13 Carmelo Anthony ^ 28 New York Knicks 67 669 157 425 1.920 28,7 2013 - 14 Kevin Durant ^ (4) 25 Oklaho"&amp;"ma City Thunder 81 849 192 703 2,593 32.0 2014 - 15 - 15 Russell. 26 Oklahoma City Thunder 67 627 86 546 1.886 28,1 2015 -16 Stephen Curry ^ 28 Golden State Warriors 79 805 402 363 2.375 30,1 2016 -17 Russell Westbrook ^ (2) 28 28 Oklahoma City Thunder 81"&amp;" 824 200 710 710 2,55 31.6.620 18 James Harden 28 Houston Rockets 72 651 265 624 2.191 30.4")</f>
        <v>   A temporada da temporada Age Pos Team Games jogou gols de campo Made 3 - Point Field Gots fez lances livres fizeram pontos totais Pontos por jogo Ref 1946 - 47 Joe Fulks * 25 f / c Philadelphia Warriors 60 475 - 439 1.389 23.2 1947 - 48 Max Zaslofsky 22 g / f Chicago Stags 48 373 - 261 1.007 21,0 1948 - 49 George Mikan * 24 Minneapolis Lakers 60 583 - 532 1.698 28,3 1949 - 50 George Mikan * (2) 25 MINNEPOLIS LAKERS 68 680 27.4 1950 - 51 George Mikan * (3) 26 Minneapolis Lakers 68 678 - 576 1.932 28,4 1951 - 52 Paul Arizin * 23 f / g Philadelphia Warriors 66 548 - 578 1,674 25,4 1952 - 53 NeiltonSton * 23 * 23 23. 23. Warriors 70 504 - 556 1.564 22,3 1953 - 54 Neil Johnston * (2) 24 Philadelphia Warriors 72 591 - 577 1.759 24,5 1954 - 55 Neil Johnston * (3) 25 Philadelphia 72 1954 - 55 1. - 56 BOB PETTIT * 23 F / C St. Louis Hawks 72 646 - 557 1.849 25,7 1956 - 57 Paul Arizin * (2) 28 F / G Philadelphia Warriors 71 613 - 591 1.817 25,6 1957 - 58 George Yardley * * 29 f / g Detroit Pistons 72 673 - 655 2.001 27,8 1958 - 59 BOB PETTIT * (2) 26 F / C St. Louis Hawks 72 719 - 667 2,105 29.2 1959 - 60 Wiltlain * 23 Philadelphia Warriors 72 1,065 - 577 2.707 37,6 1960- 61 Wilt Chamberlain * (2) 24 Philadelphia Warriors 79 1.251- 531 3.033 38,4 1961- 62 Wilt Chamberlain * (3) 25 Philadelphia Warriors 80 1,597 Chamberlain * (4) 26 Warriors de São Francisco 80 1.463 - 660 3.586 44,8 1963 - 64 Wilt Chamberlain * (5) 27 Warriors de São Francisco 80 1,204 - 540 2.948 36,9 1964 - 65 Wiltlain * (6) 28 28 26. Warriors Philadelphia 76ers 73 1.063 - 408 2.534 34,7 1965 - 66 Wilt Chamberlain * (7) 29 Philadelphia 76ers 79 1.074 - 501 2,649 33,5 1966 - 67 Rick Barry * 22 São francisco Warriors 78 1,010 1966 - 67 Rick * 22 22 São frâncisco 78 1,010 1966 - 67 Rick * 22 22 São frâncisco 78 1,010 1966 - 67 Rick * 22 22 São francisco - 68 Dave Bing * 24 Detroit Pistons 79 835 - 472 2.142 27.1 1968 - 69 Elvin Hayes * 23 f / c San Diego Rockets 82 930 - 467 2.327 28,4 1969 - 70 Jerry West * 31 Los Angeles Lakers 74 831 - - 647 2.309 31.2 1970 - 71 Lew Alcindor * 23 Milwaukee Bucks 82 1.063 - 470 2.596 31,7 1971 - 72 Kareem Abdul - Jabbar * (2) 24 Milwaukee Bucks 81 1,159 - 504 2,822222222222222222222222222222S, 24 Kansas City - Omaha Kings 80 1.028 - 663 2.719 34,0 1973 - 74 Bob McAdoo * 22 C / F Buffalo Braves 74 901 - 459 2,261 30,6 1974 - 75 Bob McAdoo * (2) 23 C / F Buffalo Braves 82 1.095 -641 2.831 34,5 1975 -76 Bob McAdoo * (3) 24 C / F Buffalo Braves 78 934 -559 2.427 31,1 1976 -77 Pete Maravich * 29 Jazz de Nova Orleans 73 886 -501 2,273 31.177 1977 - 78 George Gervin * 25 g / f San Antonio Spurs 82 864 - 504 2.232 27,2 1978 - 79 George Gervin * (2) 26 g / f San Antonio Spurs 80 947 - 471 2.365 29.6 1979 - 80 George Gervin * ( 3) 27 g / f San Antonio Spurs 78 1.024 32 505 2.585 33,1 1980 - 81 Adrian Dantley * 24 f / g utah jazz 80 909 632 2.452 30,7 1981 - 82 George Gervin * (4) 29 g / f São Antonio Spurs 79 993 10 555 2.551 32,3 1982 - 83 Alex English * 29 Nuggets Denver 82 959 406 2.326 28,4 1983 - 84 Adrian Dantley * (2) 27 F / G Utah Jazz 79 802 813 2,418 30.6 1984 - 85 Bernard New York Knicks 55 691 426 1.809 32,9 1985 - 86 Dominique Wilkins * 26 Atlanta Hawks 78 888 13 577 2.366 30,3 1986 - 87 Michael Jordan * 23 Chicago Bulls 82 1,098 J. 24 Chicago Bulls 82 1.069 7 723 2.868 35,0 1988 -89 Michael Jordan * (3) 25 Bulls de Chicago 81 966 27 674 2.633 32,5 1989 -90 Michael Jordan * (4) 26 Chicago Bulls 82 1,034 92 593 2,77 91 Michael Jordan * (5) 27 Chicago Bulls 82 990 29 571 2.580 31,5 1991 - 92 Michael Jordan * (6) 28 Chicago Bulls 80 943 27 491 2.404 30.1 81 476 2.541 32,6 1993 - 94 David Robinson * 28 San Antonio Spurs 80 840 10 693 2.383 29,8 1994 - 95 Shaquille O'Neal * 22 Orlando Magic 79 930 0 455 2,315 29.3 1995 - 96 Michael Jordan * (8) Chicago Bulls 82 916 111 548 2.491 30,4 1996 - 97 Michael Jordan * (9) 33 Chicago Bulls 82 920 111 480 2.431 29.6 1997 - 98 Michael Jordan * (10) 34 Bulls 82 881 30 565 2,357 28.7. Allen Iverson * 23 Philadelphia 76ers 48 435 58 356 1.284 26,8 1999 - 00 Shaquille O'Neal * (2) 27 Los Angeles Lakers 79 956 0 432 2,344 29.7 2000 - 01 Allen iverson * (2) 25 Philadphia 76 585 2.207 31.1 2001 - 02 Allen Iverson * (3) 26 Philadelphia 76ers 60 665 78 475 1.883 31,4 2002 - 03 Tracy McGrady * 23 g / f Orlando Magic 75 829 173 576 2.407 32.1 2003 - 04 ) 24 g / f Orlando Magic 67 653 174 398 1.878 28,0 2004 - 05 Allen Iverson * (4) 29 Philadelphia 76ers 75 771 104 656 2,302 30,7 2005 - 06 Kobe 27 Los Angeles Lakers 80 978 180 180 69666666666 60 69660 69660 69660 20,7 20,7 20,7 20,7 60 69660 20. - 07 Kobe Bryant (2) 28 Los Angeles Lakers 77 813 137 667 2.430 31,6 2007 - 08 LeBron James ^ 23 Cleveland Cavaliers 75 794 113 549 2.250 30.0 2008 - 09 DWYANE ^ 27. - 10 Kevin Durant ^ 21 Oklahoma City Thunder 82 794 128 756 2.472 30.1 2010- 11 Kevin Durant ^ (2) 22 22 Oklahoma City Thunder 78 711 145 594 2,161 27,7 2011- 12 Kevin Durant ^ (3) 23 23 23 23 27 66 643 133 431 1.850 28,0 2012 - 13 Carmelo Anthony ^ 28 New York Knicks 67 669 157 425 1.920 28,7 2013 - 14 Kevin Durant ^ (4) 25 Oklahoma City Thunder 81 849 192 703 2,593 32.0 2014 - 15 - 15 Russell. 26 Oklahoma City Thunder 67 627 86 546 1.886 28,1 2015 -16 Stephen Curry ^ 28 Golden State Warriors 79 805 402 363 2.375 30,1 2016 -17 Russell Westbrook ^ (2) 28 28 Oklahoma City Thunder 81 824 200 710 710 2,55 31.6.620 18 James Harden 28 Houston Rockets 72 651 265 624 2.191 30.4</v>
      </c>
      <c r="I487" s="3" t="str">
        <f>IFERROR(__xludf.DUMMYFUNCTION("GOOGLETRANSLATE(E487)"),"James Harden")</f>
        <v>James Harden</v>
      </c>
    </row>
    <row r="488" ht="15.75" customHeight="1">
      <c r="A488" s="1">
        <v>486.0</v>
      </c>
      <c r="B488" s="3" t="s">
        <v>1790</v>
      </c>
      <c r="C488" s="3" t="s">
        <v>1791</v>
      </c>
      <c r="D488" s="3" t="s">
        <v>1792</v>
      </c>
      <c r="F488" s="3" t="str">
        <f>IFERROR(__xludf.DUMMYFUNCTION("GOOGLETRANSLATE(B488)")," Guerra da Crimeia")</f>
        <v> Guerra da Crimeia</v>
      </c>
      <c r="G488" s="3" t="str">
        <f>IFERROR(__xludf.DUMMYFUNCTION("GOOGLETRANSLATE(C488)"),"Quais países estavam envolvidos na Guerra da Crimeia quais foram as causas da guerra")</f>
        <v>Quais países estavam envolvidos na Guerra da Crimeia quais foram as causas da guerra</v>
      </c>
      <c r="H488" s="3" t="str">
        <f>IFERROR(__xludf.DUMMYFUNCTION("GOOGLETRANSLATE(D488)")," A Guerra da Crimeia (francesa: guerre de crimée; russo: кы́ы́ы́с в вйна́, translit. Krymskaya voina ou russo: втт́чная в в Âsi; savina; savina; savina; savina; savina; turkm: savina italia: savina; O conflito militar lutou de outubro de 1853 a fevereiro "&amp;"de 1856, no qual o Império Russo perdeu para uma aliança do Império Otomano, França, Grã -Bretanha e Sardenha. A causa imediata envolveu os direitos das minorias cristãs na Terra Santa, que fazia parte do Império Otomano. Os franceses promoveram os direit"&amp;"os dos católicos romanos, enquanto a Rússia promoveu os da Igreja Ortodoxa Oriental. O termo mais longo envolveu o declínio do Império Otomano e a falta de vontade da Grã -Bretanha e da França em permitir que a Rússia ganhasse território e poder às custas"&amp;" otomanas. Observou -se amplamente que as causas, em um caso envolvendo uma discussão sobre uma chave, nunca revelaram uma `` maior confusão de propósito '', mas levaram a uma guerra notada por seu açougue internacional '' notoriamente incompetente ''.")</f>
        <v> A Guerra da Crimeia (francesa: guerre de crimée; russo: кы́ы́ы́с в вйна́, translit. Krymskaya voina ou russo: втт́чная в в Âsi; savina; savina; savina; savina; savina; turkm: savina italia: savina; O conflito militar lutou de outubro de 1853 a fevereiro de 1856, no qual o Império Russo perdeu para uma aliança do Império Otomano, França, Grã -Bretanha e Sardenha. A causa imediata envolveu os direitos das minorias cristãs na Terra Santa, que fazia parte do Império Otomano. Os franceses promoveram os direitos dos católicos romanos, enquanto a Rússia promoveu os da Igreja Ortodoxa Oriental. O termo mais longo envolveu o declínio do Império Otomano e a falta de vontade da Grã -Bretanha e da França em permitir que a Rússia ganhasse território e poder às custas otomanas. Observou -se amplamente que as causas, em um caso envolvendo uma discussão sobre uma chave, nunca revelaram uma `` maior confusão de propósito '', mas levaram a uma guerra notada por seu açougue internacional '' notoriamente incompetente ''.</v>
      </c>
      <c r="I488" s="3" t="str">
        <f>IFERROR(__xludf.DUMMYFUNCTION("GOOGLETRANSLATE(E488)"),"#VALUE!")</f>
        <v>#VALUE!</v>
      </c>
    </row>
    <row r="489" ht="15.75" customHeight="1">
      <c r="A489" s="1">
        <v>487.0</v>
      </c>
      <c r="B489" s="3" t="s">
        <v>1793</v>
      </c>
      <c r="C489" s="3" t="s">
        <v>1794</v>
      </c>
      <c r="D489" s="3" t="s">
        <v>1795</v>
      </c>
      <c r="F489" s="3" t="str">
        <f>IFERROR(__xludf.DUMMYFUNCTION("GOOGLETRANSLATE(B489)")," Cruz (sobrenome)")</f>
        <v> Cruz (sobrenome)</v>
      </c>
      <c r="G489" s="3" t="str">
        <f>IFERROR(__xludf.DUMMYFUNCTION("GOOGLETRANSLATE(C489)"),"De onde vem o sobrenome cruzado")</f>
        <v>De onde vem o sobrenome cruzado</v>
      </c>
      <c r="H489" s="3" t="str">
        <f>IFERROR(__xludf.DUMMYFUNCTION("GOOGLETRANSLATE(D489)")," Cross é um sobrenome topográfico inglês para alguém que morava em uma estrada perto de uma cruz de pedra.")</f>
        <v> Cross é um sobrenome topográfico inglês para alguém que morava em uma estrada perto de uma cruz de pedra.</v>
      </c>
      <c r="I489" s="3" t="str">
        <f>IFERROR(__xludf.DUMMYFUNCTION("GOOGLETRANSLATE(E489)"),"#VALUE!")</f>
        <v>#VALUE!</v>
      </c>
    </row>
    <row r="490" ht="15.75" customHeight="1">
      <c r="A490" s="1">
        <v>488.0</v>
      </c>
      <c r="B490" s="3" t="s">
        <v>1796</v>
      </c>
      <c r="C490" s="3" t="s">
        <v>1797</v>
      </c>
      <c r="D490" s="3" t="s">
        <v>1798</v>
      </c>
      <c r="E490" s="3" t="s">
        <v>1799</v>
      </c>
      <c r="F490" s="3" t="str">
        <f>IFERROR(__xludf.DUMMYFUNCTION("GOOGLETRANSLATE(B490)")," 2017 FIFA Sub-17 Copa do Mundo")</f>
        <v> 2017 FIFA Sub-17 Copa do Mundo</v>
      </c>
      <c r="G490" s="3" t="str">
        <f>IFERROR(__xludf.DUMMYFUNCTION("GOOGLETRANSLATE(C490)"),"Qual equipe do país venceu a FIFA 2017 sob 17 WorldCup")</f>
        <v>Qual equipe do país venceu a FIFA 2017 sob 17 WorldCup</v>
      </c>
      <c r="H490" s="3" t="str">
        <f>IFERROR(__xludf.DUMMYFUNCTION("GOOGLETRANSLATE(D490)")," 2017 FIFA U -17 Copa do Mundo २०१७ फीफा अंडर - १७ विश्व कप Detalhes do torneio Host Country India Datas 6 - 28 Equipes de outubro 24 (de 6 Confederações) Local (s) 6 (em 6 cidades anfitrias) Posições finais Champions England (1º título ) Runners - UP Esp"&amp;"anha Terceiro Lugar Brasil Quarto lugar As partidas das estatísticas do Mali Tournament jogaram 52 gols marcaram 183 (3,52 por partida) presença 1.347.133 (25.906 por partida) Gabadão Rhian Brewster (8 gols) Melhor jogador Phil Foden Gabriel Brazão Fair P"&amp;"lay Award Brasil ← 2015 2019 →")</f>
        <v> 2017 FIFA U -17 Copa do Mundo २०१७ फीफा अंडर - १७ विश्व कप Detalhes do torneio Host Country India Datas 6 - 28 Equipes de outubro 24 (de 6 Confederações) Local (s) 6 (em 6 cidades anfitrias) Posições finais Champions England (1º título ) Runners - UP Espanha Terceiro Lugar Brasil Quarto lugar As partidas das estatísticas do Mali Tournament jogaram 52 gols marcaram 183 (3,52 por partida) presença 1.347.133 (25.906 por partida) Gabadão Rhian Brewster (8 gols) Melhor jogador Phil Foden Gabriel Brazão Fair Play Award Brasil ← 2015 2019 →</v>
      </c>
      <c r="I490" s="3" t="str">
        <f>IFERROR(__xludf.DUMMYFUNCTION("GOOGLETRANSLATE(E490)"),"Inglaterra")</f>
        <v>Inglaterra</v>
      </c>
    </row>
    <row r="491" ht="15.75" customHeight="1">
      <c r="A491" s="1">
        <v>489.0</v>
      </c>
      <c r="B491" s="3" t="s">
        <v>1165</v>
      </c>
      <c r="C491" s="3" t="s">
        <v>1800</v>
      </c>
      <c r="D491" s="3" t="s">
        <v>1801</v>
      </c>
      <c r="E491" s="3" t="s">
        <v>1802</v>
      </c>
      <c r="F491" s="3" t="str">
        <f>IFERROR(__xludf.DUMMYFUNCTION("GOOGLETRANSLATE(B491)")," The Flash (temporada 4)")</f>
        <v> The Flash (temporada 4)</v>
      </c>
      <c r="G491" s="3" t="str">
        <f>IFERROR(__xludf.DUMMYFUNCTION("GOOGLETRANSLATE(C491)"),"Quando está a quarta temporada do flash")</f>
        <v>Quando está a quarta temporada do flash</v>
      </c>
      <c r="H491" s="3" t="str">
        <f>IFERROR(__xludf.DUMMYFUNCTION("GOOGLETRANSLATE(D491)")," A quarta temporada começou a ser exibida em 10 de outubro de 2017, na CW.")</f>
        <v> A quarta temporada começou a ser exibida em 10 de outubro de 2017, na CW.</v>
      </c>
      <c r="I491" s="3" t="str">
        <f>IFERROR(__xludf.DUMMYFUNCTION("GOOGLETRANSLATE(E491)"),"10 de outubro de 2017")</f>
        <v>10 de outubro de 2017</v>
      </c>
    </row>
    <row r="492" ht="15.75" customHeight="1">
      <c r="A492" s="1">
        <v>490.0</v>
      </c>
      <c r="B492" s="3" t="s">
        <v>1803</v>
      </c>
      <c r="C492" s="3" t="s">
        <v>1804</v>
      </c>
      <c r="D492" s="3" t="s">
        <v>1805</v>
      </c>
      <c r="E492" s="3" t="s">
        <v>1806</v>
      </c>
      <c r="F492" s="3" t="str">
        <f>IFERROR(__xludf.DUMMYFUNCTION("GOOGLETRANSLATE(B492)")," Diretor de tecnologia")</f>
        <v> Diretor de tecnologia</v>
      </c>
      <c r="G492" s="3" t="str">
        <f>IFERROR(__xludf.DUMMYFUNCTION("GOOGLETRANSLATE(C492)"),"papel de um CTO em uma empresa de TI")</f>
        <v>papel de um CTO em uma empresa de TI</v>
      </c>
      <c r="H492" s="3" t="str">
        <f>IFERROR(__xludf.DUMMYFUNCTION("GOOGLETRANSLATE(D492)")," Um diretor de tecnologia (CTO), às vezes conhecido como diretor técnico, é uma posição de nível executivo em uma empresa ou outra entidade cuja ocupação está focada em questões científicas e tecnológicas dentro de uma organização.")</f>
        <v> Um diretor de tecnologia (CTO), às vezes conhecido como diretor técnico, é uma posição de nível executivo em uma empresa ou outra entidade cuja ocupação está focada em questões científicas e tecnológicas dentro de uma organização.</v>
      </c>
      <c r="I492" s="3" t="str">
        <f>IFERROR(__xludf.DUMMYFUNCTION("GOOGLETRANSLATE(E492)"),"uma posição executiva - nível em uma empresa ou outra entidade cuja ocupação está focada em questões científicas e tecnológicas dentro de uma organização")</f>
        <v>uma posição executiva - nível em uma empresa ou outra entidade cuja ocupação está focada em questões científicas e tecnológicas dentro de uma organização</v>
      </c>
    </row>
    <row r="493" ht="15.75" customHeight="1">
      <c r="A493" s="1">
        <v>491.0</v>
      </c>
      <c r="B493" s="3" t="s">
        <v>1807</v>
      </c>
      <c r="C493" s="3" t="s">
        <v>1808</v>
      </c>
      <c r="D493" s="3" t="s">
        <v>1809</v>
      </c>
      <c r="E493" s="3" t="s">
        <v>1810</v>
      </c>
      <c r="F493" s="3" t="str">
        <f>IFERROR(__xludf.DUMMYFUNCTION("GOOGLETRANSLATE(B493)")," Consumidor (cadeia alimentar)")</f>
        <v> Consumidor (cadeia alimentar)</v>
      </c>
      <c r="G493" s="3" t="str">
        <f>IFERROR(__xludf.DUMMYFUNCTION("GOOGLETRANSLATE(C493)"),"quem são os consumidores em uma cadeia alimentar")</f>
        <v>quem são os consumidores em uma cadeia alimentar</v>
      </c>
      <c r="H493" s="3" t="str">
        <f>IFERROR(__xludf.DUMMYFUNCTION("GOOGLETRANSLATE(D493)")," Os consumidores são organismos que comem organismos de uma população diferente. Esses organismos são formalmente chamados de heterotróficos, que incluem animais, algumas bactérias e fungos. Tais organismos podem consumir por vários meios, incluindo preda"&amp;"ção, parasitização e biodegradação.")</f>
        <v> Os consumidores são organismos que comem organismos de uma população diferente. Esses organismos são formalmente chamados de heterotróficos, que incluem animais, algumas bactérias e fungos. Tais organismos podem consumir por vários meios, incluindo predação, parasitização e biodegradação.</v>
      </c>
      <c r="I493" s="3" t="str">
        <f>IFERROR(__xludf.DUMMYFUNCTION("GOOGLETRANSLATE(E493)"),"organismos que comem organismos de uma população diferente")</f>
        <v>organismos que comem organismos de uma população diferente</v>
      </c>
    </row>
    <row r="494" ht="15.75" customHeight="1">
      <c r="A494" s="1">
        <v>492.0</v>
      </c>
      <c r="B494" s="3" t="s">
        <v>1811</v>
      </c>
      <c r="C494" s="3" t="s">
        <v>1812</v>
      </c>
      <c r="D494" s="3" t="s">
        <v>1813</v>
      </c>
      <c r="E494" s="3" t="s">
        <v>1814</v>
      </c>
      <c r="F494" s="3" t="str">
        <f>IFERROR(__xludf.DUMMYFUNCTION("GOOGLETRANSLATE(B494)")," Corrida espacial")</f>
        <v> Corrida espacial</v>
      </c>
      <c r="G494" s="3" t="str">
        <f>IFERROR(__xludf.DUMMYFUNCTION("GOOGLETRANSLATE(C494)"),"Quem foram as duas superpotências durante a corrida espacial da Guerra Fria")</f>
        <v>Quem foram as duas superpotências durante a corrida espacial da Guerra Fria</v>
      </c>
      <c r="H494" s="3" t="str">
        <f>IFERROR(__xludf.DUMMYFUNCTION("GOOGLETRANSLATE(D494)")," A corrida espacial refere -se à competição do século XX entre dois rivais da Guerra Fria, a União Soviética (URSS) e os Estados Unidos (EUA), por domínio na capacidade do voo espacial. Ele tinha suas origens na corrida armamentista nuclear de mísseis ent"&amp;"re as duas nações que ocorreram após a Segunda Guerra Mundial, auxiliadas pela tecnologia de mísseis alemães capturados e pelo pessoal do programa agregado. A superioridade tecnológica necessária para essa dominância era vista como necessária para a segur"&amp;"ança nacional e simbólica da superioridade ideológica. A raça espacial gerou esforços pioneiros para lançar satélites artificiais, sondas espaciais Uncrewed da Lua, Vênus e Marte e voo espacial humano na órbita baixa da terra e na lua.")</f>
        <v> A corrida espacial refere -se à competição do século XX entre dois rivais da Guerra Fria, a União Soviética (URSS) e os Estados Unidos (EUA), por domínio na capacidade do voo espacial. Ele tinha suas origens na corrida armamentista nuclear de mísseis entre as duas nações que ocorreram após a Segunda Guerra Mundial, auxiliadas pela tecnologia de mísseis alemães capturados e pelo pessoal do programa agregado. A superioridade tecnológica necessária para essa dominância era vista como necessária para a segurança nacional e simbólica da superioridade ideológica. A raça espacial gerou esforços pioneiros para lançar satélites artificiais, sondas espaciais Uncrewed da Lua, Vênus e Marte e voo espacial humano na órbita baixa da terra e na lua.</v>
      </c>
      <c r="I494" s="3" t="str">
        <f>IFERROR(__xludf.DUMMYFUNCTION("GOOGLETRANSLATE(E494)"),"A União Soviética (URSS)")</f>
        <v>A União Soviética (URSS)</v>
      </c>
    </row>
    <row r="495" ht="15.75" customHeight="1">
      <c r="A495" s="1">
        <v>493.0</v>
      </c>
      <c r="B495" s="3" t="s">
        <v>1815</v>
      </c>
      <c r="C495" s="3" t="s">
        <v>1816</v>
      </c>
      <c r="D495" s="3" t="s">
        <v>1817</v>
      </c>
      <c r="F495" s="3" t="str">
        <f>IFERROR(__xludf.DUMMYFUNCTION("GOOGLETRANSLATE(B495)")," Foi para um Burton")</f>
        <v> Foi para um Burton</v>
      </c>
      <c r="G495" s="3" t="str">
        <f>IFERROR(__xludf.DUMMYFUNCTION("GOOGLETRANSLATE(C495)"),"De onde vem o ditado para um Burton")</f>
        <v>De onde vem o ditado para um Burton</v>
      </c>
      <c r="H495" s="3" t="str">
        <f>IFERROR(__xludf.DUMMYFUNCTION("GOOGLETRANSLATE(D495)")," Longe para um Burton é uma expressão inglesa britânica que significa estar faltando ou morrer. O termo foi popularizado pela RAF na época da Segunda Guerra Mundial. Ele migrou para os EUA rapidamente e, em junho de 1943, uma história intitulada Husky des"&amp;"ce para um Burton apareceu na vida dos meninos, a revista dos escoteiros da América. A etimologia é contestada.")</f>
        <v> Longe para um Burton é uma expressão inglesa britânica que significa estar faltando ou morrer. O termo foi popularizado pela RAF na época da Segunda Guerra Mundial. Ele migrou para os EUA rapidamente e, em junho de 1943, uma história intitulada Husky desce para um Burton apareceu na vida dos meninos, a revista dos escoteiros da América. A etimologia é contestada.</v>
      </c>
      <c r="I495" s="3" t="str">
        <f>IFERROR(__xludf.DUMMYFUNCTION("GOOGLETRANSLATE(E495)"),"#VALUE!")</f>
        <v>#VALUE!</v>
      </c>
    </row>
    <row r="496" ht="15.75" customHeight="1">
      <c r="A496" s="1">
        <v>494.0</v>
      </c>
      <c r="B496" s="3" t="s">
        <v>1818</v>
      </c>
      <c r="C496" s="3" t="s">
        <v>1819</v>
      </c>
      <c r="D496" s="3" t="s">
        <v>1820</v>
      </c>
      <c r="E496" s="3" t="s">
        <v>962</v>
      </c>
      <c r="F496" s="3" t="str">
        <f>IFERROR(__xludf.DUMMYFUNCTION("GOOGLETRANSLATE(B496)")," Não")</f>
        <v> Não</v>
      </c>
      <c r="G496" s="3" t="str">
        <f>IFERROR(__xludf.DUMMYFUNCTION("GOOGLETRANSLATE(C496)"),"Quando eles acrescentaram não ao dicionário")</f>
        <v>Quando eles acrescentaram não ao dicionário</v>
      </c>
      <c r="H496" s="3" t="str">
        <f>IFERROR(__xludf.DUMMYFUNCTION("GOOGLETRANSLATE(D496)")," O terceiro novo dicionário internacional de Webster, publicado em 1961, foi contra a prática padrão - quando incluiu a seguinte nota de uso em sua entrada no Ai N't: `` Embora seja reprovada por muitos e mais comuns em discursos menos instruídos, usados "&amp;"​​por via oral oralmente Na maior parte dos EUA, por muitos oradores cultivados esp. na frase ai n't i. '' Muitos comentaristas desaprovaram a atitude relativamente permissiva do dicionário em relação à palavra, que foi inspirada, em parte, pela crença de"&amp;" seu editor, Philip Gove, que `` distinções de uso eram elitistas e artificiais ''.")</f>
        <v> O terceiro novo dicionário internacional de Webster, publicado em 1961, foi contra a prática padrão - quando incluiu a seguinte nota de uso em sua entrada no Ai N't: `` Embora seja reprovada por muitos e mais comuns em discursos menos instruídos, usados ​​por via oral oralmente Na maior parte dos EUA, por muitos oradores cultivados esp. na frase ai n't i. '' Muitos comentaristas desaprovaram a atitude relativamente permissiva do dicionário em relação à palavra, que foi inspirada, em parte, pela crença de seu editor, Philip Gove, que `` distinções de uso eram elitistas e artificiais ''.</v>
      </c>
      <c r="I496" s="3" t="str">
        <f>IFERROR(__xludf.DUMMYFUNCTION("GOOGLETRANSLATE(E496)"),"1961")</f>
        <v>1961</v>
      </c>
    </row>
    <row r="497" ht="15.75" customHeight="1">
      <c r="A497" s="1">
        <v>495.0</v>
      </c>
      <c r="B497" s="3" t="s">
        <v>1821</v>
      </c>
      <c r="C497" s="3" t="s">
        <v>1822</v>
      </c>
      <c r="D497" s="3" t="s">
        <v>1823</v>
      </c>
      <c r="E497" s="3" t="s">
        <v>1824</v>
      </c>
      <c r="F497" s="3" t="str">
        <f>IFERROR(__xludf.DUMMYFUNCTION("GOOGLETRANSLATE(B497)")," Sing (2016 American Film)")</f>
        <v> Sing (2016 American Film)</v>
      </c>
      <c r="G497" s="3" t="str">
        <f>IFERROR(__xludf.DUMMYFUNCTION("GOOGLETRANSLATE(C497)"),"que interpretou o coala no filme cantar")</f>
        <v>que interpretou o coala no filme cantar</v>
      </c>
      <c r="H497" s="3" t="str">
        <f>IFERROR(__xludf.DUMMYFUNCTION("GOOGLETRANSLATE(D497)")," Matthew McConaughey como Buster Moon, um coala otimista que planeja salvar seu teatro do fechamento, realizando uma competição de canto.")</f>
        <v> Matthew McConaughey como Buster Moon, um coala otimista que planeja salvar seu teatro do fechamento, realizando uma competição de canto.</v>
      </c>
      <c r="I497" s="3" t="str">
        <f>IFERROR(__xludf.DUMMYFUNCTION("GOOGLETRANSLATE(E497)"),"Matthew McConaughey")</f>
        <v>Matthew McConaughey</v>
      </c>
    </row>
    <row r="498" ht="15.75" customHeight="1">
      <c r="A498" s="1">
        <v>496.0</v>
      </c>
      <c r="B498" s="3" t="s">
        <v>1825</v>
      </c>
      <c r="C498" s="3" t="s">
        <v>1826</v>
      </c>
      <c r="D498" s="3" t="s">
        <v>1827</v>
      </c>
      <c r="E498" s="3" t="s">
        <v>1828</v>
      </c>
      <c r="F498" s="3" t="str">
        <f>IFERROR(__xludf.DUMMYFUNCTION("GOOGLETRANSLATE(B498)")," Tálamo")</f>
        <v> Tálamo</v>
      </c>
      <c r="G498" s="3" t="str">
        <f>IFERROR(__xludf.DUMMYFUNCTION("GOOGLETRANSLATE(C498)"),"onde está o Thalmus localizado no cérebro")</f>
        <v>onde está o Thalmus localizado no cérebro</v>
      </c>
      <c r="H498" s="3" t="str">
        <f>IFERROR(__xludf.DUMMYFUNCTION("GOOGLETRANSLATE(D498)")," O tálamo (do grego θάλαμος, `` câmara '') é a grande massa de substância cinzenta na parte dorsal do diencephalon do cérebro com várias funções, como retransmissão de sinais sensoriais, incluindo sinais motores, para o córtex cerebral e A regulação da co"&amp;"nsciência, sono e alerta.")</f>
        <v> O tálamo (do grego θάλαμος, `` câmara '') é a grande massa de substância cinzenta na parte dorsal do diencephalon do cérebro com várias funções, como retransmissão de sinais sensoriais, incluindo sinais motores, para o córtex cerebral e A regulação da consciência, sono e alerta.</v>
      </c>
      <c r="I498" s="3" t="str">
        <f>IFERROR(__xludf.DUMMYFUNCTION("GOOGLETRANSLATE(E498)"),"parte dorsal do diencephalon")</f>
        <v>parte dorsal do diencephalon</v>
      </c>
    </row>
    <row r="499" ht="15.75" customHeight="1">
      <c r="A499" s="1">
        <v>497.0</v>
      </c>
      <c r="B499" s="3" t="s">
        <v>1829</v>
      </c>
      <c r="C499" s="3" t="s">
        <v>1830</v>
      </c>
      <c r="D499" s="3" t="s">
        <v>1831</v>
      </c>
      <c r="E499" s="3" t="s">
        <v>1832</v>
      </c>
      <c r="F499" s="3" t="str">
        <f>IFERROR(__xludf.DUMMYFUNCTION("GOOGLETRANSLATE(B499)")," 1967 - 68 Liga de Futebol")</f>
        <v> 1967 - 68 Liga de Futebol</v>
      </c>
      <c r="G499" s="3" t="str">
        <f>IFERROR(__xludf.DUMMYFUNCTION("GOOGLETRANSLATE(C499)"),"que venceu o campeonato da liga de futebol em 1968")</f>
        <v>que venceu o campeonato da liga de futebol em 1968</v>
      </c>
      <c r="H499" s="3" t="str">
        <f>IFERROR(__xludf.DUMMYFUNCTION("GOOGLETRANSLATE(D499)")," A temporada da liga de futebol de 1967 - 68 campeões Manchester City ← 1966 - 67 1968 - 69 →")</f>
        <v> A temporada da liga de futebol de 1967 - 68 campeões Manchester City ← 1966 - 67 1968 - 69 →</v>
      </c>
      <c r="I499" s="3" t="str">
        <f>IFERROR(__xludf.DUMMYFUNCTION("GOOGLETRANSLATE(E499)"),"Cidade de Manchester")</f>
        <v>Cidade de Manchester</v>
      </c>
    </row>
    <row r="500" ht="15.75" customHeight="1">
      <c r="A500" s="1">
        <v>498.0</v>
      </c>
      <c r="B500" s="3" t="s">
        <v>1833</v>
      </c>
      <c r="C500" s="3" t="s">
        <v>1834</v>
      </c>
      <c r="D500" s="3" t="s">
        <v>1835</v>
      </c>
      <c r="E500" s="3" t="s">
        <v>1836</v>
      </c>
      <c r="F500" s="3" t="str">
        <f>IFERROR(__xludf.DUMMYFUNCTION("GOOGLETRANSLATE(B500)")," História do Texas (1845 - 1860)")</f>
        <v> História do Texas (1845 - 1860)</v>
      </c>
      <c r="G500" s="3" t="str">
        <f>IFERROR(__xludf.DUMMYFUNCTION("GOOGLETRANSLATE(C500)"),"pouco antes de o Texas se tornar um estado americano em 1845, o Texas era")</f>
        <v>pouco antes de o Texas se tornar um estado americano em 1845, o Texas era</v>
      </c>
      <c r="H500" s="3" t="str">
        <f>IFERROR(__xludf.DUMMYFUNCTION("GOOGLETRANSLATE(D500)")," Em 1845, a República do Texas foi anexada aos Estados Unidos da América, tornando -se o 28º Estado dos EUA. As disputas fronteiriças entre o novo estado e o México, que nunca reconheceram a independência do Texas e ainda consideraram a área um estado mex"&amp;"icano renegado, levou ao mexicano - Guerra Americana (1846 - 1848). Quando a guerra foi concluída, o México abandonou sua reivindicação ao Texas, bem como outras regiões no que hoje é o sudoeste dos Estados Unidos. A anexação do Texas como um estado que t"&amp;"olerou a escravidão causou tensão nos Estados Unidos entre os estados escravos e aqueles que não permitiram a escravidão. A tensão foi parcialmente desativada com o compromisso de 1850, no qual o Texas cedeu parte de seu território ao governo federal para"&amp;" se tornar não escravo - possuir áreas, mas ganhou El Paso.")</f>
        <v> Em 1845, a República do Texas foi anexada aos Estados Unidos da América, tornando -se o 28º Estado dos EUA. As disputas fronteiriças entre o novo estado e o México, que nunca reconheceram a independência do Texas e ainda consideraram a área um estado mexicano renegado, levou ao mexicano - Guerra Americana (1846 - 1848). Quando a guerra foi concluída, o México abandonou sua reivindicação ao Texas, bem como outras regiões no que hoje é o sudoeste dos Estados Unidos. A anexação do Texas como um estado que tolerou a escravidão causou tensão nos Estados Unidos entre os estados escravos e aqueles que não permitiram a escravidão. A tensão foi parcialmente desativada com o compromisso de 1850, no qual o Texas cedeu parte de seu território ao governo federal para se tornar não escravo - possuir áreas, mas ganhou El Paso.</v>
      </c>
      <c r="I500" s="3" t="str">
        <f>IFERROR(__xludf.DUMMYFUNCTION("GOOGLETRANSLATE(E500)"),"anexado aos Estados Unidos da América")</f>
        <v>anexado aos Estados Unidos da América</v>
      </c>
    </row>
    <row r="501" ht="15.75" customHeight="1">
      <c r="A501" s="1">
        <v>499.0</v>
      </c>
      <c r="B501" s="3" t="s">
        <v>1837</v>
      </c>
      <c r="C501" s="3" t="s">
        <v>1838</v>
      </c>
      <c r="D501" s="3" t="s">
        <v>1839</v>
      </c>
      <c r="E501" s="3" t="s">
        <v>1840</v>
      </c>
      <c r="F501" s="3" t="str">
        <f>IFERROR(__xludf.DUMMYFUNCTION("GOOGLETRANSLATE(B501)")," Uma música de gelo e Fogo")</f>
        <v> Uma música de gelo e Fogo</v>
      </c>
      <c r="G501" s="3" t="str">
        <f>IFERROR(__xludf.DUMMYFUNCTION("GOOGLETRANSLATE(C501)"),"Qual é o último livro Game of Thrones")</f>
        <v>Qual é o último livro Game of Thrones</v>
      </c>
      <c r="H501" s="3" t="str">
        <f>IFERROR(__xludf.DUMMYFUNCTION("GOOGLETRANSLATE(D501)")," A Song of Ice and Fire é uma série de romances épicos de fantasia do romancista e roteirista americano George R.R. Martin. Ele começou o primeiro volume da série, A Game of Thrones, em 1991 e publicou em 1996. Martin, que inicialmente imaginou a série co"&amp;"mo uma trilogia, publicou cinco de sete volumes planejados. O quinto e mais recente volume da série publicado em 2011, uma dança com Dragons, levou Martin seis anos para escrever. Ele ainda está escrevendo o sexto romance, os ventos do inverno.")</f>
        <v> A Song of Ice and Fire é uma série de romances épicos de fantasia do romancista e roteirista americano George R.R. Martin. Ele começou o primeiro volume da série, A Game of Thrones, em 1991 e publicou em 1996. Martin, que inicialmente imaginou a série como uma trilogia, publicou cinco de sete volumes planejados. O quinto e mais recente volume da série publicado em 2011, uma dança com Dragons, levou Martin seis anos para escrever. Ele ainda está escrevendo o sexto romance, os ventos do inverno.</v>
      </c>
      <c r="I501" s="3" t="str">
        <f>IFERROR(__xludf.DUMMYFUNCTION("GOOGLETRANSLATE(E501)"),"Uma música de gelo e Fogo")</f>
        <v>Uma música de gelo e Fogo</v>
      </c>
    </row>
    <row r="502" ht="15.75" customHeight="1">
      <c r="A502" s="1">
        <v>500.0</v>
      </c>
      <c r="B502" s="3" t="s">
        <v>1841</v>
      </c>
      <c r="C502" s="3" t="s">
        <v>1842</v>
      </c>
      <c r="D502" s="3" t="s">
        <v>1843</v>
      </c>
      <c r="E502" s="3" t="s">
        <v>1844</v>
      </c>
      <c r="F502" s="3" t="str">
        <f>IFERROR(__xludf.DUMMYFUNCTION("GOOGLETRANSLATE(B502)")," Lista de presidentes dos Estados Unidos por idade")</f>
        <v> Lista de presidentes dos Estados Unidos por idade</v>
      </c>
      <c r="G502" s="3" t="str">
        <f>IFERROR(__xludf.DUMMYFUNCTION("GOOGLETRANSLATE(C502)"),"Quem é o presidente mais jovem eleito dos EUA")</f>
        <v>Quem é o presidente mais jovem eleito dos EUA</v>
      </c>
      <c r="H502" s="3" t="str">
        <f>IFERROR(__xludf.DUMMYFUNCTION("GOOGLETRANSLATE(D502)")," A idade média da adesão à presidência é de cerca de 55 anos e 6 meses, que é sobre quantos anos Benjamin Harrison tinha na época de sua inauguração. A pessoa mais jovem a assumir que o escritório foi Theodore Roosevelt, que se tornou presidente após o as"&amp;"sassinato de William McKinley, aos 70041566620000000000 ♠ 42 anos, 322 dias. A pessoa mais jovem eleita presidente foi John F. Kennedy, que foi inaugurado no cargo aos 7004159420000000000 ♠ 43 anos, 236 dias. Assassinado a três anos em seu mandato, ele se"&amp;" tornou o mais novo no momento em que deixar o cargo (70041697800000000 ♠ 46 anos, 177 dias); A pessoa mais jovem no momento de deixar o cargo depois de cumprir um período completo de quatro anos foi Theodore Roosevelt (7004183900000000000 ♠ 50 anos, 128 "&amp;"dias). A pessoa mais velha na época em que entraria no escritório era Donald Trump, aos 70042578880000000000 ♠ 70 anos, 220 dias; Ronald Reagan era a pessoa mais velha no cargo, aos 7004284730000000000 ♠ 77 anos, 349 dias em que sua presidência terminou e"&amp;"m janeiro de 1989.")</f>
        <v> A idade média da adesão à presidência é de cerca de 55 anos e 6 meses, que é sobre quantos anos Benjamin Harrison tinha na época de sua inauguração. A pessoa mais jovem a assumir que o escritório foi Theodore Roosevelt, que se tornou presidente após o assassinato de William McKinley, aos 70041566620000000000 ♠ 42 anos, 322 dias. A pessoa mais jovem eleita presidente foi John F. Kennedy, que foi inaugurado no cargo aos 7004159420000000000 ♠ 43 anos, 236 dias. Assassinado a três anos em seu mandato, ele se tornou o mais novo no momento em que deixar o cargo (70041697800000000 ♠ 46 anos, 177 dias); A pessoa mais jovem no momento de deixar o cargo depois de cumprir um período completo de quatro anos foi Theodore Roosevelt (7004183900000000000 ♠ 50 anos, 128 dias). A pessoa mais velha na época em que entraria no escritório era Donald Trump, aos 70042578880000000000 ♠ 70 anos, 220 dias; Ronald Reagan era a pessoa mais velha no cargo, aos 7004284730000000000 ♠ 77 anos, 349 dias em que sua presidência terminou em janeiro de 1989.</v>
      </c>
      <c r="I502" s="3" t="str">
        <f>IFERROR(__xludf.DUMMYFUNCTION("GOOGLETRANSLATE(E502)"),"John F. Kennedy")</f>
        <v>John F. Kennedy</v>
      </c>
    </row>
    <row r="503" ht="15.75" customHeight="1">
      <c r="A503" s="1">
        <v>501.0</v>
      </c>
      <c r="B503" s="3" t="s">
        <v>1310</v>
      </c>
      <c r="C503" s="3" t="s">
        <v>1845</v>
      </c>
      <c r="D503" s="3" t="s">
        <v>1846</v>
      </c>
      <c r="F503" s="3" t="str">
        <f>IFERROR(__xludf.DUMMYFUNCTION("GOOGLETRANSLATE(B503)")," Super dançarino")</f>
        <v> Super dançarino</v>
      </c>
      <c r="G503" s="3" t="str">
        <f>IFERROR(__xludf.DUMMYFUNCTION("GOOGLETRANSLATE(C503)"),"Nomes de Super Gurus do Super Dancer 2")</f>
        <v>Nomes de Super Gurus do Super Dancer 2</v>
      </c>
      <c r="H503" s="3" t="str">
        <f>IFERROR(__xludf.DUMMYFUNCTION("GOOGLETRANSLATE(D503)"),"   Contestant from Choreographer Notes Bishal Sharma Jorhat, Assam Vaibhav Ghue GUGE Winner Vaishnavi Prajapati Panipat, Haryana Manan Sachdeva Finalist Power Card Entry ON 26 November 2017 Ritik DIWAKER KANPUR Ar pradesh pratik utekar finalist Akash Thap"&amp;"a Dehradun, Uttarakhand Vivek Chachere Finalist Shagun Singh Bhilai, Chhattisgarh Aishwarya Radhakrishnan Eliminated on 18 March 2018 Akash Mitra Patna, Bihar Rishikaysh Jogadaand Power Card Entrant (Eliminated On February 2018) Muskan Sharma Indore, Madh"&amp;"ya Paul Marshal EliminateDon Mishti sinha ahmednagar, maharashtra omkar shinde palden lama mawroh left the show due to Injury on 26 January 2018 Entrada no cartão de alimentação em 26 de novembro de 2017 eliminado em 12 de novembro de 2017 Arushi Saxena L"&amp;"udhiana, Punjab Nishant Bhat eliminou em 14 de janeiro de 2018 Vivek Jogdande Aurangadande, Maharashtra Ruelin Dani, em 19 de novembro de 2017, Jyoti Ranjan SahaSar Bhubaneswar Rahman Kolkata, Bengala Ocidental Sonali Kar eliminou em 12 de novembro de 201"&amp;"7 Kunal Jyoti Rabha Guwahati, Assam Palden Lama Mawa Mawa Mawroh eliminou um 29 de outubro de 2017 Chandresh Delwar Indore Radesh Khushboo Gupta Gupta")</f>
        <v>   Contestant from Choreographer Notes Bishal Sharma Jorhat, Assam Vaibhav Ghue GUGE Winner Vaishnavi Prajapati Panipat, Haryana Manan Sachdeva Finalist Power Card Entry ON 26 November 2017 Ritik DIWAKER KANPUR Ar pradesh pratik utekar finalist Akash Thapa Dehradun, Uttarakhand Vivek Chachere Finalist Shagun Singh Bhilai, Chhattisgarh Aishwarya Radhakrishnan Eliminated on 18 March 2018 Akash Mitra Patna, Bihar Rishikaysh Jogadaand Power Card Entrant (Eliminated On February 2018) Muskan Sharma Indore, Madhya Paul Marshal EliminateDon Mishti sinha ahmednagar, maharashtra omkar shinde palden lama mawroh left the show due to Injury on 26 January 2018 Entrada no cartão de alimentação em 26 de novembro de 2017 eliminado em 12 de novembro de 2017 Arushi Saxena Ludhiana, Punjab Nishant Bhat eliminou em 14 de janeiro de 2018 Vivek Jogdande Aurangadande, Maharashtra Ruelin Dani, em 19 de novembro de 2017, Jyoti Ranjan SahaSar Bhubaneswar Rahman Kolkata, Bengala Ocidental Sonali Kar eliminou em 12 de novembro de 2017 Kunal Jyoti Rabha Guwahati, Assam Palden Lama Mawa Mawa Mawroh eliminou um 29 de outubro de 2017 Chandresh Delwar Indore Radesh Khushboo Gupta Gupta</v>
      </c>
      <c r="I503" s="3" t="str">
        <f>IFERROR(__xludf.DUMMYFUNCTION("GOOGLETRANSLATE(E503)"),"#VALUE!")</f>
        <v>#VALUE!</v>
      </c>
    </row>
    <row r="504" ht="15.75" customHeight="1">
      <c r="A504" s="1">
        <v>502.0</v>
      </c>
      <c r="B504" s="3" t="s">
        <v>1847</v>
      </c>
      <c r="C504" s="3" t="s">
        <v>1848</v>
      </c>
      <c r="D504" s="3" t="s">
        <v>1849</v>
      </c>
      <c r="E504" s="3" t="s">
        <v>1850</v>
      </c>
      <c r="F504" s="3" t="str">
        <f>IFERROR(__xludf.DUMMYFUNCTION("GOOGLETRANSLATE(B504)")," O estande (minissérie)")</f>
        <v> O estande (minissérie)</v>
      </c>
      <c r="G504" s="3" t="str">
        <f>IFERROR(__xludf.DUMMYFUNCTION("GOOGLETRANSLATE(C504)"),"que Rob Lowe jogou no estande")</f>
        <v>que Rob Lowe jogou no estande</v>
      </c>
      <c r="H504" s="3" t="str">
        <f>IFERROR(__xludf.DUMMYFUNCTION("GOOGLETRANSLATE(D504)")," As pessoas da cidade são levadas para uma instalação do CDC em Vermont. Todos, exceto Stu sucumbem ao Superflu, que mata 99,4 % da população do mundo em duas semanas. Os sobreviventes dispersos incluem - seria a estrela do rock Larry Underwood (Adam Stor"&amp;"ke); Surdos mudo Nick Andros (Rob Lowe); Frannie Goldsmith (Molly Ringwald) e seu filho ainda não nascido de Jesse, seu namorado antes da praga; seu vizinho adolescente Harold Lauder (Corin Nemec); criminal preso Lloyd Henreid (Miguel Ferrer); e `` homem "&amp;"do lixo '' (Matt Frewer), um incendiário e tesouro mentalmente doente. Os sobreviventes logo começam a ter visões, da gentil Madre Abagail (Ruby Dee) ou do Demonic Randall Flagg (Jamey Sheridan). Os dois conjuntos de sobreviventes são instruídos em sonhos"&amp;" a viajar para Nebraska para conhecer Abagail, ou para Las Vegas para se juntar a Flagg.")</f>
        <v> As pessoas da cidade são levadas para uma instalação do CDC em Vermont. Todos, exceto Stu sucumbem ao Superflu, que mata 99,4 % da população do mundo em duas semanas. Os sobreviventes dispersos incluem - seria a estrela do rock Larry Underwood (Adam Storke); Surdos mudo Nick Andros (Rob Lowe); Frannie Goldsmith (Molly Ringwald) e seu filho ainda não nascido de Jesse, seu namorado antes da praga; seu vizinho adolescente Harold Lauder (Corin Nemec); criminal preso Lloyd Henreid (Miguel Ferrer); e `` homem do lixo '' (Matt Frewer), um incendiário e tesouro mentalmente doente. Os sobreviventes logo começam a ter visões, da gentil Madre Abagail (Ruby Dee) ou do Demonic Randall Flagg (Jamey Sheridan). Os dois conjuntos de sobreviventes são instruídos em sonhos a viajar para Nebraska para conhecer Abagail, ou para Las Vegas para se juntar a Flagg.</v>
      </c>
      <c r="I504" s="3" t="str">
        <f>IFERROR(__xludf.DUMMYFUNCTION("GOOGLETRANSLATE(E504)"),"Nick Andros")</f>
        <v>Nick Andros</v>
      </c>
    </row>
    <row r="505" ht="15.75" customHeight="1">
      <c r="A505" s="1">
        <v>503.0</v>
      </c>
      <c r="B505" s="3" t="s">
        <v>1851</v>
      </c>
      <c r="C505" s="3" t="s">
        <v>1852</v>
      </c>
      <c r="D505" s="3" t="s">
        <v>1853</v>
      </c>
      <c r="E505" s="3" t="s">
        <v>1854</v>
      </c>
      <c r="F505" s="3" t="str">
        <f>IFERROR(__xludf.DUMMYFUNCTION("GOOGLETRANSLATE(B505)")," Distrito Especial (Estados Unidos)")</f>
        <v> Distrito Especial (Estados Unidos)</v>
      </c>
      <c r="G505" s="3" t="str">
        <f>IFERROR(__xludf.DUMMYFUNCTION("GOOGLETRANSLATE(C505)"),"Os governos locais que fornecem um único serviço ou um conjunto de serviços intimamente relacionados são")</f>
        <v>Os governos locais que fornecem um único serviço ou um conjunto de serviços intimamente relacionados são</v>
      </c>
      <c r="H505" s="3" t="str">
        <f>IFERROR(__xludf.DUMMYFUNCTION("GOOGLETRANSLATE(D505)")," Distritos especiais (também conhecidos como distritos de serviços especiais, governos distritais especiais, entidades de finalidade limitada ou distritos especiais de propósito nos Estados Unidos) são unidades governamentais independentes, especiais - pr"&amp;"opósitos que existem separadamente de governos locais como município, municipal e município Governos, com independência administrativa e fiscal substancial. Eles são formados para executar uma única função ou um conjunto de funções relacionadas. O termo g"&amp;"overnos distritais especiais, conforme definido pelo US Census Bureau, exclui os distritos escolares. Em 2007, os EUA tinham mais de 39.000 governos distritais especiais.")</f>
        <v> Distritos especiais (também conhecidos como distritos de serviços especiais, governos distritais especiais, entidades de finalidade limitada ou distritos especiais de propósito nos Estados Unidos) são unidades governamentais independentes, especiais - propósitos que existem separadamente de governos locais como município, municipal e município Governos, com independência administrativa e fiscal substancial. Eles são formados para executar uma única função ou um conjunto de funções relacionadas. O termo governos distritais especiais, conforme definido pelo US Census Bureau, exclui os distritos escolares. Em 2007, os EUA tinham mais de 39.000 governos distritais especiais.</v>
      </c>
      <c r="I505" s="3" t="str">
        <f>IFERROR(__xludf.DUMMYFUNCTION("GOOGLETRANSLATE(E505)"),"Distritos especiais")</f>
        <v>Distritos especiais</v>
      </c>
    </row>
    <row r="506" ht="15.75" customHeight="1">
      <c r="A506" s="1">
        <v>504.0</v>
      </c>
      <c r="B506" s="3" t="s">
        <v>1855</v>
      </c>
      <c r="C506" s="3" t="s">
        <v>1856</v>
      </c>
      <c r="D506" s="3" t="s">
        <v>1857</v>
      </c>
      <c r="E506" s="3" t="s">
        <v>1858</v>
      </c>
      <c r="F506" s="3" t="str">
        <f>IFERROR(__xludf.DUMMYFUNCTION("GOOGLETRANSLATE(B506)")," Rift Valley")</f>
        <v> Rift Valley</v>
      </c>
      <c r="G506" s="3" t="str">
        <f>IFERROR(__xludf.DUMMYFUNCTION("GOOGLETRANSLATE(C506)"),"Um vale do Rift é evidência de qual tipo de limite de placa")</f>
        <v>Um vale do Rift é evidência de qual tipo de limite de placa</v>
      </c>
      <c r="H506" s="3" t="str">
        <f>IFERROR(__xludf.DUMMYFUNCTION("GOOGLETRANSLATE(D506)")," Um vale do Rift é uma planície linear em forma de várias terras altas ou cadeias de montanhas criadas pela ação de uma fenda ou falha geológica. Um vale do Rift é formado em um limite de placa divergente, uma extensão da crosta, uma espalhada à parte da "&amp;"superfície, que é posteriormente aprofundada pelas forças da erosão. Quando as forças tensionais eram fortes o suficiente para fazer com que a placa se dividisse, um bloco central caiu entre os dois blocos em seus flancos, formando um Graben. A queda do c"&amp;"entro cria as paredes quase paralelas de mergulhar acentuadas de um vale do Rift quando é novo. Esse recurso é o começo do Vale do Rift, mas à medida que o processo continua, o vale aumenta, até que se torne uma grande bacia que se enche de sedimentos das"&amp;" paredes da fenda e da área circundante. Um dos exemplos mais conhecidos desse processo é a fenda da África Oriental. Na Terra, as brechas podem ocorrer em todas as elevações, do fundo do mar a platôs e cadeias de montanhas na crosta continental ou na cro"&amp;"sta oceânica. Eles são frequentemente associados a vários vales adjacentes de subsidiária ou co-extensa, que normalmente são considerados parte do principal vale do Rift geologicamente.")</f>
        <v> Um vale do Rift é uma planície linear em forma de várias terras altas ou cadeias de montanhas criadas pela ação de uma fenda ou falha geológica. Um vale do Rift é formado em um limite de placa divergente, uma extensão da crosta, uma espalhada à parte da superfície, que é posteriormente aprofundada pelas forças da erosão. Quando as forças tensionais eram fortes o suficiente para fazer com que a placa se dividisse, um bloco central caiu entre os dois blocos em seus flancos, formando um Graben. A queda do centro cria as paredes quase paralelas de mergulhar acentuadas de um vale do Rift quando é novo. Esse recurso é o começo do Vale do Rift, mas à medida que o processo continua, o vale aumenta, até que se torne uma grande bacia que se enche de sedimentos das paredes da fenda e da área circundante. Um dos exemplos mais conhecidos desse processo é a fenda da África Oriental. Na Terra, as brechas podem ocorrer em todas as elevações, do fundo do mar a platôs e cadeias de montanhas na crosta continental ou na crosta oceânica. Eles são frequentemente associados a vários vales adjacentes de subsidiária ou co-extensa, que normalmente são considerados parte do principal vale do Rift geologicamente.</v>
      </c>
      <c r="I506" s="3" t="str">
        <f>IFERROR(__xludf.DUMMYFUNCTION("GOOGLETRANSLATE(E506)"),"um limite de placa divergente")</f>
        <v>um limite de placa divergente</v>
      </c>
    </row>
    <row r="507" ht="15.75" customHeight="1">
      <c r="A507" s="1">
        <v>505.0</v>
      </c>
      <c r="B507" s="3" t="s">
        <v>1859</v>
      </c>
      <c r="C507" s="3" t="s">
        <v>1860</v>
      </c>
      <c r="D507" s="3" t="s">
        <v>1861</v>
      </c>
      <c r="E507" s="3" t="s">
        <v>1862</v>
      </c>
      <c r="F507" s="3" t="str">
        <f>IFERROR(__xludf.DUMMYFUNCTION("GOOGLETRANSLATE(B507)")," Merlot")</f>
        <v> Merlot</v>
      </c>
      <c r="G507" s="3" t="str">
        <f>IFERROR(__xludf.DUMMYFUNCTION("GOOGLETRANSLATE(C507)"),"onde estava o Merlot Wine Uva originalmente cultivado")</f>
        <v>onde estava o Merlot Wine Uva originalmente cultivado</v>
      </c>
      <c r="H507" s="3" t="str">
        <f>IFERROR(__xludf.DUMMYFUNCTION("GOOGLETRANSLATE(D507)")," A menção mais antiga registrou Merlot (sob o sinônimo de Merlau) estava nas notas de um funcionário local de Bordeaux que em 1784 rotulou o vinho feito da uva na região de Libournais como um dos melhores da região. Em 1824, a palavra Merlot apareceu em u"&amp;"m artigo sobre o vinho Médoc, onde foi descrito que a uva recebeu o nome do pássaro negro local (chamado Merlau na variante local da língua occitana, Mèrle no padrão) que gostava de comer as uvas maduras em a videira. Outras descrições da uva do século XI"&amp;"X chamaram o Flube Variety Lou Seme Doù (que significa `` as mudas do rio ''), com a uva que se pensava ter se originado em uma das ilhas encontradas ao longo do rio Garonne.")</f>
        <v> A menção mais antiga registrou Merlot (sob o sinônimo de Merlau) estava nas notas de um funcionário local de Bordeaux que em 1784 rotulou o vinho feito da uva na região de Libournais como um dos melhores da região. Em 1824, a palavra Merlot apareceu em um artigo sobre o vinho Médoc, onde foi descrito que a uva recebeu o nome do pássaro negro local (chamado Merlau na variante local da língua occitana, Mèrle no padrão) que gostava de comer as uvas maduras em a videira. Outras descrições da uva do século XIX chamaram o Flube Variety Lou Seme Doù (que significa `` as mudas do rio ''), com a uva que se pensava ter se originado em uma das ilhas encontradas ao longo do rio Garonne.</v>
      </c>
      <c r="I507" s="3" t="str">
        <f>IFERROR(__xludf.DUMMYFUNCTION("GOOGLETRANSLATE(E507)"),"Pensou -se ter se originado em uma das ilhas encontradas ao longo do rio Garonne")</f>
        <v>Pensou -se ter se originado em uma das ilhas encontradas ao longo do rio Garonne</v>
      </c>
    </row>
    <row r="508" ht="15.75" customHeight="1">
      <c r="A508" s="1">
        <v>506.0</v>
      </c>
      <c r="B508" s="3" t="s">
        <v>1863</v>
      </c>
      <c r="C508" s="3" t="s">
        <v>1864</v>
      </c>
      <c r="D508" s="3" t="s">
        <v>1865</v>
      </c>
      <c r="E508" s="3" t="s">
        <v>1866</v>
      </c>
      <c r="F508" s="3" t="str">
        <f>IFERROR(__xludf.DUMMYFUNCTION("GOOGLETRANSLATE(B508)")," Estações da cruz")</f>
        <v> Estações da cruz</v>
      </c>
      <c r="G508" s="3" t="str">
        <f>IFERROR(__xludf.DUMMYFUNCTION("GOOGLETRANSLATE(C508)"),"Quando é a estação da cruz")</f>
        <v>Quando é a estação da cruz</v>
      </c>
      <c r="H508" s="3" t="str">
        <f>IFERROR(__xludf.DUMMYFUNCTION("GOOGLETRANSLATE(D508)")," Geralmente, uma série de 14 imagens será organizada em ordem numerada ao longo de um caminho e as fiéis viagens de imagem para imagem, em ordem, parando em cada estação para fazer as orações e reflexões selecionados. Isso será feito individualmente ou em"&amp;" uma procissão mais comumente durante a Quaresma, especialmente na Sexta -feira Santa, em um espírito de reparação pelos sofrimentos e insultos que Jesus sofreu durante sua paixão.")</f>
        <v> Geralmente, uma série de 14 imagens será organizada em ordem numerada ao longo de um caminho e as fiéis viagens de imagem para imagem, em ordem, parando em cada estação para fazer as orações e reflexões selecionados. Isso será feito individualmente ou em uma procissão mais comumente durante a Quaresma, especialmente na Sexta -feira Santa, em um espírito de reparação pelos sofrimentos e insultos que Jesus sofreu durante sua paixão.</v>
      </c>
      <c r="I508" s="3" t="str">
        <f>IFERROR(__xludf.DUMMYFUNCTION("GOOGLETRANSLATE(E508)"),"mais comumente durante a Quaresma, especialmente na Sexta -feira Santa")</f>
        <v>mais comumente durante a Quaresma, especialmente na Sexta -feira Santa</v>
      </c>
    </row>
    <row r="509" ht="15.75" customHeight="1">
      <c r="A509" s="1">
        <v>507.0</v>
      </c>
      <c r="B509" s="3" t="s">
        <v>1867</v>
      </c>
      <c r="C509" s="3" t="s">
        <v>1868</v>
      </c>
      <c r="D509" s="3" t="s">
        <v>1869</v>
      </c>
      <c r="E509" s="3" t="s">
        <v>1870</v>
      </c>
      <c r="F509" s="3" t="str">
        <f>IFERROR(__xludf.DUMMYFUNCTION("GOOGLETRANSLATE(B509)")," Wheel of Fortune (U.S. Game Show)")</f>
        <v> Wheel of Fortune (U.S. Game Show)</v>
      </c>
      <c r="G509" s="3" t="str">
        <f>IFERROR(__xludf.DUMMYFUNCTION("GOOGLETRANSLATE(C509)"),"que é um risco mais velho ou roda da fortuna")</f>
        <v>que é um risco mais velho ou roda da fortuna</v>
      </c>
      <c r="H509" s="3" t="str">
        <f>IFERROR(__xludf.DUMMYFUNCTION("GOOGLETRANSLATE(D509)")," Merv Griffin concebeu a Wheel of Fortune, assim como a versão original do Jeopardy! , outro show que ele criou, estava encerrando sua execução de 11 anos na NBC com Art Fleming como seu anfitrião. Griffin decidiu criar um jogo no estilo de Hangman depois"&amp;" de recordar longas viagens de carro quando criança, na qual ele e sua irmã jogaram Hangman. Depois que ele discutiu a idéia com a equipe da Merv Griffin Enterprises, eles pensaram que a idéia funcionaria como um show de jogos se tivesse um `` gancho ''. "&amp;"Ele decidiu adicionar uma roleta - roda de estilo porque sempre foi `` atraído por '' tais rodas quando as viu em cassinos. Ele e MGE, então - o presidente Murray Schwartz consultou um executivo do Caesars Palace para descobrir como construir uma roda ass"&amp;"im.")</f>
        <v> Merv Griffin concebeu a Wheel of Fortune, assim como a versão original do Jeopardy! , outro show que ele criou, estava encerrando sua execução de 11 anos na NBC com Art Fleming como seu anfitrião. Griffin decidiu criar um jogo no estilo de Hangman depois de recordar longas viagens de carro quando criança, na qual ele e sua irmã jogaram Hangman. Depois que ele discutiu a idéia com a equipe da Merv Griffin Enterprises, eles pensaram que a idéia funcionaria como um show de jogos se tivesse um `` gancho ''. Ele decidiu adicionar uma roleta - roda de estilo porque sempre foi `` atraído por '' tais rodas quando as viu em cassinos. Ele e MGE, então - o presidente Murray Schwartz consultou um executivo do Caesars Palace para descobrir como construir uma roda assim.</v>
      </c>
      <c r="I509" s="3" t="str">
        <f>IFERROR(__xludf.DUMMYFUNCTION("GOOGLETRANSLATE(E509)"),"Jeopardy!")</f>
        <v>Jeopardy!</v>
      </c>
    </row>
    <row r="510" ht="15.75" customHeight="1">
      <c r="A510" s="1">
        <v>508.0</v>
      </c>
      <c r="B510" s="3" t="s">
        <v>1871</v>
      </c>
      <c r="C510" s="3" t="s">
        <v>1872</v>
      </c>
      <c r="D510" s="3" t="s">
        <v>1873</v>
      </c>
      <c r="F510" s="3" t="str">
        <f>IFERROR(__xludf.DUMMYFUNCTION("GOOGLETRANSLATE(B510)")," Heroes National Acre (Zimbábue)")</f>
        <v> Heroes National Acre (Zimbábue)</v>
      </c>
      <c r="G510" s="3" t="str">
        <f>IFERROR(__xludf.DUMMYFUNCTION("GOOGLETRANSLATE(C510)"),"Nomes de heroínas enterradas no Zimbabwe National Heroes Acre")</f>
        <v>Nomes de heroínas enterradas no Zimbabwe National Heroes Acre</v>
      </c>
      <c r="H510" s="3" t="str">
        <f>IFERROR(__xludf.DUMMYFUNCTION("GOOGLETRANSLATE(D510)"),"  Cephas celebra Felix Blown plantando a Sabina Mugabe Kaneli Ramina Stauka Sumani Ramina Stauka Sumani Ramina Stauka Sumani Ramina Stauka Stau Stau (Solo Womit Ramina Stanford Saluel Stauka Staw Stawn St. Poll e Poll Match) Josiah's Miamya e Josavho Stan"&amp;" Stawn St. Fell Sosses ndricu T.M. George Silundika johanna `` `Mama '' Mafuyana major general charlse njodzi dauramanzi edson jonasi mudadirwa zvobgo julia tukai zvobgo simon vengai muzenda lookout Masuku herbert sylvester masherniwawawawokkukunze Ulverw"&amp;"ell General Solomon Rex Nhongo Mutusva - Mujuru Brig General John Zingoni   Josiah Tungamirai   Brigadier General Gumbo   Zororo Duri   Christopher Machingura Ushewokunze   Sikwili Kohli Moyo   Vitalis Zvinavashe   Chenjerai Hunzvi   Border Gezi   Robson "&amp;"Manyika   Josiah Mushore Chinamano   Swithun Mombeshora   Sabina Mugabe   Maurice Nyagumbo   Bernard Chidzero   Elliot Manyika   David Ishemunyoro Karimanzira   Livingstone Mernard Negidi Muzariri   Brig. Gen.. Armstrong Grumpy Mowa `` colapso '""Snow Guu"&amp;"teston - Brock Jogon Luna Hill Herbert Mahlaba Lt. Gen.. (Rtd) Amoth Chingombe Edson Ncube Elias Kanengoni Nathan Shamuyarira Kantibhai Gordanbhai George Lifa (Maj. Wende Gary estabeleceu Tamayi Hlomayi Magadzire Vivian Mwashita Victoria Little Charles's "&amp;"Tree Cephas G. Mospe Peter Desafios enviado")</f>
        <v>  Cephas celebra Felix Blown plantando a Sabina Mugabe Kaneli Ramina Stauka Sumani Ramina Stauka Sumani Ramina Stauka Sumani Ramina Stauka Stau Stau (Solo Womit Ramina Stanford Saluel Stauka Staw Stawn St. Poll e Poll Match) Josiah's Miamya e Josavho Stan Stawn St. Fell Sosses ndricu T.M. George Silundika johanna `` `Mama '' Mafuyana major general charlse njodzi dauramanzi edson jonasi mudadirwa zvobgo julia tukai zvobgo simon vengai muzenda lookout Masuku herbert sylvester masherniwawawawokkukunze Ulverwell General Solomon Rex Nhongo Mutusva - Mujuru Brig General John Zingoni   Josiah Tungamirai   Brigadier General Gumbo   Zororo Duri   Christopher Machingura Ushewokunze   Sikwili Kohli Moyo   Vitalis Zvinavashe   Chenjerai Hunzvi   Border Gezi   Robson Manyika   Josiah Mushore Chinamano   Swithun Mombeshora   Sabina Mugabe   Maurice Nyagumbo   Bernard Chidzero   Elliot Manyika   David Ishemunyoro Karimanzira   Livingstone Mernard Negidi Muzariri   Brig. Gen.. Armstrong Grumpy Mowa `` colapso '"Snow Guuteston - Brock Jogon Luna Hill Herbert Mahlaba Lt. Gen.. (Rtd) Amoth Chingombe Edson Ncube Elias Kanengoni Nathan Shamuyarira Kantibhai Gordanbhai George Lifa (Maj. Wende Gary estabeleceu Tamayi Hlomayi Magadzire Vivian Mwashita Victoria Little Charles's Tree Cephas G. Mospe Peter Desafios enviado</v>
      </c>
      <c r="I510" s="3" t="str">
        <f>IFERROR(__xludf.DUMMYFUNCTION("GOOGLETRANSLATE(E510)"),"#VALUE!")</f>
        <v>#VALUE!</v>
      </c>
    </row>
    <row r="511" ht="15.75" customHeight="1">
      <c r="A511" s="1">
        <v>509.0</v>
      </c>
      <c r="B511" s="3" t="s">
        <v>1874</v>
      </c>
      <c r="C511" s="3" t="s">
        <v>1875</v>
      </c>
      <c r="D511" s="3" t="s">
        <v>1876</v>
      </c>
      <c r="E511" s="3" t="s">
        <v>1877</v>
      </c>
      <c r="F511" s="3" t="str">
        <f>IFERROR(__xludf.DUMMYFUNCTION("GOOGLETRANSLATE(B511)")," Versão King James")</f>
        <v> Versão King James</v>
      </c>
      <c r="G511" s="3" t="str">
        <f>IFERROR(__xludf.DUMMYFUNCTION("GOOGLETRANSLATE(C511)"),"que traduziu a Bíblia do rei James para o inglês")</f>
        <v>que traduziu a Bíblia do rei James para o inglês</v>
      </c>
      <c r="H511" s="3" t="str">
        <f>IFERROR(__xludf.DUMMYFUNCTION("GOOGLETRANSLATE(D511)")," James deu as instruções dos tradutores destinados a garantir que a nova versão esteja em conformidade com a eclesiologia e refletisse a estrutura episcopal da Igreja da Inglaterra e sua crença em um clero ordenado. A tradução foi feita por 47 estudiosos,"&amp;" todos membros da Igreja da Inglaterra. Em comum com a maioria das outras traduções do período, o Novo Testamento foi traduzido do grego, o Antigo Testamento de Hebraico e Aamaico e o apócrifo do grego e do latim. No Livro da Oração Comum (1662), o texto "&amp;"da versão autorizada substituiu o texto da Grande Bíblia para leituras de epístola e evangelho (mas não para o Saltério, que manteve substancialmente a grande versão da Bíblia de Coverdale) e, como tal, foi autorizado por ato do parlamento.")</f>
        <v> James deu as instruções dos tradutores destinados a garantir que a nova versão esteja em conformidade com a eclesiologia e refletisse a estrutura episcopal da Igreja da Inglaterra e sua crença em um clero ordenado. A tradução foi feita por 47 estudiosos, todos membros da Igreja da Inglaterra. Em comum com a maioria das outras traduções do período, o Novo Testamento foi traduzido do grego, o Antigo Testamento de Hebraico e Aamaico e o apócrifo do grego e do latim. No Livro da Oração Comum (1662), o texto da versão autorizada substituiu o texto da Grande Bíblia para leituras de epístola e evangelho (mas não para o Saltério, que manteve substancialmente a grande versão da Bíblia de Coverdale) e, como tal, foi autorizado por ato do parlamento.</v>
      </c>
      <c r="I511" s="3" t="str">
        <f>IFERROR(__xludf.DUMMYFUNCTION("GOOGLETRANSLATE(E511)"),"47 estudiosos, todos membros da Igreja da Inglaterra")</f>
        <v>47 estudiosos, todos membros da Igreja da Inglaterra</v>
      </c>
    </row>
    <row r="512" ht="15.75" customHeight="1">
      <c r="A512" s="1">
        <v>510.0</v>
      </c>
      <c r="B512" s="3" t="s">
        <v>1878</v>
      </c>
      <c r="C512" s="3" t="s">
        <v>1879</v>
      </c>
      <c r="D512" s="3" t="s">
        <v>1880</v>
      </c>
      <c r="E512" s="3" t="s">
        <v>1881</v>
      </c>
      <c r="F512" s="3" t="str">
        <f>IFERROR(__xludf.DUMMYFUNCTION("GOOGLETRANSLATE(B512)")," Destinado a ser (música de Bebe Rexha)")</f>
        <v> Destinado a ser (música de Bebe Rexha)</v>
      </c>
      <c r="G512" s="3" t="str">
        <f>IFERROR(__xludf.DUMMYFUNCTION("GOOGLETRANSLATE(C512)"),"quem cantou a música se for para ser")</f>
        <v>quem cantou a música se for para ser</v>
      </c>
      <c r="H512" s="3" t="str">
        <f>IFERROR(__xludf.DUMMYFUNCTION("GOOGLETRANSLATE(D512)")," `` Destinado a ser '' é uma música gravada pelo cantor americano Bebe Rexha, com vocais da dupla de música country americana Florida Georgia Line, da terceira jogada prolongada de Rexha (EP) toda sua culpa: pt. 2 e estréia expectativas do álbum de estúdi"&amp;"o. Foi lançado no American Contemporary Hit Radio em 24 de outubro de 2017, pela Warner Bros. Records como o segundo single do EP.")</f>
        <v> `` Destinado a ser '' é uma música gravada pelo cantor americano Bebe Rexha, com vocais da dupla de música country americana Florida Georgia Line, da terceira jogada prolongada de Rexha (EP) toda sua culpa: pt. 2 e estréia expectativas do álbum de estúdio. Foi lançado no American Contemporary Hit Radio em 24 de outubro de 2017, pela Warner Bros. Records como o segundo single do EP.</v>
      </c>
      <c r="I512" s="3" t="str">
        <f>IFERROR(__xludf.DUMMYFUNCTION("GOOGLETRANSLATE(E512)"),"Bebe rexha")</f>
        <v>Bebe rexha</v>
      </c>
    </row>
    <row r="513" ht="15.75" customHeight="1">
      <c r="A513" s="1">
        <v>511.0</v>
      </c>
      <c r="B513" s="3" t="s">
        <v>1882</v>
      </c>
      <c r="C513" s="3" t="s">
        <v>1883</v>
      </c>
      <c r="D513" s="3" t="s">
        <v>1884</v>
      </c>
      <c r="F513" s="3" t="str">
        <f>IFERROR(__xludf.DUMMYFUNCTION("GOOGLETRANSLATE(B513)")," Não jogue o bebê fora com a água do banho")</f>
        <v> Não jogue o bebê fora com a água do banho</v>
      </c>
      <c r="G513" s="3" t="str">
        <f>IFERROR(__xludf.DUMMYFUNCTION("GOOGLETRANSLATE(C513)"),"Não jogue o bebê fora com a origem da água do banho")</f>
        <v>Não jogue o bebê fora com a origem da água do banho</v>
      </c>
      <c r="H513" s="3" t="str">
        <f>IFERROR(__xludf.DUMMYFUNCTION("GOOGLETRANSLATE(D513)")," Alguns afirmam que a frase se origina de uma época em que toda a família compartilhou a mesma água do banho. O chefe de família (Senhor) tomaria banho primeiro, seguido pelos homens, depois a dama e as mulheres, depois as crianças, seguidas pelo bebê. A "&amp;"água seria tão preta de sujeira que um bebê poderia ser acidentalmente `` jogado com a água do banho ''. Outros afirmam que não há evidências históricas de que exista alguma conexão com a prática de vários membros da família usando a mesma água do banho, "&amp;"o bebê sendo banhado por último.")</f>
        <v> Alguns afirmam que a frase se origina de uma época em que toda a família compartilhou a mesma água do banho. O chefe de família (Senhor) tomaria banho primeiro, seguido pelos homens, depois a dama e as mulheres, depois as crianças, seguidas pelo bebê. A água seria tão preta de sujeira que um bebê poderia ser acidentalmente `` jogado com a água do banho ''. Outros afirmam que não há evidências históricas de que exista alguma conexão com a prática de vários membros da família usando a mesma água do banho, o bebê sendo banhado por último.</v>
      </c>
      <c r="I513" s="3" t="str">
        <f>IFERROR(__xludf.DUMMYFUNCTION("GOOGLETRANSLATE(E513)"),"#VALUE!")</f>
        <v>#VALUE!</v>
      </c>
    </row>
    <row r="514" ht="15.75" customHeight="1">
      <c r="A514" s="1">
        <v>512.0</v>
      </c>
      <c r="B514" s="3" t="s">
        <v>1885</v>
      </c>
      <c r="C514" s="3" t="s">
        <v>1886</v>
      </c>
      <c r="D514" s="3" t="s">
        <v>1887</v>
      </c>
      <c r="F514" s="3" t="str">
        <f>IFERROR(__xludf.DUMMYFUNCTION("GOOGLETRANSLATE(B514)")," Puxando o booty duplo")</f>
        <v> Puxando o booty duplo</v>
      </c>
      <c r="G514" s="3" t="str">
        <f>IFERROR(__xludf.DUMMYFUNCTION("GOOGLETRANSLATE(C514)"),"Pai americano Jeff termina com o episódio de Hayley")</f>
        <v>Pai americano Jeff termina com o episódio de Hayley</v>
      </c>
      <c r="H514" s="3" t="str">
        <f>IFERROR(__xludf.DUMMYFUNCTION("GOOGLETRANSLATE(D514)")," Stan furta a massa de biscoito que Francine diz para ele não comer e esconde -a antes que ela descubra. Hayley e Jeff anunciam que estão indo à loja para comprar contas para que Jeff pudesse abrir sua própria loja de contas. Hayley diz bem - tchau e `` e"&amp;"u te amo '', mas Stan apenas diz `` ok ''. Francine pergunta por que não admite que ama Hayley. Stan diz que ele pode, mas apenas planeja quando está no último momento de câncer incurável, então ela morre feliz. Na CIA, Bullock dá uma palestra de que o co"&amp;"rpo dupla é para fins de trabalho somente depois que o duplo de Saunders revela o ardil dele fazendo amor com uma aeromoça embriagada. No shopping, Hayley vai a um tumulto destrutivo depois que Jeff termina o relacionamento deles. Stan corre para o shoppi"&amp;"ng e repreende Jeff, também explicando que Hayley fica tumulto toda vez que um namorado termina com ela. Stan acabou a impede com 19 dardos tranquilizantes e traz sua casa. Ele informa a Francine que os policiais farão com que Hayley vá para a cadeia se e"&amp;"la continuar em outro tumulto depois disso.")</f>
        <v> Stan furta a massa de biscoito que Francine diz para ele não comer e esconde -a antes que ela descubra. Hayley e Jeff anunciam que estão indo à loja para comprar contas para que Jeff pudesse abrir sua própria loja de contas. Hayley diz bem - tchau e `` eu te amo '', mas Stan apenas diz `` ok ''. Francine pergunta por que não admite que ama Hayley. Stan diz que ele pode, mas apenas planeja quando está no último momento de câncer incurável, então ela morre feliz. Na CIA, Bullock dá uma palestra de que o corpo dupla é para fins de trabalho somente depois que o duplo de Saunders revela o ardil dele fazendo amor com uma aeromoça embriagada. No shopping, Hayley vai a um tumulto destrutivo depois que Jeff termina o relacionamento deles. Stan corre para o shopping e repreende Jeff, também explicando que Hayley fica tumulto toda vez que um namorado termina com ela. Stan acabou a impede com 19 dardos tranquilizantes e traz sua casa. Ele informa a Francine que os policiais farão com que Hayley vá para a cadeia se ela continuar em outro tumulto depois disso.</v>
      </c>
      <c r="I514" s="3" t="str">
        <f>IFERROR(__xludf.DUMMYFUNCTION("GOOGLETRANSLATE(E514)"),"#VALUE!")</f>
        <v>#VALUE!</v>
      </c>
    </row>
    <row r="515" ht="15.75" customHeight="1">
      <c r="A515" s="1">
        <v>513.0</v>
      </c>
      <c r="B515" s="3" t="s">
        <v>1888</v>
      </c>
      <c r="C515" s="3" t="s">
        <v>1889</v>
      </c>
      <c r="D515" s="3" t="s">
        <v>1890</v>
      </c>
      <c r="E515" s="3" t="s">
        <v>1891</v>
      </c>
      <c r="F515" s="3" t="str">
        <f>IFERROR(__xludf.DUMMYFUNCTION("GOOGLETRANSLATE(B515)")," Tigre - Sistema Rio Eufrates")</f>
        <v> Tigre - Sistema Rio Eufrates</v>
      </c>
      <c r="G515" s="3" t="str">
        <f>IFERROR(__xludf.DUMMYFUNCTION("GOOGLETRANSLATE(C515)"),"A área entre os rios Tigre e Eufrates")</f>
        <v>A área entre os rios Tigre e Eufrates</v>
      </c>
      <c r="H515" s="3" t="str">
        <f>IFERROR(__xludf.DUMMYFUNCTION("GOOGLETRANSLATE(D515)")," A ecorregião é caracterizada por dois grandes rios, o Tigre e o Eufrates. Os rios têm vários pequenos afluentes que alimentam o sistema de lagos de água doce rasa, pântanos e pântanos, todos cercados pelo deserto. A hidrologia desses vastos pântanos é ex"&amp;"tremamente importante para a ecologia de todo o Golfo Pérsico Alto. Historicamente, a área é conhecida como Mesopotâmia. Como parte do crescente fértil maior, viu o surgimento mais antigo da civilização urbana alfabetizada no período Uruk, pela qual é fre"&amp;"quentemente descrito como um `` berço da civilização ''.")</f>
        <v> A ecorregião é caracterizada por dois grandes rios, o Tigre e o Eufrates. Os rios têm vários pequenos afluentes que alimentam o sistema de lagos de água doce rasa, pântanos e pântanos, todos cercados pelo deserto. A hidrologia desses vastos pântanos é extremamente importante para a ecologia de todo o Golfo Pérsico Alto. Historicamente, a área é conhecida como Mesopotâmia. Como parte do crescente fértil maior, viu o surgimento mais antigo da civilização urbana alfabetizada no período Uruk, pela qual é frequentemente descrito como um `` berço da civilização ''.</v>
      </c>
      <c r="I515" s="3" t="str">
        <f>IFERROR(__xludf.DUMMYFUNCTION("GOOGLETRANSLATE(E515)"),"Mesopotâmia")</f>
        <v>Mesopotâmia</v>
      </c>
    </row>
    <row r="516" ht="15.75" customHeight="1">
      <c r="A516" s="1">
        <v>514.0</v>
      </c>
      <c r="B516" s="3" t="s">
        <v>1892</v>
      </c>
      <c r="C516" s="3" t="s">
        <v>1893</v>
      </c>
      <c r="D516" s="3" t="s">
        <v>1894</v>
      </c>
      <c r="E516" s="3" t="s">
        <v>1895</v>
      </c>
      <c r="F516" s="3" t="str">
        <f>IFERROR(__xludf.DUMMYFUNCTION("GOOGLETRANSLATE(B516)")," Código de ética da APA")</f>
        <v> Código de ética da APA</v>
      </c>
      <c r="G516" s="3" t="str">
        <f>IFERROR(__xludf.DUMMYFUNCTION("GOOGLETRANSLATE(C516)"),"A revisão mais recente do Código de Ética da APA foi publicada em")</f>
        <v>A revisão mais recente do Código de Ética da APA foi publicada em</v>
      </c>
      <c r="H516" s="3" t="str">
        <f>IFERROR(__xludf.DUMMYFUNCTION("GOOGLETRANSLATE(D516)")," A primeira versão foi publicada pela APA em 1953. A necessidade de esse documento veio depois que os psicólogos estavam assumindo mais funções profissionais e públicas após a Segunda Guerra Mundial. Um comitê foi desenvolvido e revisou situações apresent"&amp;"adas por psicólogos no campo que achavam que haviam encontrado dilemas éticos. O comitê organizou essas situações em temas e os incluiu no primeiro documento, com 170 páginas de comprimento. Ao longo dos anos, foi feita uma distinção entre princípios aspi"&amp;"racionais e padrões aplicáveis. Desde então, houve nove revisões com as mais recentes publicadas em 2002 e alteradas em 2010.")</f>
        <v> A primeira versão foi publicada pela APA em 1953. A necessidade de esse documento veio depois que os psicólogos estavam assumindo mais funções profissionais e públicas após a Segunda Guerra Mundial. Um comitê foi desenvolvido e revisou situações apresentadas por psicólogos no campo que achavam que haviam encontrado dilemas éticos. O comitê organizou essas situações em temas e os incluiu no primeiro documento, com 170 páginas de comprimento. Ao longo dos anos, foi feita uma distinção entre princípios aspiracionais e padrões aplicáveis. Desde então, houve nove revisões com as mais recentes publicadas em 2002 e alteradas em 2010.</v>
      </c>
      <c r="I516" s="3" t="str">
        <f>IFERROR(__xludf.DUMMYFUNCTION("GOOGLETRANSLATE(E516)"),"2010")</f>
        <v>2010</v>
      </c>
    </row>
    <row r="517" ht="15.75" customHeight="1">
      <c r="A517" s="1">
        <v>515.0</v>
      </c>
      <c r="B517" s="3" t="s">
        <v>1896</v>
      </c>
      <c r="C517" s="3" t="s">
        <v>1897</v>
      </c>
      <c r="D517" s="3" t="s">
        <v>1898</v>
      </c>
      <c r="E517" s="3" t="s">
        <v>1899</v>
      </c>
      <c r="F517" s="3" t="str">
        <f>IFERROR(__xludf.DUMMYFUNCTION("GOOGLETRANSLATE(B517)")," Uma maçã por dia mantém o médico longe")</f>
        <v> Uma maçã por dia mantém o médico longe</v>
      </c>
      <c r="G517" s="3" t="str">
        <f>IFERROR(__xludf.DUMMYFUNCTION("GOOGLETRANSLATE(C517)"),"De onde vêm uma maçã por dia mantém o médico longe")</f>
        <v>De onde vêm uma maçã por dia mantém o médico longe</v>
      </c>
      <c r="H517" s="3" t="str">
        <f>IFERROR(__xludf.DUMMYFUNCTION("GOOGLETRANSLATE(D517)")," Registrado pela primeira vez na década de 1860, o provérbio se originou no País de Gales e foi particularmente prevalente em Pembrokshire. A primeira versão em inglês do ditado foi `` comer uma maçã ao ir para a cama, e você impedirá que o médico ganhass"&amp;"e o pão. '' O fraseado atual (`` Uma maçã por dia mantém o médico afastado '') foi usado pela primeira vez em 1922.")</f>
        <v> Registrado pela primeira vez na década de 1860, o provérbio se originou no País de Gales e foi particularmente prevalente em Pembrokshire. A primeira versão em inglês do ditado foi `` comer uma maçã ao ir para a cama, e você impedirá que o médico ganhasse o pão. '' O fraseado atual (`` Uma maçã por dia mantém o médico afastado '') foi usado pela primeira vez em 1922.</v>
      </c>
      <c r="I517" s="3" t="str">
        <f>IFERROR(__xludf.DUMMYFUNCTION("GOOGLETRANSLATE(E517)"),"O provérbio se originou no País de Gales e foi particularmente prevalente em Pembrokshire")</f>
        <v>O provérbio se originou no País de Gales e foi particularmente prevalente em Pembrokshire</v>
      </c>
    </row>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