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filterPrivacy="1"/>
  <xr:revisionPtr revIDLastSave="0" documentId="8_{19651A5C-E36E-AB4D-B59B-C25F406A5FE0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Ingresos" sheetId="2" r:id="rId1"/>
    <sheet name="Costo de ventas" sheetId="3" r:id="rId2"/>
    <sheet name="Egresos" sheetId="4" r:id="rId3"/>
    <sheet name="Status prestamos " sheetId="5" r:id="rId4"/>
  </sheets>
  <definedNames>
    <definedName name="Company_Name">Ingresos!$B$1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Ingresos!$F$2</definedName>
    <definedName name="FYStartYear">Ingresos!$G$2</definedName>
    <definedName name="_xlnm.Print_Titles" localSheetId="1">'Costo de ventas'!$5:$6</definedName>
    <definedName name="_xlnm.Print_Titles" localSheetId="2">Egresos!$5:$6</definedName>
    <definedName name="_xlnm.Print_Titles" localSheetId="0">Ingresos!$5:$6</definedName>
    <definedName name="Projection_Period_Title">Ingresos!$B$2</definedName>
    <definedName name="Title1">Revenue[[#Headers],[REVENUES (SALES)]]</definedName>
    <definedName name="Title2">CostofSales[[#Headers],[COST OF SALES]]</definedName>
    <definedName name="Title3">tblExpenses[[#Headers],[EXPENSES]]</definedName>
    <definedName name="Wksht_Title">Ingresos!$B$3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4" l="1"/>
  <c r="AB6" i="5"/>
  <c r="AB5" i="5"/>
  <c r="AB4" i="5"/>
  <c r="AB3" i="5"/>
  <c r="Y6" i="5"/>
  <c r="Y5" i="5"/>
  <c r="Y4" i="5"/>
  <c r="Y3" i="5"/>
  <c r="V6" i="5"/>
  <c r="V5" i="5"/>
  <c r="V4" i="5"/>
  <c r="V3" i="5"/>
  <c r="S6" i="5"/>
  <c r="S5" i="5"/>
  <c r="S4" i="5"/>
  <c r="S3" i="5"/>
  <c r="P6" i="5"/>
  <c r="P5" i="5"/>
  <c r="P4" i="5"/>
  <c r="P3" i="5"/>
  <c r="M6" i="5"/>
  <c r="M5" i="5"/>
  <c r="M4" i="5"/>
  <c r="M3" i="5"/>
  <c r="J6" i="5"/>
  <c r="J5" i="5"/>
  <c r="J4" i="5"/>
  <c r="J3" i="5"/>
  <c r="G4" i="5"/>
  <c r="G5" i="5"/>
  <c r="G6" i="5"/>
  <c r="AL6" i="5" s="1"/>
  <c r="G3" i="5"/>
  <c r="AL3" i="5" s="1"/>
  <c r="AL5" i="5" l="1"/>
  <c r="AL4" i="5"/>
  <c r="Q14" i="3" l="1"/>
  <c r="D14" i="2"/>
  <c r="R8" i="2" s="1"/>
  <c r="E14" i="2"/>
  <c r="S7" i="2" s="1"/>
  <c r="F14" i="2"/>
  <c r="T8" i="2" s="1"/>
  <c r="G14" i="2"/>
  <c r="U9" i="2" s="1"/>
  <c r="H14" i="2"/>
  <c r="V10" i="2" s="1"/>
  <c r="I14" i="2"/>
  <c r="W9" i="2" s="1"/>
  <c r="J14" i="2"/>
  <c r="X12" i="2" s="1"/>
  <c r="K14" i="2"/>
  <c r="Y7" i="2" s="1"/>
  <c r="L14" i="2"/>
  <c r="Z8" i="2" s="1"/>
  <c r="M14" i="2"/>
  <c r="AA8" i="2" s="1"/>
  <c r="N14" i="2"/>
  <c r="O14" i="2"/>
  <c r="AC10" i="2" s="1"/>
  <c r="P7" i="2"/>
  <c r="P8" i="2"/>
  <c r="P9" i="2"/>
  <c r="P10" i="2"/>
  <c r="P11" i="2"/>
  <c r="P12" i="2"/>
  <c r="P13" i="2"/>
  <c r="AC8" i="2"/>
  <c r="AC9" i="2"/>
  <c r="AC12" i="2"/>
  <c r="AC13" i="2"/>
  <c r="B1" i="4"/>
  <c r="B2" i="4"/>
  <c r="B2" i="3"/>
  <c r="B1" i="3"/>
  <c r="O5" i="4"/>
  <c r="AC5" i="4" s="1"/>
  <c r="B3" i="3"/>
  <c r="B3" i="4"/>
  <c r="F2" i="4"/>
  <c r="F2" i="3"/>
  <c r="O26" i="4"/>
  <c r="AC22" i="4" s="1"/>
  <c r="N26" i="4"/>
  <c r="AB20" i="4" s="1"/>
  <c r="M26" i="4"/>
  <c r="AA25" i="4" s="1"/>
  <c r="Z21" i="4"/>
  <c r="K26" i="4"/>
  <c r="Y25" i="4" s="1"/>
  <c r="J26" i="4"/>
  <c r="X23" i="4" s="1"/>
  <c r="I26" i="4"/>
  <c r="W9" i="4" s="1"/>
  <c r="H26" i="4"/>
  <c r="V25" i="4" s="1"/>
  <c r="G26" i="4"/>
  <c r="U21" i="4" s="1"/>
  <c r="F26" i="4"/>
  <c r="T12" i="4" s="1"/>
  <c r="E26" i="4"/>
  <c r="S25" i="4" s="1"/>
  <c r="D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O14" i="3"/>
  <c r="N14" i="3"/>
  <c r="AB9" i="3" s="1"/>
  <c r="M14" i="3"/>
  <c r="AA11" i="3" s="1"/>
  <c r="L14" i="3"/>
  <c r="Z8" i="3" s="1"/>
  <c r="K14" i="3"/>
  <c r="Y9" i="3" s="1"/>
  <c r="J14" i="3"/>
  <c r="X10" i="3" s="1"/>
  <c r="I14" i="3"/>
  <c r="H14" i="3"/>
  <c r="V7" i="3" s="1"/>
  <c r="G14" i="3"/>
  <c r="U13" i="3" s="1"/>
  <c r="F14" i="3"/>
  <c r="T10" i="3" s="1"/>
  <c r="E14" i="3"/>
  <c r="S7" i="3" s="1"/>
  <c r="D14" i="3"/>
  <c r="P13" i="3"/>
  <c r="P12" i="3"/>
  <c r="P11" i="3"/>
  <c r="P10" i="3"/>
  <c r="P9" i="3"/>
  <c r="P8" i="3"/>
  <c r="P7" i="3"/>
  <c r="V13" i="3"/>
  <c r="Z10" i="2" l="1"/>
  <c r="Z11" i="2"/>
  <c r="AA11" i="2"/>
  <c r="AA19" i="4"/>
  <c r="Y10" i="2"/>
  <c r="Y9" i="2"/>
  <c r="U8" i="2"/>
  <c r="D16" i="3"/>
  <c r="T13" i="4"/>
  <c r="X18" i="4"/>
  <c r="T21" i="4"/>
  <c r="R25" i="4"/>
  <c r="R21" i="4"/>
  <c r="R8" i="4"/>
  <c r="R7" i="4"/>
  <c r="Z7" i="3"/>
  <c r="T8" i="3"/>
  <c r="AA9" i="3"/>
  <c r="X8" i="3"/>
  <c r="Y13" i="2"/>
  <c r="W7" i="2"/>
  <c r="S9" i="2"/>
  <c r="I16" i="3"/>
  <c r="I28" i="4" s="1"/>
  <c r="Z7" i="2"/>
  <c r="Z14" i="2" s="1"/>
  <c r="W8" i="2"/>
  <c r="R7" i="2"/>
  <c r="Z20" i="4"/>
  <c r="X25" i="4"/>
  <c r="X7" i="4"/>
  <c r="V12" i="3"/>
  <c r="U7" i="3"/>
  <c r="U8" i="3"/>
  <c r="S8" i="3"/>
  <c r="U11" i="3"/>
  <c r="W9" i="3"/>
  <c r="U9" i="3"/>
  <c r="AA12" i="4"/>
  <c r="S9" i="4"/>
  <c r="W15" i="4"/>
  <c r="S10" i="4"/>
  <c r="AA20" i="4"/>
  <c r="S19" i="4"/>
  <c r="U12" i="4"/>
  <c r="V23" i="4"/>
  <c r="V12" i="4"/>
  <c r="U15" i="4"/>
  <c r="Z13" i="3"/>
  <c r="V8" i="3"/>
  <c r="V12" i="2"/>
  <c r="V9" i="2"/>
  <c r="V13" i="2"/>
  <c r="U7" i="2"/>
  <c r="U12" i="2"/>
  <c r="G16" i="3"/>
  <c r="G28" i="4" s="1"/>
  <c r="U11" i="2"/>
  <c r="R11" i="2"/>
  <c r="AA10" i="2"/>
  <c r="W12" i="2"/>
  <c r="S13" i="2"/>
  <c r="AA7" i="2"/>
  <c r="W11" i="2"/>
  <c r="S10" i="2"/>
  <c r="V8" i="2"/>
  <c r="R10" i="2"/>
  <c r="AC11" i="2"/>
  <c r="AC7" i="2"/>
  <c r="Z13" i="2"/>
  <c r="Z9" i="2"/>
  <c r="Y12" i="2"/>
  <c r="Y8" i="2"/>
  <c r="V11" i="2"/>
  <c r="V7" i="2"/>
  <c r="U10" i="2"/>
  <c r="R13" i="2"/>
  <c r="R9" i="2"/>
  <c r="Z12" i="2"/>
  <c r="Y11" i="2"/>
  <c r="U13" i="2"/>
  <c r="R12" i="2"/>
  <c r="AA13" i="4"/>
  <c r="AA18" i="4"/>
  <c r="X9" i="4"/>
  <c r="U14" i="4"/>
  <c r="U23" i="4"/>
  <c r="X24" i="4"/>
  <c r="X9" i="3"/>
  <c r="AA21" i="4"/>
  <c r="AA15" i="4"/>
  <c r="AA9" i="4"/>
  <c r="AA22" i="4"/>
  <c r="AA14" i="4"/>
  <c r="AA8" i="4"/>
  <c r="V7" i="4"/>
  <c r="U7" i="4"/>
  <c r="X8" i="4"/>
  <c r="X10" i="4"/>
  <c r="AB13" i="4"/>
  <c r="X16" i="4"/>
  <c r="V18" i="4"/>
  <c r="X19" i="4"/>
  <c r="Y20" i="4"/>
  <c r="X21" i="4"/>
  <c r="AB22" i="4"/>
  <c r="Y23" i="4"/>
  <c r="AA7" i="4"/>
  <c r="AA26" i="4" s="1"/>
  <c r="AA10" i="4"/>
  <c r="X11" i="4"/>
  <c r="U13" i="4"/>
  <c r="X15" i="4"/>
  <c r="X17" i="4"/>
  <c r="U20" i="4"/>
  <c r="U22" i="4"/>
  <c r="K16" i="3"/>
  <c r="K28" i="4" s="1"/>
  <c r="X7" i="3"/>
  <c r="AA23" i="4"/>
  <c r="AA17" i="4"/>
  <c r="AA11" i="4"/>
  <c r="AA24" i="4"/>
  <c r="AA16" i="4"/>
  <c r="V15" i="4"/>
  <c r="V8" i="4"/>
  <c r="Y11" i="4"/>
  <c r="X12" i="4"/>
  <c r="X13" i="4"/>
  <c r="X14" i="4"/>
  <c r="T19" i="4"/>
  <c r="X20" i="4"/>
  <c r="X22" i="4"/>
  <c r="Y24" i="4"/>
  <c r="W25" i="4"/>
  <c r="Z24" i="4"/>
  <c r="E5" i="2"/>
  <c r="S5" i="2" s="1"/>
  <c r="H5" i="2"/>
  <c r="V5" i="2" s="1"/>
  <c r="K5" i="2"/>
  <c r="Y5" i="2" s="1"/>
  <c r="I5" i="4"/>
  <c r="W5" i="4" s="1"/>
  <c r="D5" i="2"/>
  <c r="R5" i="2" s="1"/>
  <c r="J5" i="2"/>
  <c r="X5" i="2" s="1"/>
  <c r="I5" i="2"/>
  <c r="W5" i="2" s="1"/>
  <c r="N5" i="2"/>
  <c r="AB5" i="2" s="1"/>
  <c r="M5" i="3"/>
  <c r="AA5" i="3" s="1"/>
  <c r="J5" i="4"/>
  <c r="X5" i="4" s="1"/>
  <c r="G5" i="2"/>
  <c r="U5" i="2" s="1"/>
  <c r="M5" i="2"/>
  <c r="AA5" i="2" s="1"/>
  <c r="F5" i="2"/>
  <c r="T5" i="2" s="1"/>
  <c r="L5" i="2"/>
  <c r="Z5" i="2" s="1"/>
  <c r="O5" i="2"/>
  <c r="AC5" i="2" s="1"/>
  <c r="O5" i="3"/>
  <c r="AC5" i="3" s="1"/>
  <c r="S11" i="3"/>
  <c r="V21" i="4"/>
  <c r="Y10" i="4"/>
  <c r="S10" i="3"/>
  <c r="W10" i="3"/>
  <c r="R19" i="4"/>
  <c r="R22" i="4"/>
  <c r="AB11" i="4"/>
  <c r="V16" i="4"/>
  <c r="Y21" i="4"/>
  <c r="X13" i="3"/>
  <c r="S23" i="4"/>
  <c r="S20" i="4"/>
  <c r="R15" i="4"/>
  <c r="V11" i="4"/>
  <c r="R14" i="4"/>
  <c r="Y7" i="4"/>
  <c r="Y8" i="4"/>
  <c r="Y12" i="4"/>
  <c r="AB14" i="4"/>
  <c r="Y17" i="4"/>
  <c r="Y18" i="4"/>
  <c r="Y19" i="4"/>
  <c r="V20" i="4"/>
  <c r="AB21" i="4"/>
  <c r="V24" i="4"/>
  <c r="AA13" i="2"/>
  <c r="AA9" i="2"/>
  <c r="W10" i="2"/>
  <c r="S12" i="2"/>
  <c r="S8" i="2"/>
  <c r="V13" i="4"/>
  <c r="Y9" i="4"/>
  <c r="Y14" i="4"/>
  <c r="V22" i="4"/>
  <c r="AA10" i="3"/>
  <c r="W12" i="3"/>
  <c r="M16" i="3"/>
  <c r="M28" i="4" s="1"/>
  <c r="X12" i="3"/>
  <c r="V19" i="4"/>
  <c r="AA12" i="3"/>
  <c r="E16" i="3"/>
  <c r="E28" i="4" s="1"/>
  <c r="U12" i="3"/>
  <c r="AB11" i="3"/>
  <c r="X11" i="3"/>
  <c r="S24" i="4"/>
  <c r="W12" i="4"/>
  <c r="R23" i="4"/>
  <c r="R11" i="4"/>
  <c r="V17" i="4"/>
  <c r="V9" i="4"/>
  <c r="Z13" i="4"/>
  <c r="U10" i="3"/>
  <c r="D28" i="4"/>
  <c r="V10" i="4"/>
  <c r="Y13" i="4"/>
  <c r="V14" i="4"/>
  <c r="AC14" i="4"/>
  <c r="Y15" i="4"/>
  <c r="Y16" i="4"/>
  <c r="AB19" i="4"/>
  <c r="Y22" i="4"/>
  <c r="J5" i="3"/>
  <c r="X5" i="3" s="1"/>
  <c r="L5" i="4"/>
  <c r="Z5" i="4" s="1"/>
  <c r="AA12" i="2"/>
  <c r="W13" i="2"/>
  <c r="S11" i="2"/>
  <c r="S11" i="4"/>
  <c r="V10" i="3"/>
  <c r="Y11" i="3"/>
  <c r="S15" i="4"/>
  <c r="W7" i="3"/>
  <c r="S12" i="3"/>
  <c r="Z9" i="3"/>
  <c r="R11" i="3"/>
  <c r="V9" i="3"/>
  <c r="Y7" i="3"/>
  <c r="Y13" i="3"/>
  <c r="L16" i="3"/>
  <c r="L28" i="4" s="1"/>
  <c r="AB8" i="3"/>
  <c r="S21" i="4"/>
  <c r="S17" i="4"/>
  <c r="S7" i="4"/>
  <c r="S22" i="4"/>
  <c r="W18" i="4"/>
  <c r="S12" i="4"/>
  <c r="S8" i="4"/>
  <c r="H16" i="3"/>
  <c r="H28" i="4" s="1"/>
  <c r="AB13" i="3"/>
  <c r="AA7" i="3"/>
  <c r="T11" i="4"/>
  <c r="T20" i="4"/>
  <c r="E5" i="3"/>
  <c r="S5" i="3" s="1"/>
  <c r="H5" i="3"/>
  <c r="V5" i="3" s="1"/>
  <c r="H5" i="4"/>
  <c r="V5" i="4" s="1"/>
  <c r="R9" i="3"/>
  <c r="S16" i="4"/>
  <c r="AB10" i="3"/>
  <c r="S13" i="3"/>
  <c r="Z12" i="3"/>
  <c r="Z10" i="3"/>
  <c r="Z11" i="3"/>
  <c r="W8" i="3"/>
  <c r="V11" i="3"/>
  <c r="Y10" i="3"/>
  <c r="S9" i="3"/>
  <c r="AB12" i="3"/>
  <c r="S13" i="4"/>
  <c r="S18" i="4"/>
  <c r="S14" i="4"/>
  <c r="Z12" i="4"/>
  <c r="AB7" i="3"/>
  <c r="W11" i="3"/>
  <c r="R12" i="3"/>
  <c r="G2" i="3"/>
  <c r="G5" i="3"/>
  <c r="U5" i="3" s="1"/>
  <c r="D5" i="4"/>
  <c r="R5" i="4" s="1"/>
  <c r="K5" i="4"/>
  <c r="Y5" i="4" s="1"/>
  <c r="AC25" i="4"/>
  <c r="AC18" i="4"/>
  <c r="AC17" i="4"/>
  <c r="AC10" i="4"/>
  <c r="AC9" i="4"/>
  <c r="AC20" i="4"/>
  <c r="AC19" i="4"/>
  <c r="AC12" i="4"/>
  <c r="AC11" i="4"/>
  <c r="AB9" i="2"/>
  <c r="AB13" i="2"/>
  <c r="AB10" i="2"/>
  <c r="N16" i="3"/>
  <c r="AB7" i="2"/>
  <c r="AB11" i="2"/>
  <c r="X9" i="2"/>
  <c r="X13" i="2"/>
  <c r="X10" i="2"/>
  <c r="X7" i="2"/>
  <c r="X11" i="2"/>
  <c r="AC15" i="4"/>
  <c r="AC21" i="4"/>
  <c r="AC23" i="4"/>
  <c r="T23" i="4"/>
  <c r="T22" i="4"/>
  <c r="T15" i="4"/>
  <c r="T14" i="4"/>
  <c r="T7" i="4"/>
  <c r="T25" i="4"/>
  <c r="T24" i="4"/>
  <c r="T17" i="4"/>
  <c r="T16" i="4"/>
  <c r="T9" i="4"/>
  <c r="T8" i="4"/>
  <c r="W8" i="4"/>
  <c r="W16" i="4"/>
  <c r="W24" i="4"/>
  <c r="W13" i="4"/>
  <c r="W21" i="4"/>
  <c r="W14" i="4"/>
  <c r="W22" i="4"/>
  <c r="W11" i="4"/>
  <c r="W19" i="4"/>
  <c r="Z7" i="4"/>
  <c r="Z11" i="4"/>
  <c r="Z15" i="4"/>
  <c r="Z19" i="4"/>
  <c r="Z23" i="4"/>
  <c r="Z10" i="4"/>
  <c r="Z14" i="4"/>
  <c r="Z18" i="4"/>
  <c r="Z22" i="4"/>
  <c r="X8" i="2"/>
  <c r="W13" i="3"/>
  <c r="R8" i="3"/>
  <c r="R13" i="3"/>
  <c r="W17" i="4"/>
  <c r="W20" i="4"/>
  <c r="Z16" i="4"/>
  <c r="Z8" i="4"/>
  <c r="R18" i="4"/>
  <c r="R10" i="4"/>
  <c r="AA13" i="3"/>
  <c r="Y8" i="3"/>
  <c r="Y12" i="3"/>
  <c r="P26" i="4"/>
  <c r="Q11" i="4" s="1"/>
  <c r="AC8" i="4"/>
  <c r="AB12" i="4"/>
  <c r="AC16" i="4"/>
  <c r="AC24" i="4"/>
  <c r="U25" i="4"/>
  <c r="U24" i="4"/>
  <c r="U17" i="4"/>
  <c r="U16" i="4"/>
  <c r="U9" i="4"/>
  <c r="U8" i="4"/>
  <c r="U19" i="4"/>
  <c r="U18" i="4"/>
  <c r="U11" i="4"/>
  <c r="U10" i="4"/>
  <c r="AB8" i="2"/>
  <c r="T9" i="3"/>
  <c r="T12" i="3"/>
  <c r="T13" i="3"/>
  <c r="AC13" i="3"/>
  <c r="AC12" i="3"/>
  <c r="AC10" i="3"/>
  <c r="AC7" i="3"/>
  <c r="AC8" i="3"/>
  <c r="O16" i="3"/>
  <c r="AC11" i="3"/>
  <c r="P14" i="2"/>
  <c r="AD9" i="2" s="1"/>
  <c r="T9" i="2"/>
  <c r="T13" i="2"/>
  <c r="T10" i="2"/>
  <c r="F16" i="3"/>
  <c r="T7" i="2"/>
  <c r="T11" i="2"/>
  <c r="J16" i="3"/>
  <c r="T7" i="3"/>
  <c r="AC7" i="4"/>
  <c r="AC13" i="4"/>
  <c r="AB12" i="2"/>
  <c r="R10" i="3"/>
  <c r="AA8" i="3"/>
  <c r="R7" i="3"/>
  <c r="P14" i="3"/>
  <c r="W23" i="4"/>
  <c r="W7" i="4"/>
  <c r="W10" i="4"/>
  <c r="Z25" i="4"/>
  <c r="Z17" i="4"/>
  <c r="Z9" i="4"/>
  <c r="T11" i="3"/>
  <c r="AC9" i="3"/>
  <c r="T10" i="4"/>
  <c r="T18" i="4"/>
  <c r="R9" i="4"/>
  <c r="R13" i="4"/>
  <c r="R17" i="4"/>
  <c r="R12" i="4"/>
  <c r="R16" i="4"/>
  <c r="R20" i="4"/>
  <c r="R24" i="4"/>
  <c r="AB24" i="4"/>
  <c r="AB23" i="4"/>
  <c r="AB16" i="4"/>
  <c r="AB15" i="4"/>
  <c r="AB8" i="4"/>
  <c r="AB7" i="4"/>
  <c r="AB25" i="4"/>
  <c r="AB18" i="4"/>
  <c r="AB17" i="4"/>
  <c r="AB10" i="4"/>
  <c r="AB9" i="4"/>
  <c r="T12" i="2"/>
  <c r="G2" i="4"/>
  <c r="I5" i="3"/>
  <c r="W5" i="3" s="1"/>
  <c r="F5" i="3"/>
  <c r="T5" i="3" s="1"/>
  <c r="N5" i="3"/>
  <c r="AB5" i="3" s="1"/>
  <c r="K5" i="3"/>
  <c r="Y5" i="3" s="1"/>
  <c r="D5" i="3"/>
  <c r="R5" i="3" s="1"/>
  <c r="L5" i="3"/>
  <c r="Z5" i="3" s="1"/>
  <c r="E5" i="4"/>
  <c r="S5" i="4" s="1"/>
  <c r="M5" i="4"/>
  <c r="AA5" i="4" s="1"/>
  <c r="N5" i="4"/>
  <c r="AB5" i="4" s="1"/>
  <c r="F5" i="4"/>
  <c r="T5" i="4" s="1"/>
  <c r="G5" i="4"/>
  <c r="U5" i="4" s="1"/>
  <c r="Y14" i="2" l="1"/>
  <c r="X14" i="3"/>
  <c r="U14" i="3"/>
  <c r="AC14" i="2"/>
  <c r="W14" i="2"/>
  <c r="Q8" i="2"/>
  <c r="Q10" i="2"/>
  <c r="Q12" i="2"/>
  <c r="Q13" i="2"/>
  <c r="Q11" i="2"/>
  <c r="Q9" i="2"/>
  <c r="Q7" i="2"/>
  <c r="V14" i="2"/>
  <c r="Q17" i="4"/>
  <c r="Q15" i="4"/>
  <c r="Q10" i="4"/>
  <c r="Q12" i="4"/>
  <c r="Q16" i="4"/>
  <c r="Q21" i="4"/>
  <c r="Q13" i="4"/>
  <c r="Q18" i="4"/>
  <c r="Q23" i="4"/>
  <c r="Q22" i="4"/>
  <c r="Q9" i="4"/>
  <c r="Q8" i="4"/>
  <c r="Q14" i="4"/>
  <c r="Q20" i="4"/>
  <c r="Q19" i="4"/>
  <c r="Q25" i="4"/>
  <c r="Q24" i="4"/>
  <c r="X26" i="4"/>
  <c r="Q7" i="4"/>
  <c r="V26" i="4"/>
  <c r="U14" i="2"/>
  <c r="R14" i="2"/>
  <c r="S14" i="2"/>
  <c r="AA14" i="2"/>
  <c r="AA14" i="3"/>
  <c r="AC26" i="4"/>
  <c r="T14" i="2"/>
  <c r="Y26" i="4"/>
  <c r="V14" i="3"/>
  <c r="Y14" i="3"/>
  <c r="AB14" i="3"/>
  <c r="S26" i="4"/>
  <c r="U26" i="4"/>
  <c r="Z14" i="3"/>
  <c r="W14" i="3"/>
  <c r="X14" i="2"/>
  <c r="S14" i="3"/>
  <c r="F28" i="4"/>
  <c r="R26" i="4"/>
  <c r="AD7" i="3"/>
  <c r="AD11" i="3"/>
  <c r="AD10" i="3"/>
  <c r="AD9" i="3"/>
  <c r="AB14" i="2"/>
  <c r="AD13" i="3"/>
  <c r="R14" i="3"/>
  <c r="J28" i="4"/>
  <c r="AD10" i="2"/>
  <c r="AD7" i="2"/>
  <c r="AD11" i="2"/>
  <c r="P16" i="3"/>
  <c r="R16" i="3" s="1"/>
  <c r="AD8" i="2"/>
  <c r="AD12" i="2"/>
  <c r="AD8" i="3"/>
  <c r="Z26" i="4"/>
  <c r="T26" i="4"/>
  <c r="N28" i="4"/>
  <c r="T14" i="3"/>
  <c r="O28" i="4"/>
  <c r="AD11" i="4"/>
  <c r="AD9" i="4"/>
  <c r="AD14" i="4"/>
  <c r="AD25" i="4"/>
  <c r="AD23" i="4"/>
  <c r="AD15" i="4"/>
  <c r="AD16" i="4"/>
  <c r="AD8" i="4"/>
  <c r="AD20" i="4"/>
  <c r="AD24" i="4"/>
  <c r="AD12" i="4"/>
  <c r="AD13" i="4"/>
  <c r="AD10" i="4"/>
  <c r="AD21" i="4"/>
  <c r="AD19" i="4"/>
  <c r="AD17" i="4"/>
  <c r="AD7" i="4"/>
  <c r="AD18" i="4"/>
  <c r="AD22" i="4"/>
  <c r="AB26" i="4"/>
  <c r="W26" i="4"/>
  <c r="AD13" i="2"/>
  <c r="AC14" i="3"/>
  <c r="AD12" i="3"/>
  <c r="Q14" i="2" l="1"/>
  <c r="Q26" i="4"/>
  <c r="AD14" i="3"/>
  <c r="U16" i="3"/>
  <c r="W16" i="3"/>
  <c r="AA16" i="3"/>
  <c r="Y16" i="3"/>
  <c r="AD16" i="3"/>
  <c r="S16" i="3"/>
  <c r="V16" i="3"/>
  <c r="Z16" i="3"/>
  <c r="AB16" i="3"/>
  <c r="AD14" i="2"/>
  <c r="T16" i="3"/>
  <c r="X16" i="3"/>
  <c r="AD26" i="4"/>
  <c r="AC16" i="3"/>
  <c r="P28" i="4"/>
  <c r="AD28" i="4" l="1"/>
  <c r="Y28" i="4"/>
  <c r="R28" i="4"/>
  <c r="S28" i="4"/>
  <c r="AA28" i="4"/>
  <c r="Z28" i="4"/>
  <c r="W28" i="4"/>
  <c r="U28" i="4"/>
  <c r="V28" i="4"/>
  <c r="AC28" i="4"/>
  <c r="AB28" i="4"/>
  <c r="T28" i="4"/>
  <c r="X28" i="4"/>
</calcChain>
</file>

<file path=xl/sharedStrings.xml><?xml version="1.0" encoding="utf-8"?>
<sst xmlns="http://schemas.openxmlformats.org/spreadsheetml/2006/main" count="213" uniqueCount="84">
  <si>
    <t>Yearly</t>
  </si>
  <si>
    <t>Gross Profit</t>
  </si>
  <si>
    <t>Net Profit</t>
  </si>
  <si>
    <t xml:space="preserve"> </t>
  </si>
  <si>
    <t>Twelve Month</t>
  </si>
  <si>
    <t>REVENUES (SALES)</t>
  </si>
  <si>
    <t>TREND</t>
  </si>
  <si>
    <t>TOTAL SALES</t>
  </si>
  <si>
    <t>COST OF SALES</t>
  </si>
  <si>
    <t>TOTAL COST OF SALES</t>
  </si>
  <si>
    <t>EXPENSES</t>
  </si>
  <si>
    <t>TOTAL EXPENSES</t>
  </si>
  <si>
    <t>IND %</t>
  </si>
  <si>
    <t>YEARLY</t>
  </si>
  <si>
    <t>YEAR 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</si>
  <si>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</si>
  <si>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</si>
  <si>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</si>
  <si>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</si>
  <si>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</si>
  <si>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</si>
  <si>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</si>
  <si>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</si>
  <si>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</si>
  <si>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</si>
  <si>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</si>
  <si>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</si>
  <si>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 %</t>
  </si>
  <si>
    <t>Jan %</t>
  </si>
  <si>
    <t>Feb %</t>
  </si>
  <si>
    <t>Mar %</t>
  </si>
  <si>
    <t>Apr %</t>
  </si>
  <si>
    <t>May %</t>
  </si>
  <si>
    <t>Jun %</t>
  </si>
  <si>
    <t>Jul %</t>
  </si>
  <si>
    <t>Aug %</t>
  </si>
  <si>
    <t>Sep %</t>
  </si>
  <si>
    <t>Oct %</t>
  </si>
  <si>
    <t>Nov %</t>
  </si>
  <si>
    <t>Dec %</t>
  </si>
  <si>
    <t>Year %</t>
  </si>
  <si>
    <t>Column1</t>
  </si>
  <si>
    <t>Profit &amp; Loss Projection</t>
  </si>
  <si>
    <t>Fiscal Year Begins:</t>
  </si>
  <si>
    <t>Fiscal Year:</t>
  </si>
  <si>
    <t>Motoplex Valle</t>
  </si>
  <si>
    <t xml:space="preserve">Sueldos </t>
  </si>
  <si>
    <t>Comisiones</t>
  </si>
  <si>
    <t>VENTAS MOTOS</t>
  </si>
  <si>
    <t>VENTAS ACCESORIOS</t>
  </si>
  <si>
    <t>VENTAS SERVICIO</t>
  </si>
  <si>
    <t>APORTACION SOCIOS</t>
  </si>
  <si>
    <t>SEP</t>
  </si>
  <si>
    <t>Arrendamiento</t>
  </si>
  <si>
    <t>Sistema W32</t>
  </si>
  <si>
    <t>Mobiliario  cafeteria</t>
  </si>
  <si>
    <t>Elevador de Motos</t>
  </si>
  <si>
    <t>PERMISO PARA CONDUCIR</t>
  </si>
  <si>
    <t xml:space="preserve">CRISTALES </t>
  </si>
  <si>
    <t>PRESTAMO A ROBERTO AGUIRRE</t>
  </si>
  <si>
    <t>PRESTAMO ISRAEL ESPERANZA</t>
  </si>
  <si>
    <t>MARCELO GARZA (EXCOLABORADOR)</t>
  </si>
  <si>
    <t>HOSTING PARA CORREOS DAVID DE LA LUZ HUERTA</t>
  </si>
  <si>
    <t>REFACCIONES FORZA MOTOCICLISMO</t>
  </si>
  <si>
    <t>MOTOS A FORZA MOTOCICLISCO</t>
  </si>
  <si>
    <t>MOTO A MOCICLETAS  ITALIANAS ZAPATA</t>
  </si>
  <si>
    <t>PRESTAMO A DISCOVER MTY</t>
  </si>
  <si>
    <t>COMISIONES BANCARIAS</t>
  </si>
  <si>
    <t>ALBERTO LOPEZ</t>
  </si>
  <si>
    <t>ROBERTO AGUIRRE CAJA CHICA</t>
  </si>
  <si>
    <t>CERRAJERIA</t>
  </si>
  <si>
    <t>MATERIALES DE PINTURA</t>
  </si>
  <si>
    <t xml:space="preserve">CAJA CHICA REYES DE LA CRUZ </t>
  </si>
  <si>
    <t>LUMINARIAS (SERGIO AREVALO)</t>
  </si>
  <si>
    <t>ILUMINACION CON LOGOTIPO  (DIEGO GERARDO VILLAREAL)</t>
  </si>
  <si>
    <t>PAGO DE IMSS</t>
  </si>
  <si>
    <t>PRESTAMO DISCOVER MTY</t>
  </si>
  <si>
    <t>PRESTAMO ROBERTO AGUIRRE</t>
  </si>
  <si>
    <t>Acreedor</t>
  </si>
  <si>
    <t xml:space="preserve">Prestamo Israel Esperanza </t>
  </si>
  <si>
    <t xml:space="preserve">Cargo </t>
  </si>
  <si>
    <t xml:space="preserve">Abono </t>
  </si>
  <si>
    <t>Dif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</si>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</sst>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_(&quot;$&quot;* #,##0_);_(&quot;$&quot;* \(#,##0\);_(&quot;$&quot;* &quot;-&quot;??_);_(@_)"/>
    <numFmt numFmtId="166" formatCode="[$-409]mmm\-yy;@"/>
    <numFmt numFmtId="167" formatCode="_-[$$-409]* #,##0_ ;_-[$$-409]* \-#,##0\ ;_-[$$-409]* &quot;-&quot;??_ ;_-@_ "/>
  </numFmts>
  <fonts count="34" x14ac:knownFonts="1">
    <font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2"/>
      <color theme="0"/>
      <name val="Cambria"/>
      <family val="2"/>
      <scheme val="minor"/>
    </font>
    <font>
      <b/>
      <sz val="12"/>
      <color theme="8"/>
      <name val="Calibri"/>
      <family val="1"/>
      <scheme val="major"/>
    </font>
    <font>
      <sz val="10"/>
      <color theme="1"/>
      <name val="Cambria"/>
      <family val="2"/>
      <scheme val="minor"/>
    </font>
    <font>
      <b/>
      <sz val="26"/>
      <color theme="3"/>
      <name val="Cambria"/>
      <family val="2"/>
      <scheme val="minor"/>
    </font>
    <font>
      <b/>
      <sz val="22"/>
      <color theme="3"/>
      <name val="Cambria"/>
      <family val="2"/>
      <scheme val="minor"/>
    </font>
    <font>
      <b/>
      <sz val="12"/>
      <color theme="3"/>
      <name val="Cambria"/>
      <family val="2"/>
      <scheme val="minor"/>
    </font>
    <font>
      <b/>
      <i/>
      <sz val="22"/>
      <color theme="7"/>
      <name val="Calibri"/>
      <family val="1"/>
      <scheme val="major"/>
    </font>
    <font>
      <b/>
      <sz val="11"/>
      <color theme="8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color theme="3"/>
      <name val="Calibri"/>
      <family val="1"/>
      <scheme val="major"/>
    </font>
    <font>
      <sz val="11"/>
      <name val="Cambria"/>
      <family val="2"/>
      <scheme val="minor"/>
    </font>
    <font>
      <b/>
      <i/>
      <sz val="16"/>
      <color theme="7" tint="-0.24994659260841701"/>
      <name val="Calibri"/>
      <family val="1"/>
      <scheme val="major"/>
    </font>
    <font>
      <b/>
      <i/>
      <sz val="22"/>
      <color theme="7" tint="-0.24994659260841701"/>
      <name val="Calibri"/>
      <family val="1"/>
      <scheme val="major"/>
    </font>
    <font>
      <sz val="22"/>
      <color theme="3"/>
      <name val="Cambria"/>
      <family val="2"/>
      <charset val="238"/>
      <scheme val="minor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b/>
      <sz val="11"/>
      <color theme="0"/>
      <name val="Cambria"/>
      <family val="1"/>
      <charset val="238"/>
      <scheme val="minor"/>
    </font>
    <font>
      <b/>
      <sz val="12"/>
      <color theme="1"/>
      <name val="Cambria"/>
      <family val="1"/>
      <charset val="238"/>
      <scheme val="minor"/>
    </font>
    <font>
      <sz val="11"/>
      <color theme="4" tint="-0.499984740745262"/>
      <name val="Cambria"/>
      <family val="1"/>
      <charset val="238"/>
      <scheme val="minor"/>
    </font>
    <font>
      <b/>
      <sz val="12"/>
      <color theme="1"/>
      <name val="Calibri"/>
      <family val="2"/>
      <charset val="238"/>
      <scheme val="major"/>
    </font>
    <font>
      <sz val="12"/>
      <color theme="1"/>
      <name val="Calibri"/>
      <family val="2"/>
      <charset val="238"/>
      <scheme val="major"/>
    </font>
    <font>
      <sz val="22"/>
      <color theme="1"/>
      <name val="Cambria"/>
      <family val="2"/>
      <charset val="238"/>
      <scheme val="minor"/>
    </font>
    <font>
      <sz val="24"/>
      <color theme="1"/>
      <name val="Calibri"/>
      <family val="2"/>
      <charset val="238"/>
      <scheme val="major"/>
    </font>
    <font>
      <i/>
      <sz val="16"/>
      <color theme="5" tint="-0.499984740745262"/>
      <name val="Cambria"/>
      <family val="1"/>
      <charset val="238"/>
      <scheme val="minor"/>
    </font>
    <font>
      <sz val="11"/>
      <color theme="5" tint="-0.499984740745262"/>
      <name val="Cambria"/>
      <family val="1"/>
      <charset val="238"/>
      <scheme val="minor"/>
    </font>
    <font>
      <i/>
      <sz val="11"/>
      <color theme="5" tint="-0.499984740745262"/>
      <name val="Cambria"/>
      <family val="1"/>
      <charset val="238"/>
      <scheme val="minor"/>
    </font>
    <font>
      <i/>
      <sz val="16"/>
      <color theme="4" tint="-0.499984740745262"/>
      <name val="Cambria"/>
      <family val="1"/>
      <charset val="238"/>
      <scheme val="minor"/>
    </font>
    <font>
      <i/>
      <sz val="11"/>
      <color theme="4" tint="-0.499984740745262"/>
      <name val="Cambria"/>
      <family val="1"/>
      <charset val="238"/>
      <scheme val="minor"/>
    </font>
    <font>
      <i/>
      <sz val="16"/>
      <color theme="9" tint="-0.499984740745262"/>
      <name val="Cambria"/>
      <family val="1"/>
      <charset val="238"/>
      <scheme val="minor"/>
    </font>
    <font>
      <sz val="11"/>
      <color theme="9" tint="-0.499984740745262"/>
      <name val="Cambria"/>
      <family val="1"/>
      <charset val="238"/>
      <scheme val="minor"/>
    </font>
    <font>
      <i/>
      <sz val="11"/>
      <color theme="9" tint="-0.499984740745262"/>
      <name val="Cambria"/>
      <family val="1"/>
      <charset val="238"/>
      <scheme val="minor"/>
    </font>
    <font>
      <sz val="11"/>
      <color theme="4" tint="-0.499984740745262"/>
      <name val="Cambri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theme="3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dotted">
        <color theme="5" tint="0.39997558519241921"/>
      </left>
      <right style="dotted">
        <color theme="5" tint="0.39997558519241921"/>
      </right>
      <top/>
      <bottom/>
      <diagonal/>
    </border>
    <border>
      <left style="thin">
        <color theme="5" tint="-0.249977111117893"/>
      </left>
      <right style="dotted">
        <color theme="5" tint="0.39997558519241921"/>
      </right>
      <top style="thin">
        <color theme="5" tint="-0.249977111117893"/>
      </top>
      <bottom/>
      <diagonal/>
    </border>
    <border>
      <left style="dotted">
        <color theme="5" tint="0.39997558519241921"/>
      </left>
      <right style="dotted">
        <color theme="5" tint="0.39997558519241921"/>
      </right>
      <top style="thin">
        <color theme="5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dotted">
        <color theme="4" tint="0.39997558519241921"/>
      </left>
      <right style="dotted">
        <color theme="4" tint="0.39997558519241921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dotted">
        <color theme="4" tint="0.39997558519241921"/>
      </right>
      <top style="thin">
        <color theme="4" tint="-0.249977111117893"/>
      </top>
      <bottom/>
      <diagonal/>
    </border>
    <border>
      <left style="dotted">
        <color theme="4" tint="0.39997558519241921"/>
      </left>
      <right style="dotted">
        <color theme="4" tint="0.39997558519241921"/>
      </right>
      <top style="thin">
        <color theme="4" tint="-0.249977111117893"/>
      </top>
      <bottom/>
      <diagonal/>
    </border>
    <border>
      <left style="dotted">
        <color theme="4" tint="0.39997558519241921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theme="6" tint="0.59999389629810485"/>
      </left>
      <right style="dotted">
        <color theme="6" tint="0.59999389629810485"/>
      </right>
      <top/>
      <bottom/>
      <diagonal/>
    </border>
    <border>
      <left style="thin">
        <color theme="9" tint="-0.499984740745262"/>
      </left>
      <right style="dotted">
        <color theme="6" tint="0.59999389629810485"/>
      </right>
      <top style="thin">
        <color theme="9" tint="-0.499984740745262"/>
      </top>
      <bottom/>
      <diagonal/>
    </border>
    <border>
      <left style="dotted">
        <color theme="6" tint="0.59999389629810485"/>
      </left>
      <right style="dotted">
        <color theme="6" tint="0.59999389629810485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9" fontId="12" fillId="0" borderId="0" applyFill="0" applyBorder="0" applyProtection="0">
      <alignment horizontal="right"/>
    </xf>
    <xf numFmtId="0" fontId="6" fillId="0" borderId="0" applyNumberFormat="0" applyFill="0" applyBorder="0" applyProtection="0">
      <alignment vertical="center"/>
    </xf>
    <xf numFmtId="0" fontId="13" fillId="0" borderId="3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2" fillId="0" borderId="0" applyFill="0" applyBorder="0" applyAlignment="0" applyProtection="0"/>
    <xf numFmtId="0" fontId="1" fillId="4" borderId="1" applyNumberFormat="0" applyFont="0" applyAlignment="0" applyProtection="0"/>
    <xf numFmtId="0" fontId="2" fillId="2" borderId="0">
      <alignment horizontal="right" vertical="center" indent="1"/>
    </xf>
    <xf numFmtId="42" fontId="10" fillId="2" borderId="0" applyBorder="0" applyAlignment="0" applyProtection="0"/>
    <xf numFmtId="9" fontId="10" fillId="2" borderId="0" applyBorder="0" applyAlignment="0" applyProtection="0"/>
    <xf numFmtId="0" fontId="1" fillId="0" borderId="0">
      <alignment horizontal="right" wrapText="1" indent="1"/>
    </xf>
    <xf numFmtId="0" fontId="14" fillId="0" borderId="0" applyFill="0" applyProtection="0">
      <alignment horizontal="right" vertical="center"/>
    </xf>
    <xf numFmtId="0" fontId="3" fillId="0" borderId="0" applyFill="0" applyProtection="0">
      <alignment horizontal="right" vertical="center"/>
    </xf>
    <xf numFmtId="166" fontId="11" fillId="0" borderId="2" applyFill="0" applyProtection="0">
      <alignment horizontal="center" vertical="center"/>
    </xf>
    <xf numFmtId="0" fontId="7" fillId="0" borderId="0">
      <alignment horizontal="right" indent="1"/>
    </xf>
    <xf numFmtId="42" fontId="1" fillId="5" borderId="4" applyNumberFormat="0" applyFont="0" applyAlignment="0">
      <alignment horizontal="center"/>
    </xf>
    <xf numFmtId="42" fontId="12" fillId="3" borderId="4" applyNumberFormat="0" applyFont="0" applyAlignment="0"/>
    <xf numFmtId="42" fontId="12" fillId="6" borderId="4" applyNumberFormat="0" applyFont="0" applyAlignment="0"/>
    <xf numFmtId="44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Border="1"/>
    <xf numFmtId="0" fontId="0" fillId="0" borderId="0" xfId="0" applyAlignment="1"/>
    <xf numFmtId="0" fontId="5" fillId="0" borderId="0" xfId="0" applyFont="1" applyBorder="1" applyAlignment="1">
      <alignment vertical="center"/>
    </xf>
    <xf numFmtId="0" fontId="9" fillId="0" borderId="0" xfId="0" applyFont="1"/>
    <xf numFmtId="0" fontId="0" fillId="0" borderId="0" xfId="0" applyNumberFormat="1"/>
    <xf numFmtId="0" fontId="8" fillId="0" borderId="0" xfId="0" applyFont="1" applyBorder="1" applyAlignment="1">
      <alignment horizontal="right" vertical="center"/>
    </xf>
    <xf numFmtId="0" fontId="0" fillId="0" borderId="0" xfId="0"/>
    <xf numFmtId="0" fontId="0" fillId="0" borderId="0" xfId="0" applyFont="1"/>
    <xf numFmtId="0" fontId="2" fillId="2" borderId="0" xfId="8">
      <alignment horizontal="right" vertical="center" indent="1"/>
    </xf>
    <xf numFmtId="0" fontId="0" fillId="0" borderId="0" xfId="0" applyAlignment="1">
      <alignment horizontal="center"/>
    </xf>
    <xf numFmtId="0" fontId="14" fillId="0" borderId="0" xfId="12">
      <alignment horizontal="right" vertical="center"/>
    </xf>
    <xf numFmtId="0" fontId="3" fillId="0" borderId="0" xfId="13">
      <alignment horizontal="right" vertic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13" applyNumberFormat="1">
      <alignment horizontal="right" vertical="center"/>
    </xf>
    <xf numFmtId="42" fontId="12" fillId="0" borderId="0" xfId="6" applyFill="1" applyBorder="1" applyAlignment="1">
      <alignment vertical="center"/>
    </xf>
    <xf numFmtId="9" fontId="12" fillId="0" borderId="0" xfId="1" applyFill="1" applyBorder="1" applyAlignment="1">
      <alignment horizontal="right" vertical="center"/>
    </xf>
    <xf numFmtId="42" fontId="0" fillId="0" borderId="0" xfId="0" applyNumberFormat="1" applyFont="1" applyFill="1" applyBorder="1" applyAlignment="1">
      <alignment vertical="center" shrinkToFit="1"/>
    </xf>
    <xf numFmtId="9" fontId="0" fillId="0" borderId="0" xfId="0" applyNumberFormat="1" applyFont="1" applyFill="1" applyBorder="1" applyAlignment="1">
      <alignment horizontal="right" vertical="center" shrinkToFit="1"/>
    </xf>
    <xf numFmtId="0" fontId="0" fillId="0" borderId="5" xfId="0" applyBorder="1"/>
    <xf numFmtId="0" fontId="5" fillId="0" borderId="5" xfId="0" applyFont="1" applyBorder="1" applyAlignment="1">
      <alignment vertical="center"/>
    </xf>
    <xf numFmtId="0" fontId="9" fillId="0" borderId="5" xfId="0" applyFont="1" applyBorder="1"/>
    <xf numFmtId="0" fontId="1" fillId="0" borderId="0" xfId="11" applyBorder="1" applyAlignment="1">
      <alignment horizontal="right" vertical="center" wrapText="1" indent="1"/>
    </xf>
    <xf numFmtId="0" fontId="4" fillId="0" borderId="0" xfId="16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0" fillId="0" borderId="6" xfId="0" applyBorder="1"/>
    <xf numFmtId="0" fontId="0" fillId="0" borderId="0" xfId="0" applyFont="1" applyFill="1" applyBorder="1" applyAlignment="1">
      <alignment horizontal="right" vertical="center" indent="1"/>
    </xf>
    <xf numFmtId="164" fontId="0" fillId="0" borderId="8" xfId="0" applyNumberFormat="1" applyFont="1" applyFill="1" applyBorder="1" applyAlignment="1">
      <alignment horizontal="center"/>
    </xf>
    <xf numFmtId="42" fontId="12" fillId="0" borderId="8" xfId="6" applyFill="1" applyBorder="1" applyAlignment="1">
      <alignment horizontal="center" vertical="center"/>
    </xf>
    <xf numFmtId="165" fontId="0" fillId="0" borderId="9" xfId="0" applyNumberFormat="1" applyFont="1" applyFill="1" applyBorder="1" applyAlignment="1">
      <alignment vertical="center" shrinkToFit="1"/>
    </xf>
    <xf numFmtId="164" fontId="0" fillId="0" borderId="11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9" fontId="12" fillId="0" borderId="11" xfId="1" applyFill="1" applyBorder="1" applyAlignment="1">
      <alignment horizontal="right" vertical="center"/>
    </xf>
    <xf numFmtId="9" fontId="12" fillId="0" borderId="12" xfId="1" applyFill="1" applyBorder="1" applyAlignment="1">
      <alignment horizontal="right" vertical="center"/>
    </xf>
    <xf numFmtId="9" fontId="0" fillId="0" borderId="13" xfId="0" applyNumberFormat="1" applyFont="1" applyFill="1" applyBorder="1" applyAlignment="1">
      <alignment horizontal="right" vertical="center" shrinkToFit="1"/>
    </xf>
    <xf numFmtId="9" fontId="0" fillId="0" borderId="14" xfId="0" applyNumberFormat="1" applyFont="1" applyFill="1" applyBorder="1" applyAlignment="1">
      <alignment horizontal="right" vertical="center" shrinkToFit="1"/>
    </xf>
    <xf numFmtId="9" fontId="0" fillId="0" borderId="15" xfId="0" applyNumberFormat="1" applyBorder="1" applyAlignment="1">
      <alignment vertical="center" shrinkToFit="1"/>
    </xf>
    <xf numFmtId="166" fontId="16" fillId="7" borderId="16" xfId="14" applyFont="1" applyFill="1" applyBorder="1">
      <alignment horizontal="center" vertical="center"/>
    </xf>
    <xf numFmtId="166" fontId="16" fillId="7" borderId="12" xfId="14" applyFont="1" applyFill="1" applyBorder="1">
      <alignment horizontal="center" vertical="center"/>
    </xf>
    <xf numFmtId="166" fontId="16" fillId="7" borderId="7" xfId="14" applyFont="1" applyFill="1" applyBorder="1">
      <alignment horizontal="center" vertical="center"/>
    </xf>
    <xf numFmtId="166" fontId="16" fillId="7" borderId="0" xfId="14" applyFont="1" applyFill="1" applyBorder="1">
      <alignment horizontal="center" vertical="center"/>
    </xf>
    <xf numFmtId="166" fontId="16" fillId="7" borderId="17" xfId="14" applyFont="1" applyFill="1" applyBorder="1">
      <alignment horizontal="center" vertical="center"/>
    </xf>
    <xf numFmtId="166" fontId="16" fillId="7" borderId="18" xfId="14" applyFont="1" applyFill="1" applyBorder="1">
      <alignment horizontal="center" vertical="center"/>
    </xf>
    <xf numFmtId="166" fontId="16" fillId="7" borderId="10" xfId="14" applyFont="1" applyFill="1" applyBorder="1">
      <alignment horizontal="center" vertical="center"/>
    </xf>
    <xf numFmtId="0" fontId="0" fillId="0" borderId="0" xfId="0" applyFont="1" applyFill="1" applyBorder="1" applyAlignment="1">
      <alignment horizontal="right" vertical="center" wrapText="1" indent="1"/>
    </xf>
    <xf numFmtId="164" fontId="0" fillId="0" borderId="19" xfId="0" applyNumberFormat="1" applyFont="1" applyFill="1" applyBorder="1" applyAlignment="1">
      <alignment horizontal="center"/>
    </xf>
    <xf numFmtId="9" fontId="12" fillId="0" borderId="19" xfId="1" applyFill="1" applyBorder="1" applyAlignment="1">
      <alignment horizontal="right" vertical="center"/>
    </xf>
    <xf numFmtId="164" fontId="0" fillId="0" borderId="20" xfId="0" applyNumberFormat="1" applyFont="1" applyFill="1" applyBorder="1" applyAlignment="1">
      <alignment horizontal="center"/>
    </xf>
    <xf numFmtId="9" fontId="12" fillId="0" borderId="20" xfId="1" applyFill="1" applyBorder="1" applyAlignment="1">
      <alignment horizontal="right" vertical="center"/>
    </xf>
    <xf numFmtId="9" fontId="0" fillId="0" borderId="21" xfId="0" applyNumberFormat="1" applyFont="1" applyFill="1" applyBorder="1" applyAlignment="1">
      <alignment horizontal="right" vertical="center" shrinkToFit="1"/>
    </xf>
    <xf numFmtId="9" fontId="0" fillId="0" borderId="22" xfId="0" applyNumberFormat="1" applyFont="1" applyFill="1" applyBorder="1" applyAlignment="1">
      <alignment horizontal="right" vertical="center" shrinkToFit="1"/>
    </xf>
    <xf numFmtId="0" fontId="0" fillId="0" borderId="0" xfId="0" applyFill="1" applyBorder="1"/>
    <xf numFmtId="9" fontId="0" fillId="0" borderId="23" xfId="0" applyNumberFormat="1" applyBorder="1" applyAlignment="1">
      <alignment vertical="center" shrinkToFit="1"/>
    </xf>
    <xf numFmtId="166" fontId="16" fillId="7" borderId="24" xfId="14" applyFont="1" applyFill="1" applyBorder="1">
      <alignment horizontal="center" vertical="center"/>
    </xf>
    <xf numFmtId="0" fontId="15" fillId="0" borderId="0" xfId="2" applyFont="1" applyBorder="1" applyAlignment="1">
      <alignment vertical="center"/>
    </xf>
    <xf numFmtId="0" fontId="0" fillId="0" borderId="0" xfId="0" applyAlignment="1">
      <alignment horizontal="right" vertical="center" wrapText="1"/>
    </xf>
    <xf numFmtId="9" fontId="12" fillId="0" borderId="0" xfId="1" applyAlignment="1">
      <alignment horizontal="right" vertical="center"/>
    </xf>
    <xf numFmtId="9" fontId="12" fillId="0" borderId="0" xfId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vertical="center" shrinkToFit="1"/>
    </xf>
    <xf numFmtId="0" fontId="0" fillId="0" borderId="0" xfId="0" applyAlignment="1">
      <alignment vertical="center"/>
    </xf>
    <xf numFmtId="166" fontId="16" fillId="7" borderId="25" xfId="14" applyFont="1" applyFill="1" applyBorder="1">
      <alignment horizontal="center" vertical="center"/>
    </xf>
    <xf numFmtId="164" fontId="0" fillId="0" borderId="26" xfId="0" applyNumberFormat="1" applyFont="1" applyFill="1" applyBorder="1" applyAlignment="1">
      <alignment horizontal="center"/>
    </xf>
    <xf numFmtId="42" fontId="12" fillId="0" borderId="26" xfId="6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vertical="center" shrinkToFit="1"/>
    </xf>
    <xf numFmtId="166" fontId="16" fillId="7" borderId="28" xfId="14" applyFont="1" applyFill="1" applyBorder="1">
      <alignment horizontal="center" vertical="center"/>
    </xf>
    <xf numFmtId="166" fontId="16" fillId="7" borderId="29" xfId="14" applyFont="1" applyFill="1" applyBorder="1">
      <alignment horizontal="center" vertical="center"/>
    </xf>
    <xf numFmtId="166" fontId="16" fillId="7" borderId="30" xfId="14" applyFont="1" applyFill="1" applyBorder="1">
      <alignment horizontal="center" vertical="center"/>
    </xf>
    <xf numFmtId="0" fontId="19" fillId="0" borderId="0" xfId="15" applyFont="1" applyBorder="1" applyAlignment="1">
      <alignment horizontal="center" vertical="center"/>
    </xf>
    <xf numFmtId="0" fontId="19" fillId="0" borderId="0" xfId="15" applyFont="1" applyAlignment="1">
      <alignment horizontal="center" vertical="center"/>
    </xf>
    <xf numFmtId="0" fontId="2" fillId="0" borderId="0" xfId="8" applyFill="1">
      <alignment horizontal="right" vertical="center" indent="1"/>
    </xf>
    <xf numFmtId="42" fontId="10" fillId="2" borderId="31" xfId="9" applyFill="1" applyBorder="1" applyAlignment="1">
      <alignment horizontal="right" vertical="center" indent="1"/>
    </xf>
    <xf numFmtId="9" fontId="10" fillId="2" borderId="31" xfId="10" applyFill="1" applyBorder="1" applyAlignment="1">
      <alignment vertical="center"/>
    </xf>
    <xf numFmtId="0" fontId="2" fillId="2" borderId="31" xfId="8" applyBorder="1">
      <alignment horizontal="right" vertical="center" indent="1"/>
    </xf>
    <xf numFmtId="0" fontId="20" fillId="0" borderId="0" xfId="0" applyFont="1"/>
    <xf numFmtId="0" fontId="21" fillId="0" borderId="0" xfId="15" applyFont="1" applyBorder="1" applyAlignment="1">
      <alignment horizontal="center" vertical="center"/>
    </xf>
    <xf numFmtId="0" fontId="21" fillId="0" borderId="0" xfId="15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23" fillId="0" borderId="5" xfId="2" applyFont="1" applyBorder="1" applyAlignment="1">
      <alignment vertical="center"/>
    </xf>
    <xf numFmtId="0" fontId="24" fillId="0" borderId="5" xfId="12" applyFont="1" applyBorder="1" applyAlignment="1">
      <alignment horizontal="left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9" fontId="12" fillId="0" borderId="36" xfId="1" applyBorder="1" applyAlignment="1">
      <alignment horizontal="right" vertical="center"/>
    </xf>
    <xf numFmtId="9" fontId="12" fillId="0" borderId="37" xfId="1" applyBorder="1" applyAlignment="1">
      <alignment horizontal="right" vertical="center"/>
    </xf>
    <xf numFmtId="0" fontId="17" fillId="0" borderId="41" xfId="0" applyFont="1" applyBorder="1" applyAlignment="1">
      <alignment horizontal="center" vertical="center"/>
    </xf>
    <xf numFmtId="167" fontId="0" fillId="0" borderId="42" xfId="0" applyNumberFormat="1" applyBorder="1" applyAlignment="1">
      <alignment vertical="center"/>
    </xf>
    <xf numFmtId="167" fontId="0" fillId="0" borderId="42" xfId="0" applyNumberFormat="1" applyBorder="1" applyAlignment="1">
      <alignment vertical="center" shrinkToFit="1"/>
    </xf>
    <xf numFmtId="167" fontId="0" fillId="0" borderId="43" xfId="0" applyNumberFormat="1" applyBorder="1" applyAlignment="1">
      <alignment vertical="center" shrinkToFit="1"/>
    </xf>
    <xf numFmtId="0" fontId="18" fillId="8" borderId="0" xfId="8" applyFont="1" applyFill="1">
      <alignment horizontal="right" vertical="center" indent="1"/>
    </xf>
    <xf numFmtId="0" fontId="2" fillId="8" borderId="0" xfId="8" applyFill="1">
      <alignment horizontal="right" vertical="center" indent="1"/>
    </xf>
    <xf numFmtId="42" fontId="10" fillId="8" borderId="0" xfId="9" applyFill="1" applyAlignment="1">
      <alignment horizontal="right" vertical="center" indent="1"/>
    </xf>
    <xf numFmtId="9" fontId="10" fillId="8" borderId="0" xfId="10" applyFill="1" applyAlignment="1">
      <alignment horizontal="right" vertical="center" indent="1"/>
    </xf>
    <xf numFmtId="0" fontId="25" fillId="0" borderId="0" xfId="3" applyFont="1" applyBorder="1">
      <alignment vertical="center"/>
    </xf>
    <xf numFmtId="0" fontId="26" fillId="0" borderId="0" xfId="0" applyFont="1"/>
    <xf numFmtId="0" fontId="27" fillId="0" borderId="0" xfId="13" applyFont="1" applyAlignment="1">
      <alignment horizontal="right" vertical="center"/>
    </xf>
    <xf numFmtId="0" fontId="27" fillId="0" borderId="0" xfId="13" applyFont="1" applyAlignment="1">
      <alignment horizontal="center" vertical="center" wrapText="1"/>
    </xf>
    <xf numFmtId="0" fontId="28" fillId="0" borderId="0" xfId="3" applyFont="1" applyBorder="1">
      <alignment vertical="center"/>
    </xf>
    <xf numFmtId="0" fontId="29" fillId="0" borderId="0" xfId="13" applyFont="1" applyAlignment="1">
      <alignment horizontal="right" vertical="center"/>
    </xf>
    <xf numFmtId="0" fontId="29" fillId="0" borderId="0" xfId="13" applyFont="1" applyAlignment="1">
      <alignment horizontal="center" vertical="center" wrapText="1"/>
    </xf>
    <xf numFmtId="0" fontId="30" fillId="0" borderId="0" xfId="3" applyFont="1" applyBorder="1">
      <alignment vertical="center"/>
    </xf>
    <xf numFmtId="0" fontId="31" fillId="0" borderId="0" xfId="0" applyFont="1"/>
    <xf numFmtId="0" fontId="32" fillId="0" borderId="0" xfId="13" applyFont="1" applyAlignment="1">
      <alignment horizontal="right" vertical="center"/>
    </xf>
    <xf numFmtId="0" fontId="32" fillId="0" borderId="0" xfId="13" applyFont="1" applyAlignment="1">
      <alignment horizontal="center" vertical="center" wrapText="1"/>
    </xf>
    <xf numFmtId="164" fontId="33" fillId="0" borderId="0" xfId="0" applyNumberFormat="1" applyFont="1"/>
    <xf numFmtId="164" fontId="33" fillId="0" borderId="42" xfId="0" applyNumberFormat="1" applyFont="1" applyBorder="1"/>
    <xf numFmtId="164" fontId="33" fillId="0" borderId="36" xfId="0" applyNumberFormat="1" applyFont="1" applyBorder="1"/>
    <xf numFmtId="164" fontId="33" fillId="0" borderId="0" xfId="0" applyNumberFormat="1" applyFont="1" applyBorder="1"/>
    <xf numFmtId="164" fontId="33" fillId="0" borderId="37" xfId="0" applyNumberFormat="1" applyFont="1" applyFill="1" applyBorder="1" applyAlignment="1">
      <alignment wrapText="1"/>
    </xf>
    <xf numFmtId="0" fontId="0" fillId="0" borderId="0" xfId="11" applyFont="1" applyBorder="1" applyAlignment="1">
      <alignment horizontal="right" vertical="center" wrapText="1" indent="1"/>
    </xf>
    <xf numFmtId="9" fontId="12" fillId="0" borderId="0" xfId="0" applyNumberFormat="1" applyFont="1" applyAlignment="1">
      <alignment horizontal="right" vertical="center"/>
    </xf>
    <xf numFmtId="9" fontId="12" fillId="0" borderId="38" xfId="0" applyNumberFormat="1" applyFont="1" applyBorder="1" applyAlignment="1">
      <alignment horizontal="right" vertical="center"/>
    </xf>
    <xf numFmtId="9" fontId="12" fillId="0" borderId="39" xfId="0" applyNumberFormat="1" applyFont="1" applyBorder="1" applyAlignment="1">
      <alignment horizontal="right" vertical="center"/>
    </xf>
    <xf numFmtId="9" fontId="12" fillId="0" borderId="40" xfId="0" applyNumberFormat="1" applyFont="1" applyBorder="1" applyAlignment="1">
      <alignment horizontal="right" vertical="center"/>
    </xf>
    <xf numFmtId="44" fontId="0" fillId="0" borderId="0" xfId="19" applyFont="1" applyBorder="1" applyAlignment="1"/>
    <xf numFmtId="167" fontId="0" fillId="0" borderId="0" xfId="19" applyNumberFormat="1" applyFont="1" applyBorder="1" applyAlignment="1">
      <alignment vertical="center"/>
    </xf>
    <xf numFmtId="0" fontId="0" fillId="7" borderId="44" xfId="0" applyFill="1" applyBorder="1"/>
    <xf numFmtId="42" fontId="12" fillId="7" borderId="44" xfId="6" applyNumberFormat="1" applyFont="1" applyFill="1" applyBorder="1" applyAlignment="1">
      <alignment vertical="center"/>
    </xf>
    <xf numFmtId="167" fontId="0" fillId="7" borderId="44" xfId="0" applyNumberFormat="1" applyFill="1" applyBorder="1" applyAlignment="1">
      <alignment vertical="center"/>
    </xf>
    <xf numFmtId="167" fontId="0" fillId="7" borderId="44" xfId="0" applyNumberFormat="1" applyFill="1" applyBorder="1" applyAlignment="1">
      <alignment vertical="center" shrinkToFit="1"/>
    </xf>
    <xf numFmtId="44" fontId="0" fillId="7" borderId="44" xfId="19" applyFont="1" applyFill="1" applyBorder="1"/>
    <xf numFmtId="167" fontId="0" fillId="7" borderId="45" xfId="0" applyNumberFormat="1" applyFill="1" applyBorder="1"/>
    <xf numFmtId="0" fontId="0" fillId="7" borderId="46" xfId="0" applyFill="1" applyBorder="1"/>
    <xf numFmtId="167" fontId="0" fillId="7" borderId="46" xfId="0" applyNumberFormat="1" applyFill="1" applyBorder="1" applyAlignment="1">
      <alignment vertical="center"/>
    </xf>
    <xf numFmtId="167" fontId="0" fillId="7" borderId="46" xfId="0" applyNumberFormat="1" applyFill="1" applyBorder="1" applyAlignment="1">
      <alignment vertical="center" shrinkToFit="1"/>
    </xf>
    <xf numFmtId="0" fontId="0" fillId="0" borderId="44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45" xfId="0" applyBorder="1"/>
    <xf numFmtId="0" fontId="0" fillId="0" borderId="51" xfId="0" applyBorder="1"/>
    <xf numFmtId="0" fontId="0" fillId="0" borderId="48" xfId="0" applyBorder="1" applyAlignment="1">
      <alignment horizontal="center"/>
    </xf>
  </cellXfs>
  <cellStyles count="20">
    <cellStyle name="Comma" xfId="4" builtinId="3" customBuiltin="1"/>
    <cellStyle name="Comma [0]" xfId="5" builtinId="6" customBuiltin="1"/>
    <cellStyle name="Cost of Sales fill" xfId="17" xr:uid="{00000000-0005-0000-0000-000002000000}"/>
    <cellStyle name="Currency" xfId="19" builtinId="4"/>
    <cellStyle name="Currency [0]" xfId="6" builtinId="7" customBuiltin="1"/>
    <cellStyle name="Expenses fill" xfId="18" xr:uid="{00000000-0005-0000-0000-000004000000}"/>
    <cellStyle name="Heading 1" xfId="3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Normal" xfId="0" builtinId="0" customBuiltin="1"/>
    <cellStyle name="Note" xfId="7" builtinId="10" customBuiltin="1"/>
    <cellStyle name="Percent" xfId="1" builtinId="5" customBuiltin="1"/>
    <cellStyle name="Profit" xfId="8" xr:uid="{00000000-0005-0000-0000-00000C000000}"/>
    <cellStyle name="Profit Amount" xfId="9" xr:uid="{00000000-0005-0000-0000-00000D000000}"/>
    <cellStyle name="Profit Percent" xfId="10" xr:uid="{00000000-0005-0000-0000-00000E000000}"/>
    <cellStyle name="Revenue fill" xfId="16" xr:uid="{00000000-0005-0000-0000-00000F000000}"/>
    <cellStyle name="Table Details" xfId="11" xr:uid="{00000000-0005-0000-0000-000010000000}"/>
    <cellStyle name="Table Heading 1" xfId="15" xr:uid="{00000000-0005-0000-0000-000011000000}"/>
    <cellStyle name="Title" xfId="2" builtinId="15" customBuiltin="1"/>
  </cellStyles>
  <dxfs count="196">
    <dxf>
      <numFmt numFmtId="13" formatCode="0%"/>
      <alignment horizontal="general" vertical="center" textRotation="0" wrapText="0" indent="0" justifyLastLine="0" shrinkToFit="1" readingOrder="0"/>
      <border diagonalUp="0" diagonalDown="0" outline="0">
        <left/>
        <right style="thin">
          <color theme="5" tint="-0.249977111117893"/>
        </right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 style="thin">
          <color theme="5" tint="-0.249977111117893"/>
        </left>
        <right/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 style="thin">
          <color theme="5" tint="-0.249977111117893"/>
        </left>
        <right style="thin">
          <color theme="5" tint="-0.249977111117893"/>
        </right>
        <top/>
        <bottom style="thin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9" tint="-0.499984740745262"/>
        </right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/>
        <top/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family val="2"/>
        <scheme val="minor"/>
      </font>
      <numFmt numFmtId="13" formatCode="0%"/>
      <alignment horizontal="right" vertical="center" textRotation="0" wrapText="0" indent="0" justifyLastLine="0" shrinkToFit="0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 style="thin">
          <color theme="9" tint="-0.499984740745262"/>
        </bottom>
      </border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numFmt numFmtId="167" formatCode="_-[$$-409]* #,##0_ ;_-[$$-409]* \-#,##0\ ;_-[$$-409]* &quot;-&quot;??_ ;_-@_ 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  <border diagonalUp="0" diagonalDown="0">
        <left/>
        <right style="thin">
          <color theme="6" tint="-0.249977111117893"/>
        </right>
        <top/>
        <bottom/>
        <vertical/>
        <horizontal/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  <border diagonalUp="0" diagonalDown="0">
        <left style="thin">
          <color theme="9" tint="-0.499984740745262"/>
        </left>
        <right/>
        <top/>
        <bottom/>
        <vertical/>
        <horizontal/>
      </border>
    </dxf>
    <dxf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  <vertical/>
        <horizontal/>
      </border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numFmt numFmtId="167" formatCode="_-[$$-409]* #,##0_ ;_-[$$-409]* \-#,##0\ ;_-[$$-409]* &quot;-&quot;??_ ;_-@_ "/>
      <alignment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3" formatCode="0%"/>
      <alignment horizontal="general" vertical="center" textRotation="0" wrapText="0" indent="0" justifyLastLine="0" shrinkToFit="1" readingOrder="0"/>
      <border diagonalUp="0" diagonalDown="0" outline="0">
        <left/>
        <right style="thin">
          <color theme="4" tint="-0.249977111117893"/>
        </right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 style="thin">
          <color theme="4" tint="-0.249977111117893"/>
        </left>
        <right/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outline="0">
        <left style="thin">
          <color theme="4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 style="thin">
          <color theme="4" tint="-0.249977111117893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numFmt numFmtId="167" formatCode="_-[$$-409]* #,##0_ ;_-[$$-409]* \-#,##0\ ;_-[$$-409]* &quot;-&quot;??_ ;_-@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numFmt numFmtId="167" formatCode="_-[$$-409]* #,##0_ ;_-[$$-409]* \-#,##0\ ;_-[$$-409]* &quot;-&quot;??_ ;_-@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border outline="0">
        <right style="thin">
          <color theme="5" tint="-0.249977111117893"/>
        </right>
      </border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2"/>
        <scheme val="minor"/>
      </font>
      <numFmt numFmtId="164" formatCode=";;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top/>
        <bottom/>
        <horizontal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theme="5" tint="-0.249977111117893"/>
        </left>
        <top/>
        <bottom/>
        <horizontal/>
      </border>
    </dxf>
    <dxf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theme="5" tint="-0.249977111117893"/>
        </left>
        <right style="thin">
          <color theme="5" tint="-0.249977111117893"/>
        </right>
        <top/>
        <bottom/>
        <vertical/>
        <horizontal/>
      </border>
    </dxf>
    <dxf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right" vertical="center" textRotation="0" wrapText="1" indent="1" justifyLastLine="0" shrinkToFit="0" readingOrder="0"/>
    </dxf>
    <dxf>
      <alignment vertical="center" textRotation="0" indent="0" justifyLastLine="0" shrinkToFit="0" readingOrder="0"/>
    </dxf>
    <dxf>
      <fill>
        <patternFill>
          <bgColor theme="4" tint="0.79998168889431442"/>
        </patternFill>
      </fill>
      <border>
        <left style="dotted">
          <color theme="4" tint="0.39994506668294322"/>
        </left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 style="dotted">
          <color theme="4" tint="0.39994506668294322"/>
        </left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font>
        <b/>
        <i val="0"/>
        <color theme="1"/>
      </font>
      <fill>
        <gradientFill degree="90">
          <stop position="0">
            <color theme="4" tint="0.40000610370189521"/>
          </stop>
          <stop position="1">
            <color theme="4"/>
          </stop>
        </gradientFill>
      </fill>
      <border>
        <left style="dotted">
          <color theme="0"/>
        </left>
        <right style="dotted">
          <color theme="0"/>
        </right>
        <top style="dotted">
          <color theme="0"/>
        </top>
        <vertical style="dotted">
          <color theme="0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 style="dotted">
          <color theme="4" tint="0.39994506668294322"/>
        </left>
        <right style="dotted">
          <color theme="4" tint="0.39994506668294322"/>
        </right>
        <top/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ill>
        <patternFill>
          <bgColor theme="5" tint="0.79998168889431442"/>
        </patternFill>
      </fill>
      <border>
        <left style="dotted">
          <color theme="5" tint="0.39991454817346722"/>
        </left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 style="dotted">
          <color theme="5" tint="0.39988402966399123"/>
        </left>
        <right style="dotted">
          <color theme="5" tint="0.39991454817346722"/>
        </right>
        <top style="thin">
          <color theme="5" tint="0.39991454817346722"/>
        </top>
        <bottom style="thin">
          <color theme="5" tint="0.39994506668294322"/>
        </bottom>
        <vertical style="dotted">
          <color theme="5" tint="0.39991454817346722"/>
        </vertical>
        <horizontal style="thin">
          <color theme="5" tint="0.39991454817346722"/>
        </horizontal>
      </border>
    </dxf>
    <dxf>
      <font>
        <b/>
        <i val="0"/>
        <color theme="1"/>
      </font>
      <fill>
        <gradientFill degree="90">
          <stop position="0">
            <color theme="5" tint="0.40000610370189521"/>
          </stop>
          <stop position="1">
            <color theme="5" tint="0.59999389629810485"/>
          </stop>
        </gradientFill>
      </fill>
      <border>
        <left style="dotted">
          <color theme="0"/>
        </left>
        <right style="dotted">
          <color theme="0"/>
        </right>
        <top style="dotted">
          <color theme="0"/>
        </top>
        <vertical style="dotted">
          <color theme="0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 style="dotted">
          <color theme="5" tint="0.39991454817346722"/>
        </left>
        <right style="dotted">
          <color theme="5" tint="0.39991454817346722"/>
        </right>
        <top/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border>
        <vertical/>
        <horizontal/>
      </border>
    </dxf>
    <dxf>
      <fill>
        <patternFill>
          <bgColor theme="9" tint="0.59996337778862885"/>
        </patternFill>
      </fill>
      <border>
        <left style="dotted">
          <color theme="9" tint="0.39994506668294322"/>
        </left>
        <right style="dotted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dotted">
          <color theme="9" tint="0.39994506668294322"/>
        </vertical>
        <horizontal style="thin">
          <color theme="9" tint="0.39994506668294322"/>
        </horizontal>
      </border>
    </dxf>
    <dxf>
      <border>
        <left style="dotted">
          <color theme="9" tint="0.39994506668294322"/>
        </left>
        <right style="dotted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dotted">
          <color theme="9" tint="0.39994506668294322"/>
        </vertical>
        <horizontal style="thin">
          <color theme="9" tint="0.39994506668294322"/>
        </horizontal>
      </border>
    </dxf>
    <dxf>
      <font>
        <b/>
        <i val="0"/>
        <color theme="1"/>
      </font>
      <fill>
        <gradientFill degree="90">
          <stop position="0">
            <color theme="9" tint="0.40000610370189521"/>
          </stop>
          <stop position="1">
            <color theme="9" tint="0.59999389629810485"/>
          </stop>
        </gradientFill>
      </fill>
      <border>
        <left style="dotted">
          <color theme="0"/>
        </left>
        <right style="dotted">
          <color theme="0"/>
        </right>
        <top style="dotted">
          <color theme="0"/>
        </top>
        <vertical style="dotted">
          <color theme="0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 style="dotted">
          <color theme="9" tint="0.39994506668294322"/>
        </left>
        <right style="dotted">
          <color theme="9" tint="0.39994506668294322"/>
        </right>
        <top/>
        <bottom style="thin">
          <color theme="9" tint="0.39994506668294322"/>
        </bottom>
        <vertical style="dotted">
          <color theme="9" tint="0.39994506668294322"/>
        </vertical>
        <horizontal/>
      </border>
    </dxf>
    <dxf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4" defaultTableStyle="Profit &amp; Loss Revenue" defaultPivotStyle="PivotStyleLight16">
    <tableStyle name="Profit &amp; Loss Expenses" pivot="0" count="5" xr9:uid="{00000000-0011-0000-FFFF-FFFF00000000}">
      <tableStyleElement type="wholeTable" dxfId="195"/>
      <tableStyleElement type="headerRow" dxfId="194"/>
      <tableStyleElement type="totalRow" dxfId="193"/>
      <tableStyleElement type="firstRowStripe" dxfId="192"/>
      <tableStyleElement type="secondRowStripe" dxfId="191"/>
    </tableStyle>
    <tableStyle name="Profit &amp; Loss Expenses 2" pivot="0" count="5" xr9:uid="{00000000-0011-0000-FFFF-FFFF01000000}">
      <tableStyleElement type="wholeTable" dxfId="190"/>
      <tableStyleElement type="headerRow" dxfId="189"/>
      <tableStyleElement type="totalRow" dxfId="188"/>
      <tableStyleElement type="firstRowStripe" dxfId="187"/>
      <tableStyleElement type="secondRowStripe" dxfId="186"/>
    </tableStyle>
    <tableStyle name="Profit &amp; Loss Revenue" pivot="0" count="5" xr9:uid="{00000000-0011-0000-FFFF-FFFF02000000}">
      <tableStyleElement type="wholeTable" dxfId="185"/>
      <tableStyleElement type="headerRow" dxfId="184"/>
      <tableStyleElement type="totalRow" dxfId="183"/>
      <tableStyleElement type="firstRowStripe" dxfId="182"/>
      <tableStyleElement type="secondRowStripe" dxfId="181"/>
    </tableStyle>
    <tableStyle name="Profit &amp; Loss Sales" pivot="0" count="4" xr9:uid="{00000000-0011-0000-FFFF-FFFF03000000}">
      <tableStyleElement type="headerRow" dxfId="180"/>
      <tableStyleElement type="totalRow" dxfId="179"/>
      <tableStyleElement type="firstRowStripe" dxfId="178"/>
      <tableStyleElement type="secondRowStripe" dxfId="1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venue" displayName="Revenue" ref="B6:AD14" totalsRowCount="1" dataDxfId="176">
  <autoFilter ref="B6:AD1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0000000-0010-0000-0000-000001000000}" name="REVENUES (SALES)" totalsRowLabel="TOTAL SALES" dataDxfId="175" totalsRowDxfId="28" dataCellStyle="Table Details"/>
    <tableColumn id="29" xr3:uid="{00000000-0010-0000-0000-00001D000000}" name="TREND" dataDxfId="174" totalsRowDxfId="27" dataCellStyle="Revenue fill"/>
    <tableColumn id="2" xr3:uid="{00000000-0010-0000-0000-000002000000}" name="Jan" totalsRowFunction="sum" dataDxfId="173" totalsRowDxfId="26" dataCellStyle="Currency [0]"/>
    <tableColumn id="3" xr3:uid="{00000000-0010-0000-0000-000003000000}" name="Feb" totalsRowFunction="sum" dataDxfId="172" totalsRowDxfId="25" dataCellStyle="Currency [0]"/>
    <tableColumn id="4" xr3:uid="{00000000-0010-0000-0000-000004000000}" name="Mar" totalsRowFunction="sum" dataDxfId="171" totalsRowDxfId="24" dataCellStyle="Currency [0]"/>
    <tableColumn id="5" xr3:uid="{00000000-0010-0000-0000-000005000000}" name="Apr" totalsRowFunction="sum" dataDxfId="170" totalsRowDxfId="23" dataCellStyle="Currency [0]"/>
    <tableColumn id="6" xr3:uid="{00000000-0010-0000-0000-000006000000}" name="May" totalsRowFunction="sum" dataDxfId="169" totalsRowDxfId="22" dataCellStyle="Currency [0]"/>
    <tableColumn id="7" xr3:uid="{00000000-0010-0000-0000-000007000000}" name="Jun" totalsRowFunction="sum" dataDxfId="168" totalsRowDxfId="21" dataCellStyle="Currency [0]"/>
    <tableColumn id="8" xr3:uid="{00000000-0010-0000-0000-000008000000}" name="Jul" totalsRowFunction="sum" dataDxfId="167" totalsRowDxfId="20" dataCellStyle="Currency [0]"/>
    <tableColumn id="9" xr3:uid="{00000000-0010-0000-0000-000009000000}" name="Aug" totalsRowFunction="sum" dataDxfId="166" totalsRowDxfId="19" dataCellStyle="Currency [0]"/>
    <tableColumn id="10" xr3:uid="{00000000-0010-0000-0000-00000A000000}" name="Sep" totalsRowFunction="sum" dataDxfId="165" totalsRowDxfId="18" dataCellStyle="Currency [0]"/>
    <tableColumn id="11" xr3:uid="{00000000-0010-0000-0000-00000B000000}" name="Oct" totalsRowFunction="sum" dataDxfId="164" totalsRowDxfId="17" dataCellStyle="Currency [0]"/>
    <tableColumn id="12" xr3:uid="{00000000-0010-0000-0000-00000C000000}" name="Nov" totalsRowFunction="sum" dataDxfId="163" totalsRowDxfId="16" dataCellStyle="Currency [0]"/>
    <tableColumn id="13" xr3:uid="{00000000-0010-0000-0000-00000D000000}" name="Dec" totalsRowFunction="sum" dataDxfId="162" totalsRowDxfId="15" dataCellStyle="Currency [0]"/>
    <tableColumn id="14" xr3:uid="{00000000-0010-0000-0000-00000E000000}" name="Yearly" totalsRowFunction="sum" dataDxfId="161" totalsRowDxfId="14" dataCellStyle="Currency [0]">
      <calculatedColumnFormula>SUM(Revenue[[#This Row],[Jan]:[Dec]])</calculatedColumnFormula>
    </tableColumn>
    <tableColumn id="15" xr3:uid="{00000000-0010-0000-0000-00000F000000}" name="Index %" totalsRowFunction="sum" dataDxfId="160" totalsRowDxfId="13" dataCellStyle="Percent">
      <calculatedColumnFormula>+Revenue[[#This Row],[Yearly]]/Revenue[[#Totals],[Yearly]]</calculatedColumnFormula>
    </tableColumn>
    <tableColumn id="16" xr3:uid="{00000000-0010-0000-0000-000010000000}" name="Jan %" totalsRowFunction="sum" dataDxfId="159" totalsRowDxfId="12" dataCellStyle="Percent">
      <calculatedColumnFormula>IFERROR(Revenue[[#This Row],[Jan]]/Revenue[[#Totals],[Jan]],"-")</calculatedColumnFormula>
    </tableColumn>
    <tableColumn id="17" xr3:uid="{00000000-0010-0000-0000-000011000000}" name="Feb %" totalsRowFunction="sum" dataDxfId="158" totalsRowDxfId="11" dataCellStyle="Percent">
      <calculatedColumnFormula>IFERROR(Revenue[[#This Row],[Feb]]/Revenue[[#Totals],[Feb]],"-")</calculatedColumnFormula>
    </tableColumn>
    <tableColumn id="18" xr3:uid="{00000000-0010-0000-0000-000012000000}" name="Mar %" totalsRowFunction="sum" dataDxfId="157" totalsRowDxfId="10" dataCellStyle="Percent">
      <calculatedColumnFormula>IFERROR(Revenue[[#This Row],[Mar]]/Revenue[[#Totals],[Mar]],"-")</calculatedColumnFormula>
    </tableColumn>
    <tableColumn id="19" xr3:uid="{00000000-0010-0000-0000-000013000000}" name="Apr %" totalsRowFunction="sum" dataDxfId="156" totalsRowDxfId="9" dataCellStyle="Percent">
      <calculatedColumnFormula>IFERROR(Revenue[[#This Row],[Apr]]/Revenue[[#Totals],[Apr]],"-")</calculatedColumnFormula>
    </tableColumn>
    <tableColumn id="20" xr3:uid="{00000000-0010-0000-0000-000014000000}" name="May %" totalsRowFunction="sum" dataDxfId="155" totalsRowDxfId="8" dataCellStyle="Percent">
      <calculatedColumnFormula>IFERROR(Revenue[[#This Row],[May]]/Revenue[[#Totals],[May]],"-")</calculatedColumnFormula>
    </tableColumn>
    <tableColumn id="21" xr3:uid="{00000000-0010-0000-0000-000015000000}" name="Jun %" totalsRowFunction="sum" dataDxfId="154" totalsRowDxfId="7" dataCellStyle="Percent">
      <calculatedColumnFormula>IFERROR(Revenue[[#This Row],[Jun]]/Revenue[[#Totals],[Jun]],"-")</calculatedColumnFormula>
    </tableColumn>
    <tableColumn id="22" xr3:uid="{00000000-0010-0000-0000-000016000000}" name="Jul %" totalsRowFunction="sum" dataDxfId="153" totalsRowDxfId="6" dataCellStyle="Percent">
      <calculatedColumnFormula>IFERROR(Revenue[[#This Row],[Jul]]/Revenue[[#Totals],[Jul]],"-")</calculatedColumnFormula>
    </tableColumn>
    <tableColumn id="23" xr3:uid="{00000000-0010-0000-0000-000017000000}" name="Aug %" totalsRowFunction="sum" dataDxfId="152" totalsRowDxfId="5" dataCellStyle="Percent">
      <calculatedColumnFormula>IFERROR(Revenue[[#This Row],[Aug]]/Revenue[[#Totals],[Aug]],"-")</calculatedColumnFormula>
    </tableColumn>
    <tableColumn id="24" xr3:uid="{00000000-0010-0000-0000-000018000000}" name="Sep %" totalsRowFunction="sum" dataDxfId="151" totalsRowDxfId="4" dataCellStyle="Percent">
      <calculatedColumnFormula>IFERROR(Revenue[[#This Row],[Sep]]/Revenue[[#Totals],[Sep]],"-")</calculatedColumnFormula>
    </tableColumn>
    <tableColumn id="25" xr3:uid="{00000000-0010-0000-0000-000019000000}" name="Oct %" totalsRowFunction="sum" dataDxfId="150" totalsRowDxfId="3" dataCellStyle="Percent">
      <calculatedColumnFormula>IFERROR(Revenue[[#This Row],[Oct]]/Revenue[[#Totals],[Oct]],"-")</calculatedColumnFormula>
    </tableColumn>
    <tableColumn id="26" xr3:uid="{00000000-0010-0000-0000-00001A000000}" name="Nov %" totalsRowFunction="sum" dataDxfId="149" totalsRowDxfId="2" dataCellStyle="Percent">
      <calculatedColumnFormula>IFERROR(Revenue[[#This Row],[Nov]]/Revenue[[#Totals],[Nov]],"-")</calculatedColumnFormula>
    </tableColumn>
    <tableColumn id="27" xr3:uid="{00000000-0010-0000-0000-00001B000000}" name="Dec %" totalsRowFunction="sum" dataDxfId="148" totalsRowDxfId="1" dataCellStyle="Percent">
      <calculatedColumnFormula>IFERROR(Revenue[[#This Row],[Dec]]/Revenue[[#Totals],[Dec]],"-")</calculatedColumnFormula>
    </tableColumn>
    <tableColumn id="28" xr3:uid="{00000000-0010-0000-0000-00001C000000}" name="Year %" totalsRowFunction="sum" dataDxfId="147" totalsRowDxfId="0" dataCellStyle="Normal">
      <calculatedColumnFormula>IFERROR(Revenue[[#This Row],[Yearly]]/Revenue[[#Totals],[Yearly]],"-")</calculatedColumnFormula>
    </tableColumn>
  </tableColumns>
  <tableStyleInfo name="Profit &amp; Loss Revenue" showFirstColumn="0" showLastColumn="0" showRowStripes="1" showColumnStripes="0"/>
  <extLst>
    <ext xmlns:x14="http://schemas.microsoft.com/office/spreadsheetml/2009/9/main" uri="{504A1905-F514-4f6f-8877-14C23A59335A}">
      <x14:table altTextSummary="Summary of monthly sales, annual total, and monthly percentage for each revenue item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stofSales" displayName="CostofSales" ref="B6:AD14" totalsRowCount="1" headerRowDxfId="146" dataDxfId="145" totalsRowDxfId="143" tableBorderDxfId="144" dataCellStyle="Percent">
  <tableColumns count="29">
    <tableColumn id="1" xr3:uid="{00000000-0010-0000-0100-000001000000}" name="COST OF SALES" totalsRowLabel="TOTAL COST OF SALES" dataDxfId="142" totalsRowDxfId="141" dataCellStyle="Table Details"/>
    <tableColumn id="2" xr3:uid="{00000000-0010-0000-0100-000002000000}" name="TREND" dataDxfId="140" totalsRowDxfId="139" dataCellStyle="Revenue fill"/>
    <tableColumn id="3" xr3:uid="{00000000-0010-0000-0100-000003000000}" name="Column1" totalsRowFunction="sum" dataDxfId="138" totalsRowDxfId="137" dataCellStyle="Currency [0]"/>
    <tableColumn id="4" xr3:uid="{00000000-0010-0000-0100-000004000000}" name="Feb" totalsRowFunction="sum" dataDxfId="136" totalsRowDxfId="135" dataCellStyle="Currency [0]"/>
    <tableColumn id="5" xr3:uid="{00000000-0010-0000-0100-000005000000}" name="Mar" totalsRowFunction="sum" dataDxfId="134" totalsRowDxfId="133" dataCellStyle="Currency [0]"/>
    <tableColumn id="6" xr3:uid="{00000000-0010-0000-0100-000006000000}" name="Apr" totalsRowFunction="sum" dataDxfId="132" totalsRowDxfId="131" dataCellStyle="Currency [0]">
      <calculatedColumnFormula>43000+36250+7000+38611.57+2601.6</calculatedColumnFormula>
    </tableColumn>
    <tableColumn id="7" xr3:uid="{00000000-0010-0000-0100-000007000000}" name="May" totalsRowFunction="sum" dataDxfId="130" totalsRowDxfId="129" dataCellStyle="Currency [0]">
      <calculatedColumnFormula>7000+36873+5000</calculatedColumnFormula>
    </tableColumn>
    <tableColumn id="8" xr3:uid="{00000000-0010-0000-0100-000008000000}" name="Jun" totalsRowFunction="sum" dataDxfId="128" totalsRowDxfId="127" dataCellStyle="Currency [0]">
      <calculatedColumnFormula>2601.6+2601.6+6750+36872.51+2601</calculatedColumnFormula>
    </tableColumn>
    <tableColumn id="9" xr3:uid="{00000000-0010-0000-0100-000009000000}" name="Jul" totalsRowFunction="sum" dataDxfId="126" totalsRowDxfId="125" dataCellStyle="Currency [0]">
      <calculatedColumnFormula>43000+36250+7000+38611.57+2601.6</calculatedColumnFormula>
    </tableColumn>
    <tableColumn id="10" xr3:uid="{00000000-0010-0000-0100-00000A000000}" name="Aug" totalsRowFunction="sum" dataDxfId="124" totalsRowDxfId="123" dataCellStyle="Currency [0]">
      <calculatedColumnFormula>7000+36873+5000</calculatedColumnFormula>
    </tableColumn>
    <tableColumn id="11" xr3:uid="{00000000-0010-0000-0100-00000B000000}" name="Sep" totalsRowFunction="sum" dataDxfId="122" totalsRowDxfId="121" dataCellStyle="Currency [0]">
      <calculatedColumnFormula>2601.6+2601.6+6750+36872.51+2601</calculatedColumnFormula>
    </tableColumn>
    <tableColumn id="12" xr3:uid="{00000000-0010-0000-0100-00000C000000}" name="Oct" totalsRowFunction="sum" dataDxfId="120" totalsRowDxfId="119" dataCellStyle="Currency [0]"/>
    <tableColumn id="13" xr3:uid="{00000000-0010-0000-0100-00000D000000}" name="Nov" totalsRowFunction="sum" dataDxfId="118" totalsRowDxfId="117" dataCellStyle="Currency [0]"/>
    <tableColumn id="14" xr3:uid="{00000000-0010-0000-0100-00000E000000}" name="Dec" totalsRowFunction="sum" dataDxfId="116" totalsRowDxfId="115" dataCellStyle="Currency [0]"/>
    <tableColumn id="15" xr3:uid="{00000000-0010-0000-0100-00000F000000}" name="Yearly" totalsRowFunction="sum" dataDxfId="114" totalsRowDxfId="113" dataCellStyle="Currency [0]">
      <calculatedColumnFormula>SUM(CostofSales[[#This Row],[Column1]:[Dec]])</calculatedColumnFormula>
    </tableColumn>
    <tableColumn id="16" xr3:uid="{00000000-0010-0000-0100-000010000000}" name="Index %" totalsRowFunction="sum" dataDxfId="112" totalsRowDxfId="111" dataCellStyle="Percent"/>
    <tableColumn id="17" xr3:uid="{00000000-0010-0000-0100-000011000000}" name="Jan %" totalsRowFunction="sum" dataDxfId="110" totalsRowDxfId="109" dataCellStyle="Percent">
      <calculatedColumnFormula>IFERROR(CostofSales[[#This Row],[Column1]]/CostofSales[[#Totals],[Column1]],"-")</calculatedColumnFormula>
    </tableColumn>
    <tableColumn id="18" xr3:uid="{00000000-0010-0000-0100-000012000000}" name="Feb %" totalsRowFunction="sum" dataDxfId="108" totalsRowDxfId="107" dataCellStyle="Percent">
      <calculatedColumnFormula>IFERROR(CostofSales[[#This Row],[Feb]]/CostofSales[[#Totals],[Feb]],"-")</calculatedColumnFormula>
    </tableColumn>
    <tableColumn id="19" xr3:uid="{00000000-0010-0000-0100-000013000000}" name="Mar %" totalsRowFunction="sum" dataDxfId="106" totalsRowDxfId="105" dataCellStyle="Percent">
      <calculatedColumnFormula>IFERROR(CostofSales[[#This Row],[Mar]]/CostofSales[[#Totals],[Mar]],"-")</calculatedColumnFormula>
    </tableColumn>
    <tableColumn id="20" xr3:uid="{00000000-0010-0000-0100-000014000000}" name="Apr %" totalsRowFunction="sum" dataDxfId="104" totalsRowDxfId="103" dataCellStyle="Percent">
      <calculatedColumnFormula>IFERROR(CostofSales[[#This Row],[Apr]]/CostofSales[[#Totals],[Apr]],"-")</calculatedColumnFormula>
    </tableColumn>
    <tableColumn id="21" xr3:uid="{00000000-0010-0000-0100-000015000000}" name="May %" totalsRowFunction="sum" dataDxfId="102" totalsRowDxfId="101" dataCellStyle="Percent">
      <calculatedColumnFormula>IFERROR(CostofSales[[#This Row],[May]]/CostofSales[[#Totals],[May]],"-")</calculatedColumnFormula>
    </tableColumn>
    <tableColumn id="22" xr3:uid="{00000000-0010-0000-0100-000016000000}" name="Jun %" totalsRowFunction="sum" dataDxfId="100" totalsRowDxfId="99" dataCellStyle="Percent">
      <calculatedColumnFormula>IFERROR(CostofSales[[#This Row],[Jun]]/CostofSales[[#Totals],[Jun]],"-")</calculatedColumnFormula>
    </tableColumn>
    <tableColumn id="23" xr3:uid="{00000000-0010-0000-0100-000017000000}" name="Jul %" totalsRowFunction="sum" dataDxfId="98" totalsRowDxfId="97" dataCellStyle="Percent">
      <calculatedColumnFormula>IFERROR(CostofSales[[#This Row],[Jul]]/CostofSales[[#Totals],[Jul]],"-")</calculatedColumnFormula>
    </tableColumn>
    <tableColumn id="24" xr3:uid="{00000000-0010-0000-0100-000018000000}" name="Aug %" totalsRowFunction="sum" dataDxfId="96" totalsRowDxfId="95" dataCellStyle="Percent">
      <calculatedColumnFormula>IFERROR(CostofSales[[#This Row],[Aug]]/CostofSales[[#Totals],[Aug]],"-")</calculatedColumnFormula>
    </tableColumn>
    <tableColumn id="25" xr3:uid="{00000000-0010-0000-0100-000019000000}" name="Sep %" totalsRowFunction="sum" dataDxfId="94" totalsRowDxfId="93" dataCellStyle="Percent">
      <calculatedColumnFormula>IFERROR(CostofSales[[#This Row],[Sep]]/CostofSales[[#Totals],[Sep]],"-")</calculatedColumnFormula>
    </tableColumn>
    <tableColumn id="26" xr3:uid="{00000000-0010-0000-0100-00001A000000}" name="Oct %" totalsRowFunction="sum" dataDxfId="92" totalsRowDxfId="91" dataCellStyle="Percent">
      <calculatedColumnFormula>IFERROR(CostofSales[[#This Row],[Oct]]/CostofSales[[#Totals],[Oct]],"-")</calculatedColumnFormula>
    </tableColumn>
    <tableColumn id="27" xr3:uid="{00000000-0010-0000-0100-00001B000000}" name="Nov %" totalsRowFunction="sum" dataDxfId="90" totalsRowDxfId="89" dataCellStyle="Percent">
      <calculatedColumnFormula>IFERROR(CostofSales[[#This Row],[Nov]]/CostofSales[[#Totals],[Nov]],"-")</calculatedColumnFormula>
    </tableColumn>
    <tableColumn id="28" xr3:uid="{00000000-0010-0000-0100-00001C000000}" name="Dec %" totalsRowFunction="sum" dataDxfId="88" totalsRowDxfId="87" dataCellStyle="Percent">
      <calculatedColumnFormula>IFERROR(CostofSales[[#This Row],[Dec]]/CostofSales[[#Totals],[Dec]],"-")</calculatedColumnFormula>
    </tableColumn>
    <tableColumn id="29" xr3:uid="{00000000-0010-0000-0100-00001D000000}" name="Year %" totalsRowFunction="sum" dataDxfId="86" totalsRowDxfId="85" dataCellStyle="Percent">
      <calculatedColumnFormula>IFERROR(CostofSales[[#This Row],[Yearly]]/CostofSales[[#Totals],[Yearly]],"-")</calculatedColumnFormula>
    </tableColumn>
  </tableColumns>
  <tableStyleInfo name="Profit &amp; Loss Sales" showFirstColumn="0" showLastColumn="0" showRowStripes="1" showColumnStripes="0"/>
  <extLst>
    <ext xmlns:x14="http://schemas.microsoft.com/office/spreadsheetml/2009/9/main" uri="{504A1905-F514-4f6f-8877-14C23A59335A}">
      <x14:table altTextSummary="Summary of cost of sales, annual total, and monthly percentage for each cost item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blExpenses" displayName="tblExpenses" ref="B6:AD26" totalsRowCount="1">
  <tableColumns count="29">
    <tableColumn id="1" xr3:uid="{00000000-0010-0000-0200-000001000000}" name="EXPENSES" totalsRowLabel="TOTAL EXPENSES" dataDxfId="84" totalsRowDxfId="56"/>
    <tableColumn id="2" xr3:uid="{00000000-0010-0000-0200-000002000000}" name="TREND" totalsRowLabel=" "/>
    <tableColumn id="3" xr3:uid="{00000000-0010-0000-0200-000003000000}" name="Column1" totalsRowFunction="sum" dataDxfId="83" totalsRowDxfId="55"/>
    <tableColumn id="4" xr3:uid="{00000000-0010-0000-0200-000004000000}" name="Feb" totalsRowFunction="sum" dataDxfId="82" totalsRowDxfId="54"/>
    <tableColumn id="5" xr3:uid="{00000000-0010-0000-0200-000005000000}" name="Mar" totalsRowFunction="sum" dataDxfId="81" totalsRowDxfId="53"/>
    <tableColumn id="6" xr3:uid="{00000000-0010-0000-0200-000006000000}" name="Apr" totalsRowFunction="sum" dataDxfId="80" totalsRowDxfId="52"/>
    <tableColumn id="7" xr3:uid="{00000000-0010-0000-0200-000007000000}" name="May" totalsRowFunction="sum" dataDxfId="79" totalsRowDxfId="51"/>
    <tableColumn id="8" xr3:uid="{00000000-0010-0000-0200-000008000000}" name="Jun" totalsRowFunction="sum" dataDxfId="78" totalsRowDxfId="50"/>
    <tableColumn id="9" xr3:uid="{00000000-0010-0000-0200-000009000000}" name="Jul" totalsRowFunction="sum" dataDxfId="77" totalsRowDxfId="49"/>
    <tableColumn id="10" xr3:uid="{00000000-0010-0000-0200-00000A000000}" name="Aug" totalsRowFunction="sum" dataDxfId="76" totalsRowDxfId="48"/>
    <tableColumn id="11" xr3:uid="{00000000-0010-0000-0200-00000B000000}" name="Sep" totalsRowFunction="sum" dataDxfId="75" totalsRowDxfId="47"/>
    <tableColumn id="12" xr3:uid="{00000000-0010-0000-0200-00000C000000}" name="Oct" totalsRowFunction="sum" dataDxfId="74" totalsRowDxfId="46"/>
    <tableColumn id="13" xr3:uid="{00000000-0010-0000-0200-00000D000000}" name="Nov" totalsRowFunction="sum" dataDxfId="73" totalsRowDxfId="45"/>
    <tableColumn id="14" xr3:uid="{00000000-0010-0000-0200-00000E000000}" name="Dec" totalsRowFunction="sum" dataDxfId="72" totalsRowDxfId="44"/>
    <tableColumn id="15" xr3:uid="{00000000-0010-0000-0200-00000F000000}" name="Yearly" totalsRowFunction="sum" dataDxfId="71" totalsRowDxfId="43">
      <calculatedColumnFormula>SUM(tblExpenses[[#This Row],[Column1]:[Dec]])</calculatedColumnFormula>
    </tableColumn>
    <tableColumn id="16" xr3:uid="{00000000-0010-0000-0200-000010000000}" name="Index %" totalsRowFunction="sum" dataDxfId="70" totalsRowDxfId="42" dataCellStyle="Percent">
      <calculatedColumnFormula>+tblExpenses[[#This Row],[Yearly]]/tblExpenses[[#Totals],[Yearly]]</calculatedColumnFormula>
    </tableColumn>
    <tableColumn id="17" xr3:uid="{00000000-0010-0000-0200-000011000000}" name="Jan %" totalsRowFunction="sum" dataDxfId="69" totalsRowDxfId="41" dataCellStyle="Percent">
      <calculatedColumnFormula>tblExpenses[[#This Row],[Column1]]/tblExpenses[[#Totals],[Column1]]</calculatedColumnFormula>
    </tableColumn>
    <tableColumn id="18" xr3:uid="{00000000-0010-0000-0200-000012000000}" name="Feb %" totalsRowFunction="sum" dataDxfId="68" totalsRowDxfId="40" dataCellStyle="Percent">
      <calculatedColumnFormula>tblExpenses[[#This Row],[Feb]]/tblExpenses[[#Totals],[Feb]]</calculatedColumnFormula>
    </tableColumn>
    <tableColumn id="19" xr3:uid="{00000000-0010-0000-0200-000013000000}" name="Mar %" totalsRowFunction="sum" dataDxfId="67" totalsRowDxfId="39" dataCellStyle="Percent">
      <calculatedColumnFormula>tblExpenses[[#This Row],[Mar]]/tblExpenses[[#Totals],[Mar]]</calculatedColumnFormula>
    </tableColumn>
    <tableColumn id="20" xr3:uid="{00000000-0010-0000-0200-000014000000}" name="Apr %" totalsRowFunction="sum" dataDxfId="66" totalsRowDxfId="38" dataCellStyle="Percent">
      <calculatedColumnFormula>tblExpenses[[#This Row],[Apr]]/tblExpenses[[#Totals],[Apr]]</calculatedColumnFormula>
    </tableColumn>
    <tableColumn id="21" xr3:uid="{00000000-0010-0000-0200-000015000000}" name="May %" totalsRowFunction="sum" dataDxfId="65" totalsRowDxfId="37" dataCellStyle="Percent">
      <calculatedColumnFormula>tblExpenses[[#This Row],[May]]/tblExpenses[[#Totals],[May]]</calculatedColumnFormula>
    </tableColumn>
    <tableColumn id="22" xr3:uid="{00000000-0010-0000-0200-000016000000}" name="Jun %" totalsRowFunction="sum" dataDxfId="64" totalsRowDxfId="36" dataCellStyle="Percent">
      <calculatedColumnFormula>tblExpenses[[#This Row],[Jun]]/tblExpenses[[#Totals],[Jun]]</calculatedColumnFormula>
    </tableColumn>
    <tableColumn id="23" xr3:uid="{00000000-0010-0000-0200-000017000000}" name="Jul %" totalsRowFunction="sum" dataDxfId="63" totalsRowDxfId="35" dataCellStyle="Percent">
      <calculatedColumnFormula>tblExpenses[[#This Row],[Jul]]/tblExpenses[[#Totals],[Jul]]</calculatedColumnFormula>
    </tableColumn>
    <tableColumn id="24" xr3:uid="{00000000-0010-0000-0200-000018000000}" name="Aug %" totalsRowFunction="sum" dataDxfId="62" totalsRowDxfId="34" dataCellStyle="Percent">
      <calculatedColumnFormula>tblExpenses[[#This Row],[Aug]]/tblExpenses[[#Totals],[Aug]]</calculatedColumnFormula>
    </tableColumn>
    <tableColumn id="25" xr3:uid="{00000000-0010-0000-0200-000019000000}" name="Sep %" totalsRowFunction="sum" dataDxfId="61" totalsRowDxfId="33" dataCellStyle="Percent">
      <calculatedColumnFormula>tblExpenses[[#This Row],[Sep]]/tblExpenses[[#Totals],[Sep]]</calculatedColumnFormula>
    </tableColumn>
    <tableColumn id="26" xr3:uid="{00000000-0010-0000-0200-00001A000000}" name="Oct %" totalsRowFunction="sum" dataDxfId="60" totalsRowDxfId="32" dataCellStyle="Percent">
      <calculatedColumnFormula>tblExpenses[[#This Row],[Oct]]/tblExpenses[[#Totals],[Oct]]</calculatedColumnFormula>
    </tableColumn>
    <tableColumn id="27" xr3:uid="{00000000-0010-0000-0200-00001B000000}" name="Nov %" totalsRowFunction="sum" dataDxfId="59" totalsRowDxfId="31" dataCellStyle="Percent">
      <calculatedColumnFormula>tblExpenses[[#This Row],[Nov]]/tblExpenses[[#Totals],[Nov]]</calculatedColumnFormula>
    </tableColumn>
    <tableColumn id="28" xr3:uid="{00000000-0010-0000-0200-00001C000000}" name="Dec %" totalsRowFunction="sum" dataDxfId="58" totalsRowDxfId="30" dataCellStyle="Percent">
      <calculatedColumnFormula>tblExpenses[[#This Row],[Dec]]/tblExpenses[[#Totals],[Dec]]</calculatedColumnFormula>
    </tableColumn>
    <tableColumn id="29" xr3:uid="{00000000-0010-0000-0200-00001D000000}" name="Year %" totalsRowFunction="sum" dataDxfId="57" totalsRowDxfId="29" dataCellStyle="Percent">
      <calculatedColumnFormula>tblExpenses[[#This Row],[Yearly]]/tblExpenses[[#Totals],[Yearly]]</calculatedColumnFormula>
    </tableColumn>
  </tableColumns>
  <tableStyleInfo name="Profit &amp; Loss Expenses 2" showFirstColumn="0" showLastColumn="0" showRowStripes="1" showColumnStripes="0"/>
  <extLst>
    <ext xmlns:x14="http://schemas.microsoft.com/office/spreadsheetml/2009/9/main" uri="{504A1905-F514-4f6f-8877-14C23A59335A}">
      <x14:table altTextSummary="Summary of expenses, annual total, and monthly percentage for each expense item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-Cambria">
      <a:majorFont>
        <a:latin typeface="Calibri" panose="020F0502020204030204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  <pageSetUpPr autoPageBreaks="0" fitToPage="1"/>
  </sheetPr>
  <dimension ref="A1:AD14"/>
  <sheetViews>
    <sheetView showGridLines="0" tabSelected="1" zoomScaleNormal="100" zoomScalePage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4" sqref="I14"/>
    </sheetView>
  </sheetViews>
  <sheetFormatPr baseColWidth="10" defaultColWidth="8.83203125" defaultRowHeight="30" customHeight="1" x14ac:dyDescent="0.15"/>
  <cols>
    <col min="1" max="1" width="2.5" customWidth="1"/>
    <col min="2" max="2" width="38.83203125" bestFit="1" customWidth="1"/>
    <col min="3" max="3" width="20.5" customWidth="1"/>
    <col min="4" max="4" width="10.6640625" style="7" bestFit="1" customWidth="1"/>
    <col min="5" max="5" width="16" style="7" bestFit="1" customWidth="1"/>
    <col min="6" max="6" width="10.6640625" style="7" bestFit="1" customWidth="1"/>
    <col min="7" max="7" width="12.1640625" style="7" bestFit="1" customWidth="1"/>
    <col min="8" max="8" width="10.6640625" style="7" bestFit="1" customWidth="1"/>
    <col min="9" max="9" width="12.1640625" style="7" bestFit="1" customWidth="1"/>
    <col min="10" max="11" width="10.6640625" style="7" bestFit="1" customWidth="1"/>
    <col min="12" max="12" width="9.5" style="7" bestFit="1" customWidth="1"/>
    <col min="13" max="13" width="6.33203125" style="7" bestFit="1" customWidth="1"/>
    <col min="14" max="14" width="9.5" style="7" bestFit="1" customWidth="1"/>
    <col min="15" max="15" width="9.5" bestFit="1" customWidth="1"/>
    <col min="16" max="16" width="12.1640625" bestFit="1" customWidth="1"/>
    <col min="17" max="30" width="6.6640625" bestFit="1" customWidth="1"/>
    <col min="31" max="31" width="2.5" customWidth="1"/>
  </cols>
  <sheetData>
    <row r="1" spans="1:30" s="7" customFormat="1" ht="38.25" customHeight="1" x14ac:dyDescent="0.15">
      <c r="B1" s="82" t="s">
        <v>45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35.25" customHeight="1" x14ac:dyDescent="0.15">
      <c r="A2" s="5"/>
      <c r="B2" s="96" t="s">
        <v>4</v>
      </c>
      <c r="C2" s="97"/>
      <c r="D2" s="97"/>
      <c r="E2" s="98" t="s">
        <v>43</v>
      </c>
      <c r="F2" s="99" t="s">
        <v>52</v>
      </c>
      <c r="G2" s="99">
        <v>2021</v>
      </c>
      <c r="H2" s="97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ht="60" customHeight="1" x14ac:dyDescent="0.15">
      <c r="B3" s="81" t="s">
        <v>42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0"/>
      <c r="Q3" s="20"/>
      <c r="R3" s="20"/>
      <c r="S3" s="20"/>
      <c r="T3" s="20"/>
      <c r="U3" s="20"/>
      <c r="V3" s="20"/>
      <c r="W3" s="20"/>
      <c r="X3" s="22"/>
      <c r="Y3" s="22"/>
      <c r="Z3" s="22"/>
      <c r="AA3" s="22"/>
      <c r="AB3" s="20"/>
      <c r="AC3" s="20"/>
      <c r="AD3" s="20"/>
    </row>
    <row r="4" spans="1:30" s="7" customFormat="1" ht="15" customHeight="1" x14ac:dyDescent="0.15"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  <c r="X4" s="4"/>
      <c r="Y4" s="4"/>
      <c r="Z4" s="4"/>
      <c r="AA4" s="4"/>
      <c r="AB4" s="12"/>
      <c r="AC4" s="12"/>
      <c r="AD4" s="15"/>
    </row>
    <row r="5" spans="1:30" ht="20.25" customHeight="1" x14ac:dyDescent="0.15">
      <c r="D5" s="38" t="str">
        <f>UPPER(TEXT(DATE(FYStartYear,FYMonthNo,1),"mmm-yy"))</f>
        <v>SEP-21</v>
      </c>
      <c r="E5" s="38" t="str">
        <f>UPPER(TEXT(DATE(FYStartYear,FYMonthNo+1,1),"mmm-yy"))</f>
        <v>OCT-21</v>
      </c>
      <c r="F5" s="38" t="str">
        <f>UPPER(TEXT(DATE(FYStartYear,FYMonthNo+2,1),"mmm-yy"))</f>
        <v>NOV-21</v>
      </c>
      <c r="G5" s="38" t="str">
        <f>UPPER(TEXT(DATE(FYStartYear,FYMonthNo+3,1),"mmm-yy"))</f>
        <v>DEC-21</v>
      </c>
      <c r="H5" s="38" t="str">
        <f>UPPER(TEXT(DATE(FYStartYear,FYMonthNo+4,1),"mmm-yy"))</f>
        <v>JAN-22</v>
      </c>
      <c r="I5" s="38" t="str">
        <f>UPPER(TEXT(DATE(FYStartYear,FYMonthNo+5,1),"mmm-yy"))</f>
        <v>FEB-22</v>
      </c>
      <c r="J5" s="38" t="str">
        <f>UPPER(TEXT(DATE(FYStartYear,FYMonthNo+6,1),"mmm-yy"))</f>
        <v>MAR-22</v>
      </c>
      <c r="K5" s="38" t="str">
        <f>UPPER(TEXT(DATE(FYStartYear,FYMonthNo+7,1),"mmm-yy"))</f>
        <v>APR-22</v>
      </c>
      <c r="L5" s="38" t="str">
        <f>UPPER(TEXT(DATE(FYStartYear,FYMonthNo+8,1),"mmm-yy"))</f>
        <v>MAY-22</v>
      </c>
      <c r="M5" s="38" t="str">
        <f>UPPER(TEXT(DATE(FYStartYear,FYMonthNo+9,1),"mmm-yy"))</f>
        <v>JUN-22</v>
      </c>
      <c r="N5" s="38" t="str">
        <f>UPPER(TEXT(DATE(FYStartYear,FYMonthNo+10,1),"mmm-yy"))</f>
        <v>JUL-22</v>
      </c>
      <c r="O5" s="39" t="str">
        <f>UPPER(TEXT(DATE(FYStartYear,FYMonthNo+11,1),"mmm-yy"))</f>
        <v>AUG-22</v>
      </c>
      <c r="P5" s="40" t="s">
        <v>13</v>
      </c>
      <c r="Q5" s="41" t="s">
        <v>12</v>
      </c>
      <c r="R5" s="42" t="str">
        <f>LEFT(D5,3)&amp;" %"</f>
        <v>SEP %</v>
      </c>
      <c r="S5" s="43" t="str">
        <f t="shared" ref="S5:AC5" si="0">LEFT(E5,3)&amp;" %"</f>
        <v>OCT %</v>
      </c>
      <c r="T5" s="43" t="str">
        <f t="shared" si="0"/>
        <v>NOV %</v>
      </c>
      <c r="U5" s="43" t="str">
        <f t="shared" si="0"/>
        <v>DEC %</v>
      </c>
      <c r="V5" s="43" t="str">
        <f t="shared" si="0"/>
        <v>JAN %</v>
      </c>
      <c r="W5" s="43" t="str">
        <f t="shared" si="0"/>
        <v>FEB %</v>
      </c>
      <c r="X5" s="43" t="str">
        <f t="shared" si="0"/>
        <v>MAR %</v>
      </c>
      <c r="Y5" s="43" t="str">
        <f t="shared" si="0"/>
        <v>APR %</v>
      </c>
      <c r="Z5" s="43" t="str">
        <f t="shared" si="0"/>
        <v>MAY %</v>
      </c>
      <c r="AA5" s="43" t="str">
        <f t="shared" si="0"/>
        <v>JUN %</v>
      </c>
      <c r="AB5" s="43" t="str">
        <f t="shared" si="0"/>
        <v>JUL %</v>
      </c>
      <c r="AC5" s="43" t="str">
        <f t="shared" si="0"/>
        <v>AUG %</v>
      </c>
      <c r="AD5" s="44" t="s">
        <v>14</v>
      </c>
    </row>
    <row r="6" spans="1:30" ht="30" customHeight="1" x14ac:dyDescent="0.15">
      <c r="B6" s="70" t="s">
        <v>5</v>
      </c>
      <c r="C6" s="71" t="s">
        <v>6</v>
      </c>
      <c r="D6" s="13" t="s">
        <v>15</v>
      </c>
      <c r="E6" s="13" t="s">
        <v>16</v>
      </c>
      <c r="F6" s="13" t="s">
        <v>17</v>
      </c>
      <c r="G6" s="13" t="s">
        <v>18</v>
      </c>
      <c r="H6" s="13" t="s">
        <v>19</v>
      </c>
      <c r="I6" s="13" t="s">
        <v>20</v>
      </c>
      <c r="J6" s="13" t="s">
        <v>21</v>
      </c>
      <c r="K6" s="13" t="s">
        <v>22</v>
      </c>
      <c r="L6" s="13" t="s">
        <v>23</v>
      </c>
      <c r="M6" s="13" t="s">
        <v>24</v>
      </c>
      <c r="N6" s="13" t="s">
        <v>25</v>
      </c>
      <c r="O6" s="13" t="s">
        <v>26</v>
      </c>
      <c r="P6" s="28" t="s">
        <v>0</v>
      </c>
      <c r="Q6" s="13" t="s">
        <v>27</v>
      </c>
      <c r="R6" s="31" t="s">
        <v>28</v>
      </c>
      <c r="S6" s="13" t="s">
        <v>29</v>
      </c>
      <c r="T6" s="13" t="s">
        <v>30</v>
      </c>
      <c r="U6" s="13" t="s">
        <v>31</v>
      </c>
      <c r="V6" s="13" t="s">
        <v>32</v>
      </c>
      <c r="W6" s="13" t="s">
        <v>33</v>
      </c>
      <c r="X6" s="13" t="s">
        <v>34</v>
      </c>
      <c r="Y6" s="13" t="s">
        <v>35</v>
      </c>
      <c r="Z6" s="13" t="s">
        <v>36</v>
      </c>
      <c r="AA6" s="13" t="s">
        <v>37</v>
      </c>
      <c r="AB6" s="13" t="s">
        <v>38</v>
      </c>
      <c r="AC6" s="13" t="s">
        <v>39</v>
      </c>
      <c r="AD6" s="32" t="s">
        <v>40</v>
      </c>
    </row>
    <row r="7" spans="1:30" ht="30" customHeight="1" x14ac:dyDescent="0.15">
      <c r="B7" s="112" t="s">
        <v>48</v>
      </c>
      <c r="C7" s="24"/>
      <c r="D7" s="16">
        <v>0</v>
      </c>
      <c r="E7" s="16">
        <v>0</v>
      </c>
      <c r="F7" s="16">
        <v>0</v>
      </c>
      <c r="G7" s="16">
        <v>52500</v>
      </c>
      <c r="H7" s="16">
        <v>135500</v>
      </c>
      <c r="I7" s="16">
        <v>706997</v>
      </c>
      <c r="J7" s="16">
        <v>389957.02</v>
      </c>
      <c r="K7" s="16">
        <v>130000</v>
      </c>
      <c r="L7" s="16">
        <v>0</v>
      </c>
      <c r="M7" s="16"/>
      <c r="N7" s="16"/>
      <c r="O7" s="16"/>
      <c r="P7" s="29">
        <f>SUM(Revenue[[#This Row],[Jan]:[Dec]])</f>
        <v>1414954.02</v>
      </c>
      <c r="Q7" s="17">
        <f>+Revenue[[#This Row],[Yearly]]/Revenue[[#Totals],[Yearly]]</f>
        <v>0.44689482788145463</v>
      </c>
      <c r="R7" s="33">
        <f>IFERROR(Revenue[[#This Row],[Jan]]/Revenue[[#Totals],[Jan]],"-")</f>
        <v>0</v>
      </c>
      <c r="S7" s="17">
        <f>IFERROR(Revenue[[#This Row],[Feb]]/Revenue[[#Totals],[Feb]],"-")</f>
        <v>0</v>
      </c>
      <c r="T7" s="17">
        <f>IFERROR(Revenue[[#This Row],[Mar]]/Revenue[[#Totals],[Mar]],"-")</f>
        <v>0</v>
      </c>
      <c r="U7" s="17">
        <f>IFERROR(Revenue[[#This Row],[Apr]]/Revenue[[#Totals],[Apr]],"-")</f>
        <v>0.49528301886792453</v>
      </c>
      <c r="V7" s="17">
        <f>IFERROR(Revenue[[#This Row],[May]]/Revenue[[#Totals],[May]],"-")</f>
        <v>0.95778669984166476</v>
      </c>
      <c r="W7" s="17">
        <f>IFERROR(Revenue[[#This Row],[Jun]]/Revenue[[#Totals],[Jun]],"-")</f>
        <v>0.92948940984310846</v>
      </c>
      <c r="X7" s="17">
        <f>IFERROR(Revenue[[#This Row],[Jul]]/Revenue[[#Totals],[Jul]],"-")</f>
        <v>0.94853739115975666</v>
      </c>
      <c r="Y7" s="17">
        <f>IFERROR(Revenue[[#This Row],[Aug]]/Revenue[[#Totals],[Aug]],"-")</f>
        <v>0.99785078292907581</v>
      </c>
      <c r="Z7" s="17">
        <f>IFERROR(Revenue[[#This Row],[Sep]]/Revenue[[#Totals],[Sep]],"-")</f>
        <v>0</v>
      </c>
      <c r="AA7" s="17" t="str">
        <f>IFERROR(Revenue[[#This Row],[Oct]]/Revenue[[#Totals],[Oct]],"-")</f>
        <v>-</v>
      </c>
      <c r="AB7" s="17" t="str">
        <f>IFERROR(Revenue[[#This Row],[Nov]]/Revenue[[#Totals],[Nov]],"-")</f>
        <v>-</v>
      </c>
      <c r="AC7" s="17" t="str">
        <f>IFERROR(Revenue[[#This Row],[Dec]]/Revenue[[#Totals],[Dec]],"-")</f>
        <v>-</v>
      </c>
      <c r="AD7" s="34">
        <f>IFERROR(Revenue[[#This Row],[Yearly]]/Revenue[[#Totals],[Yearly]],"-")</f>
        <v>0.44689482788145463</v>
      </c>
    </row>
    <row r="8" spans="1:30" ht="30" customHeight="1" x14ac:dyDescent="0.15">
      <c r="B8" s="112" t="s">
        <v>49</v>
      </c>
      <c r="C8" s="24"/>
      <c r="D8" s="16">
        <v>0</v>
      </c>
      <c r="E8" s="16">
        <v>0</v>
      </c>
      <c r="F8" s="16">
        <v>0</v>
      </c>
      <c r="G8" s="16">
        <v>3500</v>
      </c>
      <c r="H8" s="16">
        <v>5972</v>
      </c>
      <c r="I8" s="16">
        <v>53632.43</v>
      </c>
      <c r="J8" s="16">
        <v>21157</v>
      </c>
      <c r="K8" s="16">
        <v>280</v>
      </c>
      <c r="L8" s="16">
        <v>14750.5</v>
      </c>
      <c r="M8" s="16"/>
      <c r="N8" s="16"/>
      <c r="O8" s="16"/>
      <c r="P8" s="29">
        <f>SUM(Revenue[[#This Row],[Jan]:[Dec]])</f>
        <v>99291.93</v>
      </c>
      <c r="Q8" s="17">
        <f>+Revenue[[#This Row],[Yearly]]/Revenue[[#Totals],[Yearly]]</f>
        <v>3.1360064949225303E-2</v>
      </c>
      <c r="R8" s="33">
        <f>IFERROR(Revenue[[#This Row],[Jan]]/Revenue[[#Totals],[Jan]],"-")</f>
        <v>0</v>
      </c>
      <c r="S8" s="17">
        <f>IFERROR(Revenue[[#This Row],[Feb]]/Revenue[[#Totals],[Feb]],"-")</f>
        <v>0</v>
      </c>
      <c r="T8" s="17">
        <f>IFERROR(Revenue[[#This Row],[Mar]]/Revenue[[#Totals],[Mar]],"-")</f>
        <v>0</v>
      </c>
      <c r="U8" s="17">
        <f>IFERROR(Revenue[[#This Row],[Apr]]/Revenue[[#Totals],[Apr]],"-")</f>
        <v>3.3018867924528301E-2</v>
      </c>
      <c r="V8" s="17">
        <f>IFERROR(Revenue[[#This Row],[May]]/Revenue[[#Totals],[May]],"-")</f>
        <v>4.2213300158335215E-2</v>
      </c>
      <c r="W8" s="17">
        <f>IFERROR(Revenue[[#This Row],[Jun]]/Revenue[[#Totals],[Jun]],"-")</f>
        <v>7.0510590156891512E-2</v>
      </c>
      <c r="X8" s="17">
        <f>IFERROR(Revenue[[#This Row],[Jul]]/Revenue[[#Totals],[Jul]],"-")</f>
        <v>5.1462608840243396E-2</v>
      </c>
      <c r="Y8" s="17">
        <f>IFERROR(Revenue[[#This Row],[Aug]]/Revenue[[#Totals],[Aug]],"-")</f>
        <v>2.1492170709241634E-3</v>
      </c>
      <c r="Z8" s="17">
        <f>IFERROR(Revenue[[#This Row],[Sep]]/Revenue[[#Totals],[Sep]],"-")</f>
        <v>0.8835417622556565</v>
      </c>
      <c r="AA8" s="17" t="str">
        <f>IFERROR(Revenue[[#This Row],[Oct]]/Revenue[[#Totals],[Oct]],"-")</f>
        <v>-</v>
      </c>
      <c r="AB8" s="17" t="str">
        <f>IFERROR(Revenue[[#This Row],[Nov]]/Revenue[[#Totals],[Nov]],"-")</f>
        <v>-</v>
      </c>
      <c r="AC8" s="17" t="str">
        <f>IFERROR(Revenue[[#This Row],[Dec]]/Revenue[[#Totals],[Dec]],"-")</f>
        <v>-</v>
      </c>
      <c r="AD8" s="34">
        <f>IFERROR(Revenue[[#This Row],[Yearly]]/Revenue[[#Totals],[Yearly]],"-")</f>
        <v>3.1360064949225303E-2</v>
      </c>
    </row>
    <row r="9" spans="1:30" ht="30" customHeight="1" x14ac:dyDescent="0.15">
      <c r="B9" s="112" t="s">
        <v>50</v>
      </c>
      <c r="C9" s="24"/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1944.24</v>
      </c>
      <c r="M9" s="16"/>
      <c r="N9" s="16"/>
      <c r="O9" s="16"/>
      <c r="P9" s="29">
        <f>SUM(Revenue[[#This Row],[Jan]:[Dec]])</f>
        <v>1944.24</v>
      </c>
      <c r="Q9" s="17">
        <f>+Revenue[[#This Row],[Yearly]]/Revenue[[#Totals],[Yearly]]</f>
        <v>6.1406292210134099E-4</v>
      </c>
      <c r="R9" s="33">
        <f>IFERROR(Revenue[[#This Row],[Jan]]/Revenue[[#Totals],[Jan]],"-")</f>
        <v>0</v>
      </c>
      <c r="S9" s="17">
        <f>IFERROR(Revenue[[#This Row],[Feb]]/Revenue[[#Totals],[Feb]],"-")</f>
        <v>0</v>
      </c>
      <c r="T9" s="17">
        <f>IFERROR(Revenue[[#This Row],[Mar]]/Revenue[[#Totals],[Mar]],"-")</f>
        <v>0</v>
      </c>
      <c r="U9" s="17">
        <f>IFERROR(Revenue[[#This Row],[Apr]]/Revenue[[#Totals],[Apr]],"-")</f>
        <v>0</v>
      </c>
      <c r="V9" s="17">
        <f>IFERROR(Revenue[[#This Row],[May]]/Revenue[[#Totals],[May]],"-")</f>
        <v>0</v>
      </c>
      <c r="W9" s="17">
        <f>IFERROR(Revenue[[#This Row],[Jun]]/Revenue[[#Totals],[Jun]],"-")</f>
        <v>0</v>
      </c>
      <c r="X9" s="17">
        <f>IFERROR(Revenue[[#This Row],[Jul]]/Revenue[[#Totals],[Jul]],"-")</f>
        <v>0</v>
      </c>
      <c r="Y9" s="17">
        <f>IFERROR(Revenue[[#This Row],[Aug]]/Revenue[[#Totals],[Aug]],"-")</f>
        <v>0</v>
      </c>
      <c r="Z9" s="17">
        <f>IFERROR(Revenue[[#This Row],[Sep]]/Revenue[[#Totals],[Sep]],"-")</f>
        <v>0.11645823774434341</v>
      </c>
      <c r="AA9" s="17" t="str">
        <f>IFERROR(Revenue[[#This Row],[Oct]]/Revenue[[#Totals],[Oct]],"-")</f>
        <v>-</v>
      </c>
      <c r="AB9" s="17" t="str">
        <f>IFERROR(Revenue[[#This Row],[Nov]]/Revenue[[#Totals],[Nov]],"-")</f>
        <v>-</v>
      </c>
      <c r="AC9" s="17" t="str">
        <f>IFERROR(Revenue[[#This Row],[Dec]]/Revenue[[#Totals],[Dec]],"-")</f>
        <v>-</v>
      </c>
      <c r="AD9" s="34">
        <f>IFERROR(Revenue[[#This Row],[Yearly]]/Revenue[[#Totals],[Yearly]],"-")</f>
        <v>6.1406292210134099E-4</v>
      </c>
    </row>
    <row r="10" spans="1:30" ht="30" customHeight="1" x14ac:dyDescent="0.15">
      <c r="B10" s="112" t="s">
        <v>76</v>
      </c>
      <c r="C10" s="2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29">
        <f>SUM(Revenue[[#This Row],[Jan]:[Dec]])</f>
        <v>0</v>
      </c>
      <c r="Q10" s="17">
        <f>+Revenue[[#This Row],[Yearly]]/Revenue[[#Totals],[Yearly]]</f>
        <v>0</v>
      </c>
      <c r="R10" s="33">
        <f>IFERROR(Revenue[[#This Row],[Jan]]/Revenue[[#Totals],[Jan]],"-")</f>
        <v>0</v>
      </c>
      <c r="S10" s="17">
        <f>IFERROR(Revenue[[#This Row],[Feb]]/Revenue[[#Totals],[Feb]],"-")</f>
        <v>0</v>
      </c>
      <c r="T10" s="17">
        <f>IFERROR(Revenue[[#This Row],[Mar]]/Revenue[[#Totals],[Mar]],"-")</f>
        <v>0</v>
      </c>
      <c r="U10" s="17">
        <f>IFERROR(Revenue[[#This Row],[Apr]]/Revenue[[#Totals],[Apr]],"-")</f>
        <v>0</v>
      </c>
      <c r="V10" s="17">
        <f>IFERROR(Revenue[[#This Row],[May]]/Revenue[[#Totals],[May]],"-")</f>
        <v>0</v>
      </c>
      <c r="W10" s="17">
        <f>IFERROR(Revenue[[#This Row],[Jun]]/Revenue[[#Totals],[Jun]],"-")</f>
        <v>0</v>
      </c>
      <c r="X10" s="17">
        <f>IFERROR(Revenue[[#This Row],[Jul]]/Revenue[[#Totals],[Jul]],"-")</f>
        <v>0</v>
      </c>
      <c r="Y10" s="17">
        <f>IFERROR(Revenue[[#This Row],[Aug]]/Revenue[[#Totals],[Aug]],"-")</f>
        <v>0</v>
      </c>
      <c r="Z10" s="17">
        <f>IFERROR(Revenue[[#This Row],[Sep]]/Revenue[[#Totals],[Sep]],"-")</f>
        <v>0</v>
      </c>
      <c r="AA10" s="17" t="str">
        <f>IFERROR(Revenue[[#This Row],[Oct]]/Revenue[[#Totals],[Oct]],"-")</f>
        <v>-</v>
      </c>
      <c r="AB10" s="17" t="str">
        <f>IFERROR(Revenue[[#This Row],[Nov]]/Revenue[[#Totals],[Nov]],"-")</f>
        <v>-</v>
      </c>
      <c r="AC10" s="17" t="str">
        <f>IFERROR(Revenue[[#This Row],[Dec]]/Revenue[[#Totals],[Dec]],"-")</f>
        <v>-</v>
      </c>
      <c r="AD10" s="34">
        <f>IFERROR(Revenue[[#This Row],[Yearly]]/Revenue[[#Totals],[Yearly]],"-")</f>
        <v>0</v>
      </c>
    </row>
    <row r="11" spans="1:30" ht="30" customHeight="1" x14ac:dyDescent="0.15">
      <c r="B11" s="112" t="s">
        <v>51</v>
      </c>
      <c r="C11" s="24"/>
      <c r="D11" s="16">
        <v>480000</v>
      </c>
      <c r="E11" s="16">
        <v>650000</v>
      </c>
      <c r="F11" s="16">
        <v>470000</v>
      </c>
      <c r="G11" s="16">
        <v>50000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/>
      <c r="N11" s="16"/>
      <c r="O11" s="16"/>
      <c r="P11" s="29">
        <f>SUM(Revenue[[#This Row],[Jan]:[Dec]])</f>
        <v>1650000</v>
      </c>
      <c r="Q11" s="17">
        <f>+Revenue[[#This Row],[Yearly]]/Revenue[[#Totals],[Yearly]]</f>
        <v>0.52113104424721879</v>
      </c>
      <c r="R11" s="33">
        <f>IFERROR(Revenue[[#This Row],[Jan]]/Revenue[[#Totals],[Jan]],"-")</f>
        <v>1</v>
      </c>
      <c r="S11" s="17">
        <f>IFERROR(Revenue[[#This Row],[Feb]]/Revenue[[#Totals],[Feb]],"-")</f>
        <v>1</v>
      </c>
      <c r="T11" s="17">
        <f>IFERROR(Revenue[[#This Row],[Mar]]/Revenue[[#Totals],[Mar]],"-")</f>
        <v>1</v>
      </c>
      <c r="U11" s="17">
        <f>IFERROR(Revenue[[#This Row],[Apr]]/Revenue[[#Totals],[Apr]],"-")</f>
        <v>0.47169811320754718</v>
      </c>
      <c r="V11" s="17">
        <f>IFERROR(Revenue[[#This Row],[May]]/Revenue[[#Totals],[May]],"-")</f>
        <v>0</v>
      </c>
      <c r="W11" s="17">
        <f>IFERROR(Revenue[[#This Row],[Jun]]/Revenue[[#Totals],[Jun]],"-")</f>
        <v>0</v>
      </c>
      <c r="X11" s="17">
        <f>IFERROR(Revenue[[#This Row],[Jul]]/Revenue[[#Totals],[Jul]],"-")</f>
        <v>0</v>
      </c>
      <c r="Y11" s="17">
        <f>IFERROR(Revenue[[#This Row],[Aug]]/Revenue[[#Totals],[Aug]],"-")</f>
        <v>0</v>
      </c>
      <c r="Z11" s="17">
        <f>IFERROR(Revenue[[#This Row],[Sep]]/Revenue[[#Totals],[Sep]],"-")</f>
        <v>0</v>
      </c>
      <c r="AA11" s="17" t="str">
        <f>IFERROR(Revenue[[#This Row],[Oct]]/Revenue[[#Totals],[Oct]],"-")</f>
        <v>-</v>
      </c>
      <c r="AB11" s="17" t="str">
        <f>IFERROR(Revenue[[#This Row],[Nov]]/Revenue[[#Totals],[Nov]],"-")</f>
        <v>-</v>
      </c>
      <c r="AC11" s="17" t="str">
        <f>IFERROR(Revenue[[#This Row],[Dec]]/Revenue[[#Totals],[Dec]],"-")</f>
        <v>-</v>
      </c>
      <c r="AD11" s="34">
        <f>IFERROR(Revenue[[#This Row],[Yearly]]/Revenue[[#Totals],[Yearly]],"-")</f>
        <v>0.52113104424721879</v>
      </c>
    </row>
    <row r="12" spans="1:30" ht="30" customHeight="1" x14ac:dyDescent="0.15">
      <c r="B12" s="112" t="s">
        <v>77</v>
      </c>
      <c r="C12" s="2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29">
        <f>SUM(Revenue[[#This Row],[Jan]:[Dec]])</f>
        <v>0</v>
      </c>
      <c r="Q12" s="17">
        <f>+Revenue[[#This Row],[Yearly]]/Revenue[[#Totals],[Yearly]]</f>
        <v>0</v>
      </c>
      <c r="R12" s="33">
        <f>IFERROR(Revenue[[#This Row],[Jan]]/Revenue[[#Totals],[Jan]],"-")</f>
        <v>0</v>
      </c>
      <c r="S12" s="17">
        <f>IFERROR(Revenue[[#This Row],[Feb]]/Revenue[[#Totals],[Feb]],"-")</f>
        <v>0</v>
      </c>
      <c r="T12" s="17">
        <f>IFERROR(Revenue[[#This Row],[Mar]]/Revenue[[#Totals],[Mar]],"-")</f>
        <v>0</v>
      </c>
      <c r="U12" s="17">
        <f>IFERROR(Revenue[[#This Row],[Apr]]/Revenue[[#Totals],[Apr]],"-")</f>
        <v>0</v>
      </c>
      <c r="V12" s="17">
        <f>IFERROR(Revenue[[#This Row],[May]]/Revenue[[#Totals],[May]],"-")</f>
        <v>0</v>
      </c>
      <c r="W12" s="17">
        <f>IFERROR(Revenue[[#This Row],[Jun]]/Revenue[[#Totals],[Jun]],"-")</f>
        <v>0</v>
      </c>
      <c r="X12" s="17">
        <f>IFERROR(Revenue[[#This Row],[Jul]]/Revenue[[#Totals],[Jul]],"-")</f>
        <v>0</v>
      </c>
      <c r="Y12" s="17">
        <f>IFERROR(Revenue[[#This Row],[Aug]]/Revenue[[#Totals],[Aug]],"-")</f>
        <v>0</v>
      </c>
      <c r="Z12" s="17">
        <f>IFERROR(Revenue[[#This Row],[Sep]]/Revenue[[#Totals],[Sep]],"-")</f>
        <v>0</v>
      </c>
      <c r="AA12" s="17" t="str">
        <f>IFERROR(Revenue[[#This Row],[Oct]]/Revenue[[#Totals],[Oct]],"-")</f>
        <v>-</v>
      </c>
      <c r="AB12" s="17" t="str">
        <f>IFERROR(Revenue[[#This Row],[Nov]]/Revenue[[#Totals],[Nov]],"-")</f>
        <v>-</v>
      </c>
      <c r="AC12" s="17" t="str">
        <f>IFERROR(Revenue[[#This Row],[Dec]]/Revenue[[#Totals],[Dec]],"-")</f>
        <v>-</v>
      </c>
      <c r="AD12" s="34">
        <f>IFERROR(Revenue[[#This Row],[Yearly]]/Revenue[[#Totals],[Yearly]],"-")</f>
        <v>0</v>
      </c>
    </row>
    <row r="13" spans="1:30" ht="30" customHeight="1" x14ac:dyDescent="0.15">
      <c r="B13" s="112"/>
      <c r="C13" s="2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9">
        <f>SUM(Revenue[[#This Row],[Jan]:[Dec]])</f>
        <v>0</v>
      </c>
      <c r="Q13" s="17">
        <f>+Revenue[[#This Row],[Yearly]]/Revenue[[#Totals],[Yearly]]</f>
        <v>0</v>
      </c>
      <c r="R13" s="33">
        <f>IFERROR(Revenue[[#This Row],[Jan]]/Revenue[[#Totals],[Jan]],"-")</f>
        <v>0</v>
      </c>
      <c r="S13" s="17">
        <f>IFERROR(Revenue[[#This Row],[Feb]]/Revenue[[#Totals],[Feb]],"-")</f>
        <v>0</v>
      </c>
      <c r="T13" s="17">
        <f>IFERROR(Revenue[[#This Row],[Mar]]/Revenue[[#Totals],[Mar]],"-")</f>
        <v>0</v>
      </c>
      <c r="U13" s="17">
        <f>IFERROR(Revenue[[#This Row],[Apr]]/Revenue[[#Totals],[Apr]],"-")</f>
        <v>0</v>
      </c>
      <c r="V13" s="17">
        <f>IFERROR(Revenue[[#This Row],[May]]/Revenue[[#Totals],[May]],"-")</f>
        <v>0</v>
      </c>
      <c r="W13" s="17">
        <f>IFERROR(Revenue[[#This Row],[Jun]]/Revenue[[#Totals],[Jun]],"-")</f>
        <v>0</v>
      </c>
      <c r="X13" s="17">
        <f>IFERROR(Revenue[[#This Row],[Jul]]/Revenue[[#Totals],[Jul]],"-")</f>
        <v>0</v>
      </c>
      <c r="Y13" s="17">
        <f>IFERROR(Revenue[[#This Row],[Aug]]/Revenue[[#Totals],[Aug]],"-")</f>
        <v>0</v>
      </c>
      <c r="Z13" s="17">
        <f>IFERROR(Revenue[[#This Row],[Sep]]/Revenue[[#Totals],[Sep]],"-")</f>
        <v>0</v>
      </c>
      <c r="AA13" s="17" t="str">
        <f>IFERROR(Revenue[[#This Row],[Oct]]/Revenue[[#Totals],[Oct]],"-")</f>
        <v>-</v>
      </c>
      <c r="AB13" s="17" t="str">
        <f>IFERROR(Revenue[[#This Row],[Nov]]/Revenue[[#Totals],[Nov]],"-")</f>
        <v>-</v>
      </c>
      <c r="AC13" s="17" t="str">
        <f>IFERROR(Revenue[[#This Row],[Dec]]/Revenue[[#Totals],[Dec]],"-")</f>
        <v>-</v>
      </c>
      <c r="AD13" s="34">
        <f>IFERROR(Revenue[[#This Row],[Yearly]]/Revenue[[#Totals],[Yearly]],"-")</f>
        <v>0</v>
      </c>
    </row>
    <row r="14" spans="1:30" s="8" customFormat="1" ht="30" customHeight="1" x14ac:dyDescent="0.15">
      <c r="B14" s="27" t="s">
        <v>7</v>
      </c>
      <c r="C14" s="14"/>
      <c r="D14" s="18">
        <f>SUBTOTAL(109,Revenue[Jan])</f>
        <v>480000</v>
      </c>
      <c r="E14" s="18">
        <f>SUBTOTAL(109,Revenue[Feb])</f>
        <v>650000</v>
      </c>
      <c r="F14" s="18">
        <f>SUBTOTAL(109,Revenue[Mar])</f>
        <v>470000</v>
      </c>
      <c r="G14" s="18">
        <f>SUBTOTAL(109,Revenue[Apr])</f>
        <v>106000</v>
      </c>
      <c r="H14" s="18">
        <f>SUBTOTAL(109,Revenue[May])</f>
        <v>141472</v>
      </c>
      <c r="I14" s="18">
        <f>SUBTOTAL(109,Revenue[Jun])</f>
        <v>760629.43</v>
      </c>
      <c r="J14" s="18">
        <f>SUBTOTAL(109,Revenue[Jul])</f>
        <v>411114.02</v>
      </c>
      <c r="K14" s="18">
        <f>SUBTOTAL(109,Revenue[Aug])</f>
        <v>130280</v>
      </c>
      <c r="L14" s="18">
        <f>SUBTOTAL(109,Revenue[Sep])</f>
        <v>16694.740000000002</v>
      </c>
      <c r="M14" s="18">
        <f>SUBTOTAL(109,Revenue[Oct])</f>
        <v>0</v>
      </c>
      <c r="N14" s="18">
        <f>SUBTOTAL(109,Revenue[Nov])</f>
        <v>0</v>
      </c>
      <c r="O14" s="18">
        <f>SUBTOTAL(109,Revenue[Dec])</f>
        <v>0</v>
      </c>
      <c r="P14" s="30">
        <f>SUBTOTAL(109,Revenue[Yearly])</f>
        <v>3166190.19</v>
      </c>
      <c r="Q14" s="19">
        <f>SUBTOTAL(109,Revenue[Index %])</f>
        <v>1</v>
      </c>
      <c r="R14" s="35">
        <f>SUBTOTAL(109,Revenue[Jan %])</f>
        <v>1</v>
      </c>
      <c r="S14" s="36">
        <f>SUBTOTAL(109,Revenue[Feb %])</f>
        <v>1</v>
      </c>
      <c r="T14" s="36">
        <f>SUBTOTAL(109,Revenue[Mar %])</f>
        <v>1</v>
      </c>
      <c r="U14" s="36">
        <f>SUBTOTAL(109,Revenue[Apr %])</f>
        <v>1</v>
      </c>
      <c r="V14" s="36">
        <f>SUBTOTAL(109,Revenue[May %])</f>
        <v>1</v>
      </c>
      <c r="W14" s="36">
        <f>SUBTOTAL(109,Revenue[Jun %])</f>
        <v>1</v>
      </c>
      <c r="X14" s="36">
        <f>SUBTOTAL(109,Revenue[Jul %])</f>
        <v>1</v>
      </c>
      <c r="Y14" s="36">
        <f>SUBTOTAL(109,Revenue[Aug %])</f>
        <v>1</v>
      </c>
      <c r="Z14" s="36">
        <f>SUBTOTAL(109,Revenue[Sep %])</f>
        <v>0.99999999999999989</v>
      </c>
      <c r="AA14" s="36">
        <f>SUBTOTAL(109,Revenue[Oct %])</f>
        <v>0</v>
      </c>
      <c r="AB14" s="36">
        <f>SUBTOTAL(109,Revenue[Nov %])</f>
        <v>0</v>
      </c>
      <c r="AC14" s="36">
        <f>SUBTOTAL(109,Revenue[Dec %])</f>
        <v>0</v>
      </c>
      <c r="AD14" s="37">
        <f>SUBTOTAL(109,Revenue[Year %])</f>
        <v>1</v>
      </c>
    </row>
  </sheetData>
  <dataConsolidate/>
  <dataValidations count="19">
    <dataValidation allowBlank="1" showInputMessage="1" showErrorMessage="1" prompt="Annual revenue is automatically calculated in this column" sqref="P5" xr:uid="{00000000-0002-0000-0000-000000000000}"/>
    <dataValidation allowBlank="1" showInputMessage="1" showErrorMessage="1" prompt="Enter a title for the projection period for which total sales are calculated" sqref="B2" xr:uid="{00000000-0002-0000-0000-000001000000}"/>
    <dataValidation allowBlank="1" showInputMessage="1" showErrorMessage="1" prompt="Enter company name in this cell" sqref="B1" xr:uid="{00000000-0002-0000-0000-000002000000}"/>
    <dataValidation allowBlank="1" showInputMessage="1" showErrorMessage="1" prompt="The dates in this row are automatically updated based on the starting month of fiscal year. To change starting month, modify cell AC2" sqref="D5" xr:uid="{00000000-0002-0000-0000-000003000000}"/>
    <dataValidation allowBlank="1" showInputMessage="1" showErrorMessage="1" prompt="Enter index percent in this column" sqref="Q6" xr:uid="{00000000-0002-0000-0000-000004000000}"/>
    <dataValidation allowBlank="1" showInputMessage="1" showErrorMessage="1" prompt="This worksheet calculates total sales for each month &amp; year, and total annual sales from different sources. Select fiscal year starting month in cell AC2 &amp; year in cell AD2" sqref="A3:A4 A6:A14" xr:uid="{00000000-0002-0000-0000-000005000000}"/>
    <dataValidation allowBlank="1" showInputMessage="1" showErrorMessage="1" prompt="This worksheet calculates total sales for each month &amp; year, &amp; total annual sales from different sources. Enter fiscal year starting month in cell AC2 &amp; year in cell AD2" sqref="A2" xr:uid="{00000000-0002-0000-0000-000006000000}"/>
    <dataValidation allowBlank="1" showInputMessage="1" showErrorMessage="1" prompt="Automatically updated month" sqref="E5:O5" xr:uid="{00000000-0002-0000-0000-000007000000}"/>
    <dataValidation allowBlank="1" showInputMessage="1" showErrorMessage="1" prompt="Automatically calculates proportion of sales from different sources to total sales in this column for the month in this cell" sqref="R5:AC5" xr:uid="{00000000-0002-0000-0000-000008000000}"/>
    <dataValidation allowBlank="1" showInputMessage="1" showErrorMessage="1" prompt="Automatically calculates proportion of sales from different sources to total sales for the year in this column" sqref="AD5" xr:uid="{00000000-0002-0000-0000-000009000000}"/>
    <dataValidation allowBlank="1" showInputMessage="1" showErrorMessage="1" prompt="Enter revenue generated by sales in this column" sqref="B6" xr:uid="{00000000-0002-0000-0000-00000A000000}"/>
    <dataValidation allowBlank="1" showInputMessage="1" showErrorMessage="1" prompt="A trend chart for revenue over time is in this column" sqref="C6" xr:uid="{00000000-0002-0000-0000-00000B000000}"/>
    <dataValidation allowBlank="1" showInputMessage="1" showErrorMessage="1" prompt="Enter revenue for sources listed in column B in this column" sqref="D6:O6" xr:uid="{00000000-0002-0000-0000-00000C000000}"/>
    <dataValidation allowBlank="1" showInputMessage="1" showErrorMessage="1" prompt="Index percent is in this column" sqref="Q5" xr:uid="{00000000-0002-0000-0000-00000D000000}"/>
    <dataValidation type="list" errorStyle="warning" allowBlank="1" showInputMessage="1" showErrorMessage="1" error="Select month from the drop down list. Select CANCEL, then press ALT+DOWN ARROW. Press ENTER to select a month" prompt="Select month in this cell. Press ALT+DOWN ARROW to open the drop down list, then ENTER to select a month" sqref="AC4 F2" xr:uid="{00000000-0002-0000-0000-00000E000000}">
      <formula1>"JAN,FEB,MAR,APR,MAY,JUN,JUL,AUG,SEP,OCT,NOV,DEC"</formula1>
    </dataValidation>
    <dataValidation errorStyle="information" allowBlank="1" showInputMessage="1" errorTitle="Unknown Year" error="Please select a year from the drop down list. To add or remove a year from the list, on the Data tab, in the Data Tools group, click Data Validation." prompt="Enter year in this cell" sqref="AD4 G2" xr:uid="{00000000-0002-0000-0000-00000F000000}"/>
    <dataValidation allowBlank="1" showInputMessage="1" showErrorMessage="1" prompt="Select fiscal year starting month in cell AC2 and enter a year in cell AD2 at right of this label" sqref="AB4 E2" xr:uid="{00000000-0002-0000-0000-000010000000}"/>
    <dataValidation allowBlank="1" showInputMessage="1" showErrorMessage="1" prompt="Projection title is in this cell. Enter values in the Revenue table, below, to calculate total sales" sqref="B3 E2" xr:uid="{00000000-0002-0000-0000-000011000000}"/>
    <dataValidation allowBlank="1" showInputMessage="1" showErrorMessage="1" prompt="This worksheet calculates total sales for each month &amp; year, &amp; total annual sales from different sources. Enter fiscal year starting month in cell F2 &amp; year in cell G2" sqref="A1" xr:uid="{00000000-0002-0000-0000-000012000000}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negative="1" xr2:uid="{00000000-0003-0000-0000-000000000000}">
          <x14:colorSeries theme="5" tint="-0.499984740745262"/>
          <x14:colorNegative theme="0"/>
          <x14:colorAxis rgb="FF000000"/>
          <x14:colorMarkers theme="4" tint="-0.499984740745262"/>
          <x14:colorFirst theme="4" tint="0.39997558519241921"/>
          <x14:colorLast theme="4" tint="0.39997558519241921"/>
          <x14:colorHigh theme="5" tint="-0.499984740745262"/>
          <x14:colorLow theme="5" tint="-0.499984740745262"/>
          <x14:sparklines>
            <x14:sparkline>
              <xm:f>Ingresos!D14:O14</xm:f>
              <xm:sqref>C14</xm:sqref>
            </x14:sparkline>
          </x14:sparklines>
        </x14:sparklineGroup>
        <x14:sparklineGroup lineWeight="1" displayEmptyCellsAs="gap" high="1" low="1" xr2:uid="{00000000-0003-0000-0000-000001000000}">
          <x14:colorSeries theme="5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5" tint="-0.499984740745262"/>
          <x14:colorLow theme="5" tint="-0.499984740745262"/>
          <x14:sparklines>
            <x14:sparkline>
              <xm:f>Ingresos!$D$7:$O$7</xm:f>
              <xm:sqref>C7</xm:sqref>
            </x14:sparkline>
            <x14:sparkline>
              <xm:f>Ingresos!$D$8:$O$8</xm:f>
              <xm:sqref>C8</xm:sqref>
            </x14:sparkline>
            <x14:sparkline>
              <xm:f>Ingresos!$D$9:$O$9</xm:f>
              <xm:sqref>C9</xm:sqref>
            </x14:sparkline>
            <x14:sparkline>
              <xm:f>Ingresos!$D$10:$O$10</xm:f>
              <xm:sqref>C10</xm:sqref>
            </x14:sparkline>
            <x14:sparkline>
              <xm:f>Ingresos!$D$11:$O$11</xm:f>
              <xm:sqref>C11</xm:sqref>
            </x14:sparkline>
            <x14:sparkline>
              <xm:f>Ingresos!$D$12:$O$12</xm:f>
              <xm:sqref>C12</xm:sqref>
            </x14:sparkline>
            <x14:sparkline>
              <xm:f>Ingresos!$D$13:$O$13</xm:f>
              <xm:sqref>C13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A1:AF16"/>
  <sheetViews>
    <sheetView showGridLines="0" zoomScaleNormal="100" workbookViewId="0">
      <pane xSplit="3" ySplit="5" topLeftCell="D6" activePane="bottomRight" state="frozen"/>
      <selection pane="topRight"/>
      <selection pane="bottomLeft"/>
      <selection pane="bottomRight" activeCell="F9" sqref="F9"/>
    </sheetView>
  </sheetViews>
  <sheetFormatPr baseColWidth="10" defaultColWidth="8.83203125" defaultRowHeight="30" customHeight="1" x14ac:dyDescent="0.15"/>
  <cols>
    <col min="1" max="1" width="2.5" customWidth="1"/>
    <col min="2" max="3" width="20.5" style="7" customWidth="1"/>
    <col min="4" max="4" width="12.5" style="7" bestFit="1" customWidth="1"/>
    <col min="5" max="5" width="14.1640625" style="7" bestFit="1" customWidth="1"/>
    <col min="6" max="6" width="12.5" style="7" bestFit="1" customWidth="1"/>
    <col min="7" max="7" width="14.1640625" style="7" bestFit="1" customWidth="1"/>
    <col min="8" max="8" width="12.5" style="7" bestFit="1" customWidth="1"/>
    <col min="9" max="9" width="14.1640625" style="7" bestFit="1" customWidth="1"/>
    <col min="10" max="10" width="11.5" style="7" bestFit="1" customWidth="1"/>
    <col min="11" max="11" width="12.6640625" style="7" bestFit="1" customWidth="1"/>
    <col min="12" max="12" width="13.5" style="7" bestFit="1" customWidth="1"/>
    <col min="13" max="13" width="6.33203125" style="7" bestFit="1" customWidth="1"/>
    <col min="14" max="14" width="6" style="7" bestFit="1" customWidth="1"/>
    <col min="15" max="15" width="6.83203125" style="7" bestFit="1" customWidth="1"/>
    <col min="16" max="16" width="14.1640625" style="7" bestFit="1" customWidth="1"/>
    <col min="17" max="30" width="6.6640625" style="7" bestFit="1" customWidth="1"/>
    <col min="31" max="31" width="2.5" customWidth="1"/>
  </cols>
  <sheetData>
    <row r="1" spans="1:32" ht="38.25" customHeight="1" x14ac:dyDescent="0.15">
      <c r="A1" s="5"/>
      <c r="B1" s="82" t="str">
        <f>Company_Name</f>
        <v>Motoplex Valle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2" s="7" customFormat="1" ht="35.25" customHeight="1" x14ac:dyDescent="0.15">
      <c r="A2" s="5"/>
      <c r="B2" s="100" t="str">
        <f>Projection_Period_Title</f>
        <v>Twelve Month</v>
      </c>
      <c r="C2" s="76"/>
      <c r="D2" s="76"/>
      <c r="E2" s="101" t="s">
        <v>44</v>
      </c>
      <c r="F2" s="102" t="str">
        <f>FYMonthStart</f>
        <v>SEP</v>
      </c>
      <c r="G2" s="102">
        <f>FYStartYear</f>
        <v>2021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2" ht="60" customHeight="1" x14ac:dyDescent="0.15">
      <c r="B3" s="81" t="str">
        <f>Wksht_Title</f>
        <v>Profit &amp; Loss Projection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0"/>
      <c r="Q3" s="20"/>
      <c r="R3" s="20"/>
      <c r="S3" s="20"/>
      <c r="T3" s="20"/>
      <c r="U3" s="20"/>
      <c r="V3" s="20"/>
      <c r="W3" s="20"/>
      <c r="X3" s="22"/>
      <c r="Y3" s="22"/>
      <c r="Z3" s="22"/>
      <c r="AA3" s="22"/>
      <c r="AB3" s="20"/>
      <c r="AC3" s="20"/>
      <c r="AD3" s="20"/>
    </row>
    <row r="4" spans="1:32" s="7" customFormat="1" ht="15" customHeight="1" x14ac:dyDescent="0.15"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  <c r="X4" s="4"/>
      <c r="Y4" s="4"/>
      <c r="Z4" s="4"/>
      <c r="AA4" s="4"/>
      <c r="AB4" s="12"/>
      <c r="AC4" s="12"/>
      <c r="AD4" s="15"/>
    </row>
    <row r="5" spans="1:32" ht="20.25" customHeight="1" x14ac:dyDescent="0.15">
      <c r="D5" s="54" t="str">
        <f>UPPER(TEXT(DATE(FYStartYear,FYMonthNo,1),"mmm-yy"))</f>
        <v>SEP-21</v>
      </c>
      <c r="E5" s="54" t="str">
        <f>UPPER(TEXT(DATE(FYStartYear,FYMonthNo+1,1),"mmm-yy"))</f>
        <v>OCT-21</v>
      </c>
      <c r="F5" s="54" t="str">
        <f>UPPER(TEXT(DATE(FYStartYear,FYMonthNo+2,1),"mmm-yy"))</f>
        <v>NOV-21</v>
      </c>
      <c r="G5" s="54" t="str">
        <f>UPPER(TEXT(DATE(FYStartYear,FYMonthNo+3,1),"mmm-yy"))</f>
        <v>DEC-21</v>
      </c>
      <c r="H5" s="54" t="str">
        <f>UPPER(TEXT(DATE(FYStartYear,FYMonthNo+4,1),"mmm-yy"))</f>
        <v>JAN-22</v>
      </c>
      <c r="I5" s="54" t="str">
        <f>UPPER(TEXT(DATE(FYStartYear,FYMonthNo+5,1),"mmm-yy"))</f>
        <v>FEB-22</v>
      </c>
      <c r="J5" s="54" t="str">
        <f>UPPER(TEXT(DATE(FYStartYear,FYMonthNo+6,1),"mmm-yy"))</f>
        <v>MAR-22</v>
      </c>
      <c r="K5" s="54" t="str">
        <f>UPPER(TEXT(DATE(FYStartYear,FYMonthNo+7,1),"mmm-yy"))</f>
        <v>APR-22</v>
      </c>
      <c r="L5" s="54" t="str">
        <f>UPPER(TEXT(DATE(FYStartYear,FYMonthNo+8,1),"mmm-yy"))</f>
        <v>MAY-22</v>
      </c>
      <c r="M5" s="54" t="str">
        <f>UPPER(TEXT(DATE(FYStartYear,FYMonthNo+9,1),"mmm-yy"))</f>
        <v>JUN-22</v>
      </c>
      <c r="N5" s="54" t="str">
        <f>UPPER(TEXT(DATE(FYStartYear,FYMonthNo+10,1),"mmm-yy"))</f>
        <v>JUL-22</v>
      </c>
      <c r="O5" s="41" t="str">
        <f>UPPER(TEXT(DATE(FYStartYear,FYMonthNo+11,1),"mmm-yy"))</f>
        <v>AUG-22</v>
      </c>
      <c r="P5" s="63" t="s">
        <v>13</v>
      </c>
      <c r="Q5" s="41" t="s">
        <v>12</v>
      </c>
      <c r="R5" s="67" t="str">
        <f>LEFT(D5,3)&amp;" %"</f>
        <v>SEP %</v>
      </c>
      <c r="S5" s="68" t="str">
        <f t="shared" ref="S5:AC5" si="0">LEFT(E5,3)&amp;" %"</f>
        <v>OCT %</v>
      </c>
      <c r="T5" s="68" t="str">
        <f t="shared" si="0"/>
        <v>NOV %</v>
      </c>
      <c r="U5" s="68" t="str">
        <f t="shared" si="0"/>
        <v>DEC %</v>
      </c>
      <c r="V5" s="68" t="str">
        <f t="shared" si="0"/>
        <v>JAN %</v>
      </c>
      <c r="W5" s="68" t="str">
        <f t="shared" si="0"/>
        <v>FEB %</v>
      </c>
      <c r="X5" s="68" t="str">
        <f t="shared" si="0"/>
        <v>MAR %</v>
      </c>
      <c r="Y5" s="68" t="str">
        <f t="shared" si="0"/>
        <v>APR %</v>
      </c>
      <c r="Z5" s="68" t="str">
        <f t="shared" si="0"/>
        <v>MAY %</v>
      </c>
      <c r="AA5" s="68" t="str">
        <f t="shared" si="0"/>
        <v>JUN %</v>
      </c>
      <c r="AB5" s="68" t="str">
        <f t="shared" si="0"/>
        <v>JUL %</v>
      </c>
      <c r="AC5" s="68" t="str">
        <f t="shared" si="0"/>
        <v>AUG %</v>
      </c>
      <c r="AD5" s="69" t="s">
        <v>14</v>
      </c>
      <c r="AE5" s="1"/>
      <c r="AF5" s="1"/>
    </row>
    <row r="6" spans="1:32" ht="30" customHeight="1" x14ac:dyDescent="0.15">
      <c r="B6" s="77" t="s">
        <v>8</v>
      </c>
      <c r="C6" s="78" t="s">
        <v>6</v>
      </c>
      <c r="D6" s="13" t="s">
        <v>41</v>
      </c>
      <c r="E6" s="13" t="s">
        <v>16</v>
      </c>
      <c r="F6" s="13" t="s">
        <v>17</v>
      </c>
      <c r="G6" s="13" t="s">
        <v>18</v>
      </c>
      <c r="H6" s="13" t="s">
        <v>19</v>
      </c>
      <c r="I6" s="13" t="s">
        <v>20</v>
      </c>
      <c r="J6" s="13" t="s">
        <v>21</v>
      </c>
      <c r="K6" s="13" t="s">
        <v>22</v>
      </c>
      <c r="L6" s="13" t="s">
        <v>23</v>
      </c>
      <c r="M6" s="13" t="s">
        <v>24</v>
      </c>
      <c r="N6" s="13" t="s">
        <v>25</v>
      </c>
      <c r="O6" s="13" t="s">
        <v>26</v>
      </c>
      <c r="P6" s="64" t="s">
        <v>0</v>
      </c>
      <c r="Q6" s="13" t="s">
        <v>27</v>
      </c>
      <c r="R6" s="48" t="s">
        <v>28</v>
      </c>
      <c r="S6" s="13" t="s">
        <v>29</v>
      </c>
      <c r="T6" s="13" t="s">
        <v>30</v>
      </c>
      <c r="U6" s="13" t="s">
        <v>31</v>
      </c>
      <c r="V6" s="13" t="s">
        <v>32</v>
      </c>
      <c r="W6" s="13" t="s">
        <v>33</v>
      </c>
      <c r="X6" s="13" t="s">
        <v>34</v>
      </c>
      <c r="Y6" s="13" t="s">
        <v>35</v>
      </c>
      <c r="Z6" s="13" t="s">
        <v>36</v>
      </c>
      <c r="AA6" s="13" t="s">
        <v>37</v>
      </c>
      <c r="AB6" s="13" t="s">
        <v>38</v>
      </c>
      <c r="AC6" s="13" t="s">
        <v>39</v>
      </c>
      <c r="AD6" s="46" t="s">
        <v>40</v>
      </c>
    </row>
    <row r="7" spans="1:32" ht="30" customHeight="1" x14ac:dyDescent="0.15">
      <c r="B7" s="112" t="s">
        <v>46</v>
      </c>
      <c r="C7" s="24"/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41250</v>
      </c>
      <c r="J7" s="16">
        <v>127463.17000000001</v>
      </c>
      <c r="K7" s="16">
        <v>48873</v>
      </c>
      <c r="L7" s="16">
        <v>51426.710000000006</v>
      </c>
      <c r="M7" s="16"/>
      <c r="N7" s="16"/>
      <c r="O7" s="16"/>
      <c r="P7" s="65">
        <f>SUM(CostofSales[[#This Row],[Column1]:[Dec]])</f>
        <v>269012.88</v>
      </c>
      <c r="Q7" s="17">
        <v>0.12</v>
      </c>
      <c r="R7" s="49" t="str">
        <f>IFERROR(CostofSales[[#This Row],[Column1]]/CostofSales[[#Totals],[Column1]],"-")</f>
        <v>-</v>
      </c>
      <c r="S7" s="17">
        <f>IFERROR(CostofSales[[#This Row],[Feb]]/CostofSales[[#Totals],[Feb]],"-")</f>
        <v>0</v>
      </c>
      <c r="T7" s="17" t="str">
        <f>IFERROR(CostofSales[[#This Row],[Mar]]/CostofSales[[#Totals],[Mar]],"-")</f>
        <v>-</v>
      </c>
      <c r="U7" s="17" t="str">
        <f>IFERROR(CostofSales[[#This Row],[Apr]]/CostofSales[[#Totals],[Apr]],"-")</f>
        <v>-</v>
      </c>
      <c r="V7" s="17">
        <f>IFERROR(CostofSales[[#This Row],[May]]/CostofSales[[#Totals],[May]],"-")</f>
        <v>0</v>
      </c>
      <c r="W7" s="17">
        <f>IFERROR(CostofSales[[#This Row],[Jun]]/CostofSales[[#Totals],[Jun]],"-")</f>
        <v>0.13409662759172208</v>
      </c>
      <c r="X7" s="17">
        <f>IFERROR(CostofSales[[#This Row],[Jul]]/CostofSales[[#Totals],[Jul]],"-")</f>
        <v>0.3314019540009096</v>
      </c>
      <c r="Y7" s="17">
        <f>IFERROR(CostofSales[[#This Row],[Aug]]/CostofSales[[#Totals],[Aug]],"-")</f>
        <v>0.14962339742191474</v>
      </c>
      <c r="Z7" s="17">
        <f>IFERROR(CostofSales[[#This Row],[Sep]]/CostofSales[[#Totals],[Sep]],"-")</f>
        <v>0.18918931844482834</v>
      </c>
      <c r="AA7" s="17" t="str">
        <f>IFERROR(CostofSales[[#This Row],[Oct]]/CostofSales[[#Totals],[Oct]],"-")</f>
        <v>-</v>
      </c>
      <c r="AB7" s="17" t="str">
        <f>IFERROR(CostofSales[[#This Row],[Nov]]/CostofSales[[#Totals],[Nov]],"-")</f>
        <v>-</v>
      </c>
      <c r="AC7" s="17" t="str">
        <f>IFERROR(CostofSales[[#This Row],[Dec]]/CostofSales[[#Totals],[Dec]],"-")</f>
        <v>-</v>
      </c>
      <c r="AD7" s="47">
        <f>IFERROR(CostofSales[[#This Row],[Yearly]]/CostofSales[[#Totals],[Yearly]],"-")</f>
        <v>0.16606298767555569</v>
      </c>
    </row>
    <row r="8" spans="1:32" ht="30" customHeight="1" x14ac:dyDescent="0.15">
      <c r="B8" s="112" t="s">
        <v>47</v>
      </c>
      <c r="C8" s="24"/>
      <c r="D8" s="16">
        <v>0</v>
      </c>
      <c r="E8" s="16">
        <v>4620</v>
      </c>
      <c r="F8" s="16">
        <v>0</v>
      </c>
      <c r="G8" s="16">
        <v>0</v>
      </c>
      <c r="H8" s="16">
        <v>0</v>
      </c>
      <c r="I8" s="16">
        <v>4620</v>
      </c>
      <c r="J8" s="16"/>
      <c r="K8" s="16"/>
      <c r="L8" s="16"/>
      <c r="M8" s="16"/>
      <c r="N8" s="16"/>
      <c r="O8" s="16"/>
      <c r="P8" s="65">
        <f>SUM(CostofSales[[#This Row],[Column1]:[Dec]])</f>
        <v>9240</v>
      </c>
      <c r="Q8" s="17">
        <v>0.18</v>
      </c>
      <c r="R8" s="49" t="str">
        <f>IFERROR(CostofSales[[#This Row],[Column1]]/CostofSales[[#Totals],[Column1]],"-")</f>
        <v>-</v>
      </c>
      <c r="S8" s="17">
        <f>IFERROR(CostofSales[[#This Row],[Feb]]/CostofSales[[#Totals],[Feb]],"-")</f>
        <v>2.0531508310372412E-2</v>
      </c>
      <c r="T8" s="17" t="str">
        <f>IFERROR(CostofSales[[#This Row],[Mar]]/CostofSales[[#Totals],[Mar]],"-")</f>
        <v>-</v>
      </c>
      <c r="U8" s="17" t="str">
        <f>IFERROR(CostofSales[[#This Row],[Apr]]/CostofSales[[#Totals],[Apr]],"-")</f>
        <v>-</v>
      </c>
      <c r="V8" s="17">
        <f>IFERROR(CostofSales[[#This Row],[May]]/CostofSales[[#Totals],[May]],"-")</f>
        <v>0</v>
      </c>
      <c r="W8" s="17">
        <f>IFERROR(CostofSales[[#This Row],[Jun]]/CostofSales[[#Totals],[Jun]],"-")</f>
        <v>1.5018822290272875E-2</v>
      </c>
      <c r="X8" s="17">
        <f>IFERROR(CostofSales[[#This Row],[Jul]]/CostofSales[[#Totals],[Jul]],"-")</f>
        <v>0</v>
      </c>
      <c r="Y8" s="17">
        <f>IFERROR(CostofSales[[#This Row],[Aug]]/CostofSales[[#Totals],[Aug]],"-")</f>
        <v>0</v>
      </c>
      <c r="Z8" s="17">
        <f>IFERROR(CostofSales[[#This Row],[Sep]]/CostofSales[[#Totals],[Sep]],"-")</f>
        <v>0</v>
      </c>
      <c r="AA8" s="17" t="str">
        <f>IFERROR(CostofSales[[#This Row],[Oct]]/CostofSales[[#Totals],[Oct]],"-")</f>
        <v>-</v>
      </c>
      <c r="AB8" s="17" t="str">
        <f>IFERROR(CostofSales[[#This Row],[Nov]]/CostofSales[[#Totals],[Nov]],"-")</f>
        <v>-</v>
      </c>
      <c r="AC8" s="17" t="str">
        <f>IFERROR(CostofSales[[#This Row],[Dec]]/CostofSales[[#Totals],[Dec]],"-")</f>
        <v>-</v>
      </c>
      <c r="AD8" s="47">
        <f>IFERROR(CostofSales[[#This Row],[Yearly]]/CostofSales[[#Totals],[Yearly]],"-")</f>
        <v>5.7038979179068845E-3</v>
      </c>
    </row>
    <row r="9" spans="1:32" ht="30" customHeight="1" x14ac:dyDescent="0.15">
      <c r="B9" s="112" t="s">
        <v>53</v>
      </c>
      <c r="C9" s="24"/>
      <c r="D9" s="16">
        <v>0</v>
      </c>
      <c r="E9" s="16">
        <v>220400</v>
      </c>
      <c r="F9" s="16">
        <v>0</v>
      </c>
      <c r="G9" s="16">
        <v>0</v>
      </c>
      <c r="H9" s="16">
        <v>0</v>
      </c>
      <c r="I9" s="16">
        <v>110200</v>
      </c>
      <c r="J9" s="16">
        <v>220400</v>
      </c>
      <c r="K9" s="16">
        <v>220400</v>
      </c>
      <c r="L9" s="16">
        <v>220400</v>
      </c>
      <c r="M9" s="16"/>
      <c r="N9" s="16"/>
      <c r="O9" s="16"/>
      <c r="P9" s="65">
        <f>SUM(CostofSales[[#This Row],[Column1]:[Dec]])</f>
        <v>991800</v>
      </c>
      <c r="Q9" s="17">
        <v>0.19</v>
      </c>
      <c r="R9" s="49" t="str">
        <f>IFERROR(CostofSales[[#This Row],[Column1]]/CostofSales[[#Totals],[Column1]],"-")</f>
        <v>-</v>
      </c>
      <c r="S9" s="17">
        <f>IFERROR(CostofSales[[#This Row],[Feb]]/CostofSales[[#Totals],[Feb]],"-")</f>
        <v>0.97946849168962757</v>
      </c>
      <c r="T9" s="17" t="str">
        <f>IFERROR(CostofSales[[#This Row],[Mar]]/CostofSales[[#Totals],[Mar]],"-")</f>
        <v>-</v>
      </c>
      <c r="U9" s="17" t="str">
        <f>IFERROR(CostofSales[[#This Row],[Apr]]/CostofSales[[#Totals],[Apr]],"-")</f>
        <v>-</v>
      </c>
      <c r="V9" s="17">
        <f>IFERROR(CostofSales[[#This Row],[May]]/CostofSales[[#Totals],[May]],"-")</f>
        <v>0</v>
      </c>
      <c r="W9" s="17">
        <f>IFERROR(CostofSales[[#This Row],[Jun]]/CostofSales[[#Totals],[Jun]],"-")</f>
        <v>0.35824117237837028</v>
      </c>
      <c r="X9" s="17">
        <f>IFERROR(CostofSales[[#This Row],[Jul]]/CostofSales[[#Totals],[Jul]],"-")</f>
        <v>0.57303604375915385</v>
      </c>
      <c r="Y9" s="17">
        <f>IFERROR(CostofSales[[#This Row],[Aug]]/CostofSales[[#Totals],[Aug]],"-")</f>
        <v>0.67474877318335291</v>
      </c>
      <c r="Z9" s="17">
        <f>IFERROR(CostofSales[[#This Row],[Sep]]/CostofSales[[#Totals],[Sep]],"-")</f>
        <v>0.81081068155517166</v>
      </c>
      <c r="AA9" s="17" t="str">
        <f>IFERROR(CostofSales[[#This Row],[Oct]]/CostofSales[[#Totals],[Oct]],"-")</f>
        <v>-</v>
      </c>
      <c r="AB9" s="17" t="str">
        <f>IFERROR(CostofSales[[#This Row],[Nov]]/CostofSales[[#Totals],[Nov]],"-")</f>
        <v>-</v>
      </c>
      <c r="AC9" s="17" t="str">
        <f>IFERROR(CostofSales[[#This Row],[Dec]]/CostofSales[[#Totals],[Dec]],"-")</f>
        <v>-</v>
      </c>
      <c r="AD9" s="47">
        <f>IFERROR(CostofSales[[#This Row],[Yearly]]/CostofSales[[#Totals],[Yearly]],"-")</f>
        <v>0.61224306872078438</v>
      </c>
    </row>
    <row r="10" spans="1:32" ht="30" customHeight="1" x14ac:dyDescent="0.15">
      <c r="B10" s="112" t="s">
        <v>54</v>
      </c>
      <c r="C10" s="24"/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13614.39</v>
      </c>
      <c r="K10" s="16">
        <v>4176</v>
      </c>
      <c r="L10" s="16"/>
      <c r="M10" s="16"/>
      <c r="N10" s="16"/>
      <c r="O10" s="16"/>
      <c r="P10" s="65">
        <f>SUM(CostofSales[[#This Row],[Column1]:[Dec]])</f>
        <v>17790.39</v>
      </c>
      <c r="Q10" s="17">
        <v>0.11</v>
      </c>
      <c r="R10" s="49" t="str">
        <f>IFERROR(CostofSales[[#This Row],[Column1]]/CostofSales[[#Totals],[Column1]],"-")</f>
        <v>-</v>
      </c>
      <c r="S10" s="17">
        <f>IFERROR(CostofSales[[#This Row],[Feb]]/CostofSales[[#Totals],[Feb]],"-")</f>
        <v>0</v>
      </c>
      <c r="T10" s="17" t="str">
        <f>IFERROR(CostofSales[[#This Row],[Mar]]/CostofSales[[#Totals],[Mar]],"-")</f>
        <v>-</v>
      </c>
      <c r="U10" s="17" t="str">
        <f>IFERROR(CostofSales[[#This Row],[Apr]]/CostofSales[[#Totals],[Apr]],"-")</f>
        <v>-</v>
      </c>
      <c r="V10" s="17">
        <f>IFERROR(CostofSales[[#This Row],[May]]/CostofSales[[#Totals],[May]],"-")</f>
        <v>0</v>
      </c>
      <c r="W10" s="17">
        <f>IFERROR(CostofSales[[#This Row],[Jun]]/CostofSales[[#Totals],[Jun]],"-")</f>
        <v>0</v>
      </c>
      <c r="X10" s="17">
        <f>IFERROR(CostofSales[[#This Row],[Jul]]/CostofSales[[#Totals],[Jul]],"-")</f>
        <v>3.5397169617940955E-2</v>
      </c>
      <c r="Y10" s="17">
        <f>IFERROR(CostofSales[[#This Row],[Aug]]/CostofSales[[#Totals],[Aug]],"-")</f>
        <v>1.2784713597158265E-2</v>
      </c>
      <c r="Z10" s="17">
        <f>IFERROR(CostofSales[[#This Row],[Sep]]/CostofSales[[#Totals],[Sep]],"-")</f>
        <v>0</v>
      </c>
      <c r="AA10" s="17" t="str">
        <f>IFERROR(CostofSales[[#This Row],[Oct]]/CostofSales[[#Totals],[Oct]],"-")</f>
        <v>-</v>
      </c>
      <c r="AB10" s="17" t="str">
        <f>IFERROR(CostofSales[[#This Row],[Nov]]/CostofSales[[#Totals],[Nov]],"-")</f>
        <v>-</v>
      </c>
      <c r="AC10" s="17" t="str">
        <f>IFERROR(CostofSales[[#This Row],[Dec]]/CostofSales[[#Totals],[Dec]],"-")</f>
        <v>-</v>
      </c>
      <c r="AD10" s="47">
        <f>IFERROR(CostofSales[[#This Row],[Yearly]]/CostofSales[[#Totals],[Yearly]],"-")</f>
        <v>1.0982096155817257E-2</v>
      </c>
    </row>
    <row r="11" spans="1:32" ht="30" customHeight="1" x14ac:dyDescent="0.15">
      <c r="B11" s="112" t="s">
        <v>55</v>
      </c>
      <c r="C11" s="24"/>
      <c r="D11" s="16">
        <v>0</v>
      </c>
      <c r="E11" s="16">
        <v>0</v>
      </c>
      <c r="F11" s="16">
        <v>0</v>
      </c>
      <c r="G11" s="16">
        <v>0</v>
      </c>
      <c r="H11" s="16">
        <v>29928</v>
      </c>
      <c r="I11" s="16">
        <v>102544</v>
      </c>
      <c r="J11" s="16"/>
      <c r="K11" s="16">
        <v>52316</v>
      </c>
      <c r="L11" s="16"/>
      <c r="M11" s="16"/>
      <c r="N11" s="16"/>
      <c r="O11" s="16"/>
      <c r="P11" s="65">
        <f>SUM(CostofSales[[#This Row],[Column1]:[Dec]])</f>
        <v>184788</v>
      </c>
      <c r="Q11" s="17">
        <v>0.2</v>
      </c>
      <c r="R11" s="49" t="str">
        <f>IFERROR(CostofSales[[#This Row],[Column1]]/CostofSales[[#Totals],[Column1]],"-")</f>
        <v>-</v>
      </c>
      <c r="S11" s="17">
        <f>IFERROR(CostofSales[[#This Row],[Feb]]/CostofSales[[#Totals],[Feb]],"-")</f>
        <v>0</v>
      </c>
      <c r="T11" s="17" t="str">
        <f>IFERROR(CostofSales[[#This Row],[Mar]]/CostofSales[[#Totals],[Mar]],"-")</f>
        <v>-</v>
      </c>
      <c r="U11" s="17" t="str">
        <f>IFERROR(CostofSales[[#This Row],[Apr]]/CostofSales[[#Totals],[Apr]],"-")</f>
        <v>-</v>
      </c>
      <c r="V11" s="17">
        <f>IFERROR(CostofSales[[#This Row],[May]]/CostofSales[[#Totals],[May]],"-")</f>
        <v>0.28714524207011688</v>
      </c>
      <c r="W11" s="17">
        <f>IFERROR(CostofSales[[#This Row],[Jun]]/CostofSales[[#Totals],[Jun]],"-")</f>
        <v>0.33335283829734669</v>
      </c>
      <c r="X11" s="17">
        <f>IFERROR(CostofSales[[#This Row],[Jul]]/CostofSales[[#Totals],[Jul]],"-")</f>
        <v>0</v>
      </c>
      <c r="Y11" s="17">
        <f>IFERROR(CostofSales[[#This Row],[Aug]]/CostofSales[[#Totals],[Aug]],"-")</f>
        <v>0.16016405089773272</v>
      </c>
      <c r="Z11" s="17">
        <f>IFERROR(CostofSales[[#This Row],[Sep]]/CostofSales[[#Totals],[Sep]],"-")</f>
        <v>0</v>
      </c>
      <c r="AA11" s="17" t="str">
        <f>IFERROR(CostofSales[[#This Row],[Oct]]/CostofSales[[#Totals],[Oct]],"-")</f>
        <v>-</v>
      </c>
      <c r="AB11" s="17" t="str">
        <f>IFERROR(CostofSales[[#This Row],[Nov]]/CostofSales[[#Totals],[Nov]],"-")</f>
        <v>-</v>
      </c>
      <c r="AC11" s="17" t="str">
        <f>IFERROR(CostofSales[[#This Row],[Dec]]/CostofSales[[#Totals],[Dec]],"-")</f>
        <v>-</v>
      </c>
      <c r="AD11" s="47">
        <f>IFERROR(CostofSales[[#This Row],[Yearly]]/CostofSales[[#Totals],[Yearly]],"-")</f>
        <v>0.11407055069850404</v>
      </c>
    </row>
    <row r="12" spans="1:32" ht="30" customHeight="1" x14ac:dyDescent="0.15">
      <c r="B12" s="112" t="s">
        <v>56</v>
      </c>
      <c r="C12" s="24"/>
      <c r="D12" s="16">
        <v>0</v>
      </c>
      <c r="E12" s="16">
        <v>0</v>
      </c>
      <c r="F12" s="16">
        <v>0</v>
      </c>
      <c r="G12" s="16">
        <v>0</v>
      </c>
      <c r="H12" s="16">
        <v>74298</v>
      </c>
      <c r="I12" s="16">
        <v>49000</v>
      </c>
      <c r="J12" s="16">
        <v>23140.48</v>
      </c>
      <c r="K12" s="16"/>
      <c r="L12" s="16"/>
      <c r="M12" s="16"/>
      <c r="N12" s="16"/>
      <c r="O12" s="16"/>
      <c r="P12" s="65">
        <f>SUM(CostofSales[[#This Row],[Column1]:[Dec]])</f>
        <v>146438.48000000001</v>
      </c>
      <c r="Q12" s="17">
        <v>0.1</v>
      </c>
      <c r="R12" s="49" t="str">
        <f>IFERROR(CostofSales[[#This Row],[Column1]]/CostofSales[[#Totals],[Column1]],"-")</f>
        <v>-</v>
      </c>
      <c r="S12" s="17">
        <f>IFERROR(CostofSales[[#This Row],[Feb]]/CostofSales[[#Totals],[Feb]],"-")</f>
        <v>0</v>
      </c>
      <c r="T12" s="17" t="str">
        <f>IFERROR(CostofSales[[#This Row],[Mar]]/CostofSales[[#Totals],[Mar]],"-")</f>
        <v>-</v>
      </c>
      <c r="U12" s="17" t="str">
        <f>IFERROR(CostofSales[[#This Row],[Apr]]/CostofSales[[#Totals],[Apr]],"-")</f>
        <v>-</v>
      </c>
      <c r="V12" s="17">
        <f>IFERROR(CostofSales[[#This Row],[May]]/CostofSales[[#Totals],[May]],"-")</f>
        <v>0.71285475792988318</v>
      </c>
      <c r="W12" s="17">
        <f>IFERROR(CostofSales[[#This Row],[Jun]]/CostofSales[[#Totals],[Jun]],"-")</f>
        <v>0.15929053944228808</v>
      </c>
      <c r="X12" s="17">
        <f>IFERROR(CostofSales[[#This Row],[Jul]]/CostofSales[[#Totals],[Jul]],"-")</f>
        <v>6.0164832621995568E-2</v>
      </c>
      <c r="Y12" s="17">
        <f>IFERROR(CostofSales[[#This Row],[Aug]]/CostofSales[[#Totals],[Aug]],"-")</f>
        <v>0</v>
      </c>
      <c r="Z12" s="17">
        <f>IFERROR(CostofSales[[#This Row],[Sep]]/CostofSales[[#Totals],[Sep]],"-")</f>
        <v>0</v>
      </c>
      <c r="AA12" s="17" t="str">
        <f>IFERROR(CostofSales[[#This Row],[Oct]]/CostofSales[[#Totals],[Oct]],"-")</f>
        <v>-</v>
      </c>
      <c r="AB12" s="17" t="str">
        <f>IFERROR(CostofSales[[#This Row],[Nov]]/CostofSales[[#Totals],[Nov]],"-")</f>
        <v>-</v>
      </c>
      <c r="AC12" s="17" t="str">
        <f>IFERROR(CostofSales[[#This Row],[Dec]]/CostofSales[[#Totals],[Dec]],"-")</f>
        <v>-</v>
      </c>
      <c r="AD12" s="47">
        <f>IFERROR(CostofSales[[#This Row],[Yearly]]/CostofSales[[#Totals],[Yearly]],"-")</f>
        <v>9.0397201425697946E-2</v>
      </c>
    </row>
    <row r="13" spans="1:32" ht="30" customHeight="1" x14ac:dyDescent="0.15">
      <c r="A13" s="2"/>
      <c r="B13" s="23" t="s">
        <v>75</v>
      </c>
      <c r="C13" s="24"/>
      <c r="D13" s="16"/>
      <c r="E13" s="16"/>
      <c r="F13" s="16"/>
      <c r="G13" s="16"/>
      <c r="H13" s="16"/>
      <c r="I13" s="16"/>
      <c r="J13" s="16"/>
      <c r="K13" s="16">
        <v>875.09</v>
      </c>
      <c r="L13" s="16"/>
      <c r="M13" s="16"/>
      <c r="N13" s="16"/>
      <c r="O13" s="16"/>
      <c r="P13" s="65">
        <f>SUM(CostofSales[[#This Row],[Column1]:[Dec]])</f>
        <v>875.09</v>
      </c>
      <c r="Q13" s="17">
        <v>0.1</v>
      </c>
      <c r="R13" s="49" t="str">
        <f>IFERROR(CostofSales[[#This Row],[Column1]]/CostofSales[[#Totals],[Column1]],"-")</f>
        <v>-</v>
      </c>
      <c r="S13" s="17">
        <f>IFERROR(CostofSales[[#This Row],[Feb]]/CostofSales[[#Totals],[Feb]],"-")</f>
        <v>0</v>
      </c>
      <c r="T13" s="17" t="str">
        <f>IFERROR(CostofSales[[#This Row],[Mar]]/CostofSales[[#Totals],[Mar]],"-")</f>
        <v>-</v>
      </c>
      <c r="U13" s="17" t="str">
        <f>IFERROR(CostofSales[[#This Row],[Apr]]/CostofSales[[#Totals],[Apr]],"-")</f>
        <v>-</v>
      </c>
      <c r="V13" s="17">
        <f>IFERROR(CostofSales[[#This Row],[May]]/CostofSales[[#Totals],[May]],"-")</f>
        <v>0</v>
      </c>
      <c r="W13" s="17">
        <f>IFERROR(CostofSales[[#This Row],[Jun]]/CostofSales[[#Totals],[Jun]],"-")</f>
        <v>0</v>
      </c>
      <c r="X13" s="17">
        <f>IFERROR(CostofSales[[#This Row],[Jul]]/CostofSales[[#Totals],[Jul]],"-")</f>
        <v>0</v>
      </c>
      <c r="Y13" s="17">
        <f>IFERROR(CostofSales[[#This Row],[Aug]]/CostofSales[[#Totals],[Aug]],"-")</f>
        <v>2.6790648998412901E-3</v>
      </c>
      <c r="Z13" s="17">
        <f>IFERROR(CostofSales[[#This Row],[Sep]]/CostofSales[[#Totals],[Sep]],"-")</f>
        <v>0</v>
      </c>
      <c r="AA13" s="17" t="str">
        <f>IFERROR(CostofSales[[#This Row],[Oct]]/CostofSales[[#Totals],[Oct]],"-")</f>
        <v>-</v>
      </c>
      <c r="AB13" s="17" t="str">
        <f>IFERROR(CostofSales[[#This Row],[Nov]]/CostofSales[[#Totals],[Nov]],"-")</f>
        <v>-</v>
      </c>
      <c r="AC13" s="17" t="str">
        <f>IFERROR(CostofSales[[#This Row],[Dec]]/CostofSales[[#Totals],[Dec]],"-")</f>
        <v>-</v>
      </c>
      <c r="AD13" s="47">
        <f>IFERROR(CostofSales[[#This Row],[Yearly]]/CostofSales[[#Totals],[Yearly]],"-")</f>
        <v>5.4019740573388916E-4</v>
      </c>
    </row>
    <row r="14" spans="1:32" ht="30" customHeight="1" x14ac:dyDescent="0.15">
      <c r="A14" s="8"/>
      <c r="B14" s="45" t="s">
        <v>9</v>
      </c>
      <c r="C14" s="14"/>
      <c r="D14" s="18">
        <f>SUBTOTAL(109,CostofSales[Column1])</f>
        <v>0</v>
      </c>
      <c r="E14" s="18">
        <f>SUBTOTAL(109,CostofSales[Feb])</f>
        <v>225020</v>
      </c>
      <c r="F14" s="18">
        <f>SUBTOTAL(109,CostofSales[Mar])</f>
        <v>0</v>
      </c>
      <c r="G14" s="18">
        <f>SUBTOTAL(109,CostofSales[Apr])</f>
        <v>0</v>
      </c>
      <c r="H14" s="18">
        <f>SUBTOTAL(109,CostofSales[May])</f>
        <v>104226</v>
      </c>
      <c r="I14" s="18">
        <f>SUBTOTAL(109,CostofSales[Jun])</f>
        <v>307614</v>
      </c>
      <c r="J14" s="18">
        <f>SUBTOTAL(109,CostofSales[Jul])</f>
        <v>384618.04000000004</v>
      </c>
      <c r="K14" s="18">
        <f>SUBTOTAL(109,CostofSales[Aug])</f>
        <v>326640.09000000003</v>
      </c>
      <c r="L14" s="18">
        <f>SUBTOTAL(109,CostofSales[Sep])</f>
        <v>271826.71000000002</v>
      </c>
      <c r="M14" s="18">
        <f>SUBTOTAL(109,CostofSales[Oct])</f>
        <v>0</v>
      </c>
      <c r="N14" s="18">
        <f>SUBTOTAL(109,CostofSales[Nov])</f>
        <v>0</v>
      </c>
      <c r="O14" s="18">
        <f>SUBTOTAL(109,CostofSales[Dec])</f>
        <v>0</v>
      </c>
      <c r="P14" s="66">
        <f>SUBTOTAL(109,CostofSales[Yearly])</f>
        <v>1619944.8399999999</v>
      </c>
      <c r="Q14" s="19">
        <f>SUBTOTAL(109,CostofSales[Index %])</f>
        <v>1</v>
      </c>
      <c r="R14" s="50">
        <f>SUBTOTAL(109,CostofSales[Jan %])</f>
        <v>0</v>
      </c>
      <c r="S14" s="51">
        <f>SUBTOTAL(109,CostofSales[Feb %])</f>
        <v>1</v>
      </c>
      <c r="T14" s="51">
        <f>SUBTOTAL(109,CostofSales[Mar %])</f>
        <v>0</v>
      </c>
      <c r="U14" s="51">
        <f>SUBTOTAL(109,CostofSales[Apr %])</f>
        <v>0</v>
      </c>
      <c r="V14" s="51">
        <f>SUBTOTAL(109,CostofSales[May %])</f>
        <v>1</v>
      </c>
      <c r="W14" s="51">
        <f>SUBTOTAL(109,CostofSales[Jun %])</f>
        <v>1</v>
      </c>
      <c r="X14" s="51">
        <f>SUBTOTAL(109,CostofSales[Jul %])</f>
        <v>0.99999999999999989</v>
      </c>
      <c r="Y14" s="51">
        <f>SUBTOTAL(109,CostofSales[Aug %])</f>
        <v>0.99999999999999989</v>
      </c>
      <c r="Z14" s="51">
        <f>SUBTOTAL(109,CostofSales[Sep %])</f>
        <v>1</v>
      </c>
      <c r="AA14" s="51">
        <f>SUBTOTAL(109,CostofSales[Oct %])</f>
        <v>0</v>
      </c>
      <c r="AB14" s="51">
        <f>SUBTOTAL(109,CostofSales[Nov %])</f>
        <v>0</v>
      </c>
      <c r="AC14" s="51">
        <f>SUBTOTAL(109,CostofSales[Dec %])</f>
        <v>0</v>
      </c>
      <c r="AD14" s="53">
        <f>SUBTOTAL(109,CostofSales[Year %])</f>
        <v>1</v>
      </c>
    </row>
    <row r="15" spans="1:32" ht="10" customHeight="1" x14ac:dyDescent="0.15">
      <c r="AE15" s="52"/>
      <c r="AF15" s="52"/>
    </row>
    <row r="16" spans="1:32" ht="25.5" customHeight="1" x14ac:dyDescent="0.15">
      <c r="B16" s="75" t="s">
        <v>1</v>
      </c>
      <c r="C16" s="9"/>
      <c r="D16" s="73">
        <f>Revenue[[#Totals],[Jan]]-CostofSales[[#Totals],[Column1]]</f>
        <v>480000</v>
      </c>
      <c r="E16" s="73">
        <f>Revenue[[#Totals],[Feb]]-CostofSales[[#Totals],[Feb]]</f>
        <v>424980</v>
      </c>
      <c r="F16" s="73">
        <f>Revenue[[#Totals],[Mar]]-CostofSales[[#Totals],[Mar]]</f>
        <v>470000</v>
      </c>
      <c r="G16" s="73">
        <f>Revenue[[#Totals],[Apr]]-CostofSales[[#Totals],[Apr]]</f>
        <v>106000</v>
      </c>
      <c r="H16" s="73">
        <f>Revenue[[#Totals],[May]]-CostofSales[[#Totals],[May]]</f>
        <v>37246</v>
      </c>
      <c r="I16" s="73">
        <f>Revenue[[#Totals],[Jun]]-CostofSales[[#Totals],[Jun]]</f>
        <v>453015.43000000005</v>
      </c>
      <c r="J16" s="73">
        <f>Revenue[[#Totals],[Jul]]-CostofSales[[#Totals],[Jul]]</f>
        <v>26495.979999999981</v>
      </c>
      <c r="K16" s="73">
        <f>Revenue[[#Totals],[Aug]]-CostofSales[[#Totals],[Aug]]</f>
        <v>-196360.09000000003</v>
      </c>
      <c r="L16" s="73">
        <f>Revenue[[#Totals],[Sep]]-CostofSales[[#Totals],[Sep]]</f>
        <v>-255131.97000000003</v>
      </c>
      <c r="M16" s="73">
        <f>Revenue[[#Totals],[Oct]]-CostofSales[[#Totals],[Oct]]</f>
        <v>0</v>
      </c>
      <c r="N16" s="73">
        <f>Revenue[[#Totals],[Nov]]-CostofSales[[#Totals],[Nov]]</f>
        <v>0</v>
      </c>
      <c r="O16" s="73">
        <f>Revenue[[#Totals],[Dec]]-CostofSales[[#Totals],[Dec]]</f>
        <v>0</v>
      </c>
      <c r="P16" s="73">
        <f>Revenue[[#Totals],[Yearly]]-CostofSales[[#Totals],[Yearly]]</f>
        <v>1546245.35</v>
      </c>
      <c r="Q16" s="72"/>
      <c r="R16" s="74">
        <f>D16/$P$16</f>
        <v>0.31042938948854398</v>
      </c>
      <c r="S16" s="74">
        <f t="shared" ref="S16:AC16" si="1">E16/$P$16</f>
        <v>0.27484642071841958</v>
      </c>
      <c r="T16" s="74">
        <f t="shared" si="1"/>
        <v>0.30396211054086597</v>
      </c>
      <c r="U16" s="74">
        <f t="shared" si="1"/>
        <v>6.8553156845386792E-2</v>
      </c>
      <c r="V16" s="74">
        <f t="shared" si="1"/>
        <v>2.4088027168521476E-2</v>
      </c>
      <c r="W16" s="74">
        <f t="shared" si="1"/>
        <v>0.29297771534122968</v>
      </c>
      <c r="X16" s="74">
        <f t="shared" si="1"/>
        <v>1.7135689365209719E-2</v>
      </c>
      <c r="Y16" s="74">
        <f t="shared" si="1"/>
        <v>-0.12699154762211573</v>
      </c>
      <c r="Z16" s="74">
        <f t="shared" si="1"/>
        <v>-0.1650009618460615</v>
      </c>
      <c r="AA16" s="74">
        <f t="shared" si="1"/>
        <v>0</v>
      </c>
      <c r="AB16" s="74">
        <f t="shared" si="1"/>
        <v>0</v>
      </c>
      <c r="AC16" s="74">
        <f t="shared" si="1"/>
        <v>0</v>
      </c>
      <c r="AD16" s="74">
        <f>P16/$P$16</f>
        <v>1</v>
      </c>
    </row>
  </sheetData>
  <dataValidations count="18">
    <dataValidation allowBlank="1" showInputMessage="1" showErrorMessage="1" prompt="Gross profit for each month and year is automatically calculated in this row based on total sales &amp; total costs of sales" sqref="B16" xr:uid="{00000000-0002-0000-0100-000000000000}"/>
    <dataValidation allowBlank="1" showInputMessage="1" showErrorMessage="1" prompt="This worksheet calculates total cost of sales for each month &amp; year, &amp; annual costs of sales for items. Based on entries, gross profit is automatically calculated" sqref="A1:A2" xr:uid="{00000000-0002-0000-0100-000001000000}"/>
    <dataValidation allowBlank="1" showInputMessage="1" showErrorMessage="1" prompt="Automatically updated title from Revenue (Sales) worksheet. Enter values in the Cost of Sales table below to calculate total costs of sales" sqref="B3:B4" xr:uid="{00000000-0002-0000-0100-000002000000}"/>
    <dataValidation allowBlank="1" showInputMessage="1" showErrorMessage="1" prompt="Month &amp; year are automatically updated in cells at right. To change month or year, modify cells AC2 and AD2 in Revenue (Sales) worksheet" sqref="E2" xr:uid="{00000000-0002-0000-0100-000003000000}"/>
    <dataValidation allowBlank="1" showInputMessage="1" showErrorMessage="1" prompt="Enter index percent in this column" sqref="Q6" xr:uid="{00000000-0002-0000-0100-000004000000}"/>
    <dataValidation allowBlank="1" showInputMessage="1" showErrorMessage="1" prompt="Enter cost of the sources listed in column B, in this column" sqref="D6:O6" xr:uid="{00000000-0002-0000-0100-000005000000}"/>
    <dataValidation allowBlank="1" showInputMessage="1" showErrorMessage="1" prompt="A trend chart for costs over time is in this column" sqref="C6" xr:uid="{00000000-0002-0000-0100-000006000000}"/>
    <dataValidation allowBlank="1" showInputMessage="1" showErrorMessage="1" prompt="Enter cost of sales in this column" sqref="B6" xr:uid="{00000000-0002-0000-0100-000007000000}"/>
    <dataValidation allowBlank="1" showInputMessage="1" showErrorMessage="1" prompt="Automatically calculates proportion of cost of sales from different sources to total sales for the year in this column" sqref="AD5" xr:uid="{00000000-0002-0000-0100-000008000000}"/>
    <dataValidation allowBlank="1" showInputMessage="1" showErrorMessage="1" prompt="Automatically calculates proportion of cost of sales from different sources to total sales in this column, for the month in this cell" sqref="R5:AC5" xr:uid="{00000000-0002-0000-0100-000009000000}"/>
    <dataValidation allowBlank="1" showInputMessage="1" showErrorMessage="1" prompt="Automatically updated month" sqref="E5:O5" xr:uid="{00000000-0002-0000-0100-00000A000000}"/>
    <dataValidation allowBlank="1" showInputMessage="1" showErrorMessage="1" prompt="The dates in this row are automatically updated based on the starting month of fiscal year. To change starting month, modify cell AC2 in Revenues (Sales) sheet" sqref="D5" xr:uid="{00000000-0002-0000-0100-00000B000000}"/>
    <dataValidation allowBlank="1" showInputMessage="1" showErrorMessage="1" prompt="Annual Cost is automatically calculated in this column" sqref="P5" xr:uid="{00000000-0002-0000-0100-00000C000000}"/>
    <dataValidation allowBlank="1" showInputMessage="1" showErrorMessage="1" prompt="Index percent is in this column" sqref="Q5" xr:uid="{00000000-0002-0000-0100-00000D000000}"/>
    <dataValidation allowBlank="1" showInputMessage="1" showErrorMessage="1" prompt="Automatically updated month. To change, modify cell AC2 in Revenues (Sales) worksheet" sqref="F2" xr:uid="{00000000-0002-0000-0100-00000E000000}"/>
    <dataValidation allowBlank="1" showInputMessage="1" showErrorMessage="1" prompt="Automatically updated year. To change, modify cell AD2 in Revenues (Sales) worksheet" sqref="G2" xr:uid="{00000000-0002-0000-0100-00000F000000}"/>
    <dataValidation allowBlank="1" showInputMessage="1" showErrorMessage="1" prompt="This cell is automatically updated from the projection period title in Revenue (Sales) worksheet" sqref="B2" xr:uid="{00000000-0002-0000-0100-000010000000}"/>
    <dataValidation allowBlank="1" showInputMessage="1" showErrorMessage="1" prompt="Company name is automatically updated using the entry from Revenue (Sales) worksheet" sqref="AD2 B1" xr:uid="{00000000-0002-0000-0100-000011000000}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1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'Costo de ventas'!D14:O14</xm:f>
              <xm:sqref>C14</xm:sqref>
            </x14:sparkline>
          </x14:sparklines>
        </x14:sparklineGroup>
        <x14:sparklineGroup lineWeight="1" displayEmptyCellsAs="gap" high="1" low="1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'Costo de ventas'!D7:O7</xm:f>
              <xm:sqref>C7</xm:sqref>
            </x14:sparkline>
            <x14:sparkline>
              <xm:f>'Costo de ventas'!D8:O8</xm:f>
              <xm:sqref>C8</xm:sqref>
            </x14:sparkline>
            <x14:sparkline>
              <xm:f>'Costo de ventas'!D9:O9</xm:f>
              <xm:sqref>C9</xm:sqref>
            </x14:sparkline>
            <x14:sparkline>
              <xm:f>'Costo de ventas'!D10:O10</xm:f>
              <xm:sqref>C10</xm:sqref>
            </x14:sparkline>
            <x14:sparkline>
              <xm:f>'Costo de ventas'!D11:O11</xm:f>
              <xm:sqref>C11</xm:sqref>
            </x14:sparkline>
            <x14:sparkline>
              <xm:f>'Costo de ventas'!D12:O12</xm:f>
              <xm:sqref>C12</xm:sqref>
            </x14:sparkline>
            <x14:sparkline>
              <xm:f>'Costo de ventas'!D13:O13</xm:f>
              <xm:sqref>C13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  <pageSetUpPr fitToPage="1"/>
  </sheetPr>
  <dimension ref="A1:AF28"/>
  <sheetViews>
    <sheetView showGridLines="0" zoomScaleNormal="100" workbookViewId="0">
      <pane xSplit="3" ySplit="5" topLeftCell="D6" activePane="bottomRight" state="frozen"/>
      <selection pane="topRight"/>
      <selection pane="bottomLeft"/>
      <selection pane="bottomRight" activeCell="J26" sqref="J26"/>
    </sheetView>
  </sheetViews>
  <sheetFormatPr baseColWidth="10" defaultColWidth="8.83203125" defaultRowHeight="30" customHeight="1" x14ac:dyDescent="0.15"/>
  <cols>
    <col min="1" max="1" width="2.5" customWidth="1"/>
    <col min="2" max="2" width="38.83203125" bestFit="1" customWidth="1"/>
    <col min="3" max="3" width="7" bestFit="1" customWidth="1"/>
    <col min="4" max="4" width="12" bestFit="1" customWidth="1"/>
    <col min="5" max="5" width="12.1640625" bestFit="1" customWidth="1"/>
    <col min="6" max="6" width="12" bestFit="1" customWidth="1"/>
    <col min="7" max="7" width="11.1640625" bestFit="1" customWidth="1"/>
    <col min="8" max="9" width="10.83203125" bestFit="1" customWidth="1"/>
    <col min="10" max="12" width="12.6640625" bestFit="1" customWidth="1"/>
    <col min="13" max="13" width="6.33203125" bestFit="1" customWidth="1"/>
    <col min="14" max="14" width="6.83203125" bestFit="1" customWidth="1"/>
    <col min="15" max="15" width="6.1640625" bestFit="1" customWidth="1"/>
    <col min="16" max="16" width="13.5" bestFit="1" customWidth="1"/>
    <col min="17" max="17" width="7.6640625" customWidth="1"/>
    <col min="18" max="18" width="7.83203125" bestFit="1" customWidth="1"/>
    <col min="19" max="19" width="7.6640625" bestFit="1" customWidth="1"/>
    <col min="20" max="20" width="7.1640625" bestFit="1" customWidth="1"/>
    <col min="21" max="21" width="7.6640625" bestFit="1" customWidth="1"/>
    <col min="22" max="22" width="7.1640625" bestFit="1" customWidth="1"/>
    <col min="23" max="23" width="7.6640625" bestFit="1" customWidth="1"/>
    <col min="24" max="24" width="7.1640625" bestFit="1" customWidth="1"/>
    <col min="25" max="30" width="8.1640625" bestFit="1" customWidth="1"/>
    <col min="31" max="31" width="2.5" customWidth="1"/>
  </cols>
  <sheetData>
    <row r="1" spans="1:30" ht="38.25" customHeight="1" x14ac:dyDescent="0.15">
      <c r="A1" s="5"/>
      <c r="B1" s="82" t="str">
        <f>Company_Name</f>
        <v>Motoplex Valle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s="7" customFormat="1" ht="35.25" customHeight="1" x14ac:dyDescent="0.15">
      <c r="A2" s="5"/>
      <c r="B2" s="103" t="str">
        <f>Projection_Period_Title</f>
        <v>Twelve Month</v>
      </c>
      <c r="C2" s="104"/>
      <c r="D2" s="104"/>
      <c r="E2" s="105" t="s">
        <v>44</v>
      </c>
      <c r="F2" s="106" t="str">
        <f>FYMonthStart</f>
        <v>SEP</v>
      </c>
      <c r="G2" s="106">
        <f>FYStartYear</f>
        <v>2021</v>
      </c>
      <c r="J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11"/>
    </row>
    <row r="3" spans="1:30" ht="60" customHeight="1" x14ac:dyDescent="0.15">
      <c r="B3" s="81" t="str">
        <f>Ingresos!$B$3</f>
        <v>Profit &amp; Loss Projection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0"/>
      <c r="Q3" s="20"/>
      <c r="R3" s="20"/>
      <c r="S3" s="20"/>
      <c r="T3" s="20"/>
      <c r="U3" s="20"/>
      <c r="V3" s="20"/>
      <c r="W3" s="20"/>
      <c r="X3" s="22"/>
      <c r="Y3" s="22"/>
      <c r="Z3" s="22"/>
      <c r="AA3" s="22"/>
      <c r="AB3" s="20"/>
      <c r="AC3" s="20"/>
      <c r="AD3" s="20"/>
    </row>
    <row r="4" spans="1:30" s="7" customFormat="1" ht="15" customHeight="1" x14ac:dyDescent="0.15">
      <c r="B4" s="55"/>
      <c r="C4" s="1"/>
      <c r="D4" s="3"/>
      <c r="E4" s="3"/>
      <c r="F4" s="3"/>
      <c r="G4" s="3"/>
      <c r="K4" s="3"/>
      <c r="L4" s="3"/>
      <c r="M4" s="3"/>
      <c r="N4" s="3"/>
      <c r="O4" s="3"/>
      <c r="X4" s="4"/>
      <c r="Y4" s="4"/>
    </row>
    <row r="5" spans="1:30" ht="20.25" customHeight="1" x14ac:dyDescent="0.15">
      <c r="D5" s="80" t="str">
        <f>UPPER(TEXT(DATE(FYStartYear,FYMonthNo,1),"mmm-yy"))</f>
        <v>SEP-21</v>
      </c>
      <c r="E5" s="80" t="str">
        <f>UPPER(TEXT(DATE(FYStartYear,FYMonthNo+1,1),"mmm-yy"))</f>
        <v>OCT-21</v>
      </c>
      <c r="F5" s="80" t="str">
        <f>UPPER(TEXT(DATE(FYStartYear,FYMonthNo+2,1),"mmm-yy"))</f>
        <v>NOV-21</v>
      </c>
      <c r="G5" s="80" t="str">
        <f>UPPER(TEXT(DATE(FYStartYear,FYMonthNo+3,1),"mmm-yy"))</f>
        <v>DEC-21</v>
      </c>
      <c r="H5" s="80" t="str">
        <f>UPPER(TEXT(DATE(FYStartYear,FYMonthNo+4,1),"mmm-yy"))</f>
        <v>JAN-22</v>
      </c>
      <c r="I5" s="80" t="str">
        <f>UPPER(TEXT(DATE(FYStartYear,FYMonthNo+5,1),"mmm-yy"))</f>
        <v>FEB-22</v>
      </c>
      <c r="J5" s="80" t="str">
        <f>UPPER(TEXT(DATE(FYStartYear,FYMonthNo+6,1),"mmm-yy"))</f>
        <v>MAR-22</v>
      </c>
      <c r="K5" s="80" t="str">
        <f>UPPER(TEXT(DATE(FYStartYear,FYMonthNo+7,1),"mmm-yy"))</f>
        <v>APR-22</v>
      </c>
      <c r="L5" s="80" t="str">
        <f>UPPER(TEXT(DATE(FYStartYear,FYMonthNo+8,1),"mmm-yy"))</f>
        <v>MAY-22</v>
      </c>
      <c r="M5" s="80" t="str">
        <f>UPPER(TEXT(DATE(FYStartYear,FYMonthNo+9,1),"mmm-yy"))</f>
        <v>JUN-22</v>
      </c>
      <c r="N5" s="80" t="str">
        <f>UPPER(TEXT(DATE(FYStartYear,FYMonthNo+10,1),"mmm-yy"))</f>
        <v>JUL-22</v>
      </c>
      <c r="O5" s="59" t="str">
        <f>UPPER(TEXT(DATE(FYStartYear,FYMonthNo+11,1),"mmm-yy"))</f>
        <v>AUG-22</v>
      </c>
      <c r="P5" s="88" t="s">
        <v>13</v>
      </c>
      <c r="Q5" s="59" t="s">
        <v>12</v>
      </c>
      <c r="R5" s="83" t="str">
        <f>LEFT(D5,3)&amp;" %"</f>
        <v>SEP %</v>
      </c>
      <c r="S5" s="84" t="str">
        <f t="shared" ref="S5:AC5" si="0">LEFT(E5,3)&amp;" %"</f>
        <v>OCT %</v>
      </c>
      <c r="T5" s="84" t="str">
        <f t="shared" si="0"/>
        <v>NOV %</v>
      </c>
      <c r="U5" s="84" t="str">
        <f t="shared" si="0"/>
        <v>DEC %</v>
      </c>
      <c r="V5" s="84" t="str">
        <f t="shared" si="0"/>
        <v>JAN %</v>
      </c>
      <c r="W5" s="84" t="str">
        <f t="shared" si="0"/>
        <v>FEB %</v>
      </c>
      <c r="X5" s="84" t="str">
        <f t="shared" si="0"/>
        <v>MAR %</v>
      </c>
      <c r="Y5" s="84" t="str">
        <f t="shared" si="0"/>
        <v>APR %</v>
      </c>
      <c r="Z5" s="84" t="str">
        <f t="shared" si="0"/>
        <v>MAY %</v>
      </c>
      <c r="AA5" s="84" t="str">
        <f t="shared" si="0"/>
        <v>JUN %</v>
      </c>
      <c r="AB5" s="84" t="str">
        <f t="shared" si="0"/>
        <v>JUL %</v>
      </c>
      <c r="AC5" s="84" t="str">
        <f t="shared" si="0"/>
        <v>AUG %</v>
      </c>
      <c r="AD5" s="85" t="s">
        <v>14</v>
      </c>
    </row>
    <row r="6" spans="1:30" ht="30" customHeight="1" x14ac:dyDescent="0.15">
      <c r="B6" s="79" t="s">
        <v>10</v>
      </c>
      <c r="C6" s="79" t="s">
        <v>6</v>
      </c>
      <c r="D6" s="107" t="s">
        <v>41</v>
      </c>
      <c r="E6" s="107" t="s">
        <v>16</v>
      </c>
      <c r="F6" s="107" t="s">
        <v>17</v>
      </c>
      <c r="G6" s="107" t="s">
        <v>18</v>
      </c>
      <c r="H6" s="107" t="s">
        <v>19</v>
      </c>
      <c r="I6" s="107" t="s">
        <v>20</v>
      </c>
      <c r="J6" s="107" t="s">
        <v>21</v>
      </c>
      <c r="K6" s="107" t="s">
        <v>22</v>
      </c>
      <c r="L6" s="107" t="s">
        <v>23</v>
      </c>
      <c r="M6" s="107" t="s">
        <v>24</v>
      </c>
      <c r="N6" s="107" t="s">
        <v>25</v>
      </c>
      <c r="O6" s="107" t="s">
        <v>26</v>
      </c>
      <c r="P6" s="108" t="s">
        <v>0</v>
      </c>
      <c r="Q6" s="107" t="s">
        <v>27</v>
      </c>
      <c r="R6" s="109" t="s">
        <v>28</v>
      </c>
      <c r="S6" s="110" t="s">
        <v>29</v>
      </c>
      <c r="T6" s="110" t="s">
        <v>30</v>
      </c>
      <c r="U6" s="110" t="s">
        <v>31</v>
      </c>
      <c r="V6" s="110" t="s">
        <v>32</v>
      </c>
      <c r="W6" s="110" t="s">
        <v>33</v>
      </c>
      <c r="X6" s="110" t="s">
        <v>34</v>
      </c>
      <c r="Y6" s="110" t="s">
        <v>35</v>
      </c>
      <c r="Z6" s="110" t="s">
        <v>36</v>
      </c>
      <c r="AA6" s="110" t="s">
        <v>37</v>
      </c>
      <c r="AB6" s="110" t="s">
        <v>38</v>
      </c>
      <c r="AC6" s="110" t="s">
        <v>39</v>
      </c>
      <c r="AD6" s="111" t="s">
        <v>40</v>
      </c>
    </row>
    <row r="7" spans="1:30" ht="30" customHeight="1" x14ac:dyDescent="0.15">
      <c r="B7" s="56" t="s">
        <v>63</v>
      </c>
      <c r="C7" t="s">
        <v>3</v>
      </c>
      <c r="D7" s="60">
        <v>0</v>
      </c>
      <c r="E7" s="60">
        <v>0</v>
      </c>
      <c r="F7" s="60">
        <v>0</v>
      </c>
      <c r="G7" s="60">
        <v>5437.47</v>
      </c>
      <c r="H7" s="60">
        <v>0</v>
      </c>
      <c r="I7" s="60">
        <v>4179</v>
      </c>
      <c r="J7" s="60"/>
      <c r="K7" s="60">
        <v>5136</v>
      </c>
      <c r="L7" s="60">
        <v>1062</v>
      </c>
      <c r="M7" s="60"/>
      <c r="N7" s="60"/>
      <c r="O7" s="60"/>
      <c r="P7" s="89">
        <f>SUM(tblExpenses[[#This Row],[Column1]:[Dec]])</f>
        <v>15814.470000000001</v>
      </c>
      <c r="Q7" s="57">
        <f>+tblExpenses[[#This Row],[Yearly]]/tblExpenses[[#Totals],[Yearly]]</f>
        <v>1.3299102938506472E-2</v>
      </c>
      <c r="R7" s="86" t="e">
        <f>tblExpenses[[#This Row],[Column1]]/tblExpenses[[#Totals],[Column1]]</f>
        <v>#DIV/0!</v>
      </c>
      <c r="S7" s="58">
        <f>tblExpenses[[#This Row],[Feb]]/tblExpenses[[#Totals],[Feb]]</f>
        <v>0</v>
      </c>
      <c r="T7" s="58">
        <f>tblExpenses[[#This Row],[Mar]]/tblExpenses[[#Totals],[Mar]]</f>
        <v>0</v>
      </c>
      <c r="U7" s="58">
        <f>tblExpenses[[#This Row],[Apr]]/tblExpenses[[#Totals],[Apr]]</f>
        <v>6.3487046586146942E-2</v>
      </c>
      <c r="V7" s="58">
        <f>tblExpenses[[#This Row],[May]]/tblExpenses[[#Totals],[May]]</f>
        <v>0</v>
      </c>
      <c r="W7" s="58">
        <f>tblExpenses[[#This Row],[Jun]]/tblExpenses[[#Totals],[Jun]]</f>
        <v>1.0834926638809229E-2</v>
      </c>
      <c r="X7" s="58">
        <f>tblExpenses[[#This Row],[Jul]]/tblExpenses[[#Totals],[Jul]]</f>
        <v>0</v>
      </c>
      <c r="Y7" s="58">
        <f>tblExpenses[[#This Row],[Aug]]/tblExpenses[[#Totals],[Aug]]</f>
        <v>0.13520133706119783</v>
      </c>
      <c r="Z7" s="58">
        <f>tblExpenses[[#This Row],[Sep]]/tblExpenses[[#Totals],[Sep]]</f>
        <v>0.14065982969829657</v>
      </c>
      <c r="AA7" s="58" t="e">
        <f>tblExpenses[[#This Row],[Oct]]/tblExpenses[[#Totals],[Oct]]</f>
        <v>#DIV/0!</v>
      </c>
      <c r="AB7" s="58" t="e">
        <f>tblExpenses[[#This Row],[Nov]]/tblExpenses[[#Totals],[Nov]]</f>
        <v>#DIV/0!</v>
      </c>
      <c r="AC7" s="58" t="e">
        <f>tblExpenses[[#This Row],[Dec]]/tblExpenses[[#Totals],[Dec]]</f>
        <v>#DIV/0!</v>
      </c>
      <c r="AD7" s="87">
        <f>tblExpenses[[#This Row],[Yearly]]/tblExpenses[[#Totals],[Yearly]]</f>
        <v>1.3299102938506472E-2</v>
      </c>
    </row>
    <row r="8" spans="1:30" ht="30" customHeight="1" x14ac:dyDescent="0.15">
      <c r="B8" s="56" t="s">
        <v>64</v>
      </c>
      <c r="C8" t="s">
        <v>3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145758</v>
      </c>
      <c r="J8" s="60">
        <v>462449.99</v>
      </c>
      <c r="K8" s="60"/>
      <c r="L8" s="60"/>
      <c r="M8" s="60"/>
      <c r="N8" s="60"/>
      <c r="O8" s="60"/>
      <c r="P8" s="89">
        <f>SUM(tblExpenses[[#This Row],[Column1]:[Dec]])</f>
        <v>608207.99</v>
      </c>
      <c r="Q8" s="57">
        <f>+tblExpenses[[#This Row],[Yearly]]/tblExpenses[[#Totals],[Yearly]]</f>
        <v>0.51146960138607955</v>
      </c>
      <c r="R8" s="86" t="e">
        <f>tblExpenses[[#This Row],[Column1]]/tblExpenses[[#Totals],[Column1]]</f>
        <v>#DIV/0!</v>
      </c>
      <c r="S8" s="58">
        <f>tblExpenses[[#This Row],[Feb]]/tblExpenses[[#Totals],[Feb]]</f>
        <v>0</v>
      </c>
      <c r="T8" s="58">
        <f>tblExpenses[[#This Row],[Mar]]/tblExpenses[[#Totals],[Mar]]</f>
        <v>0</v>
      </c>
      <c r="U8" s="58">
        <f>tblExpenses[[#This Row],[Apr]]/tblExpenses[[#Totals],[Apr]]</f>
        <v>0</v>
      </c>
      <c r="V8" s="58">
        <f>tblExpenses[[#This Row],[May]]/tblExpenses[[#Totals],[May]]</f>
        <v>0</v>
      </c>
      <c r="W8" s="58">
        <f>tblExpenses[[#This Row],[Jun]]/tblExpenses[[#Totals],[Jun]]</f>
        <v>0.377907929413629</v>
      </c>
      <c r="X8" s="58">
        <f>tblExpenses[[#This Row],[Jul]]/tblExpenses[[#Totals],[Jul]]</f>
        <v>0.98635414365369123</v>
      </c>
      <c r="Y8" s="58">
        <f>tblExpenses[[#This Row],[Aug]]/tblExpenses[[#Totals],[Aug]]</f>
        <v>0</v>
      </c>
      <c r="Z8" s="58">
        <f>tblExpenses[[#This Row],[Sep]]/tblExpenses[[#Totals],[Sep]]</f>
        <v>0</v>
      </c>
      <c r="AA8" s="58" t="e">
        <f>tblExpenses[[#This Row],[Oct]]/tblExpenses[[#Totals],[Oct]]</f>
        <v>#DIV/0!</v>
      </c>
      <c r="AB8" s="58" t="e">
        <f>tblExpenses[[#This Row],[Nov]]/tblExpenses[[#Totals],[Nov]]</f>
        <v>#DIV/0!</v>
      </c>
      <c r="AC8" s="58" t="e">
        <f>tblExpenses[[#This Row],[Dec]]/tblExpenses[[#Totals],[Dec]]</f>
        <v>#DIV/0!</v>
      </c>
      <c r="AD8" s="87">
        <f>tblExpenses[[#This Row],[Yearly]]/tblExpenses[[#Totals],[Yearly]]</f>
        <v>0.51146960138607955</v>
      </c>
    </row>
    <row r="9" spans="1:30" ht="30" customHeight="1" x14ac:dyDescent="0.15">
      <c r="B9" s="56" t="s">
        <v>65</v>
      </c>
      <c r="C9" t="s">
        <v>3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200176.1</v>
      </c>
      <c r="J9" s="60"/>
      <c r="K9" s="60"/>
      <c r="L9" s="60"/>
      <c r="M9" s="60"/>
      <c r="N9" s="60"/>
      <c r="O9" s="60"/>
      <c r="P9" s="89">
        <f>SUM(tblExpenses[[#This Row],[Column1]:[Dec]])</f>
        <v>200176.1</v>
      </c>
      <c r="Q9" s="57">
        <f>+tblExpenses[[#This Row],[Yearly]]/tblExpenses[[#Totals],[Yearly]]</f>
        <v>0.16833713426556599</v>
      </c>
      <c r="R9" s="86" t="e">
        <f>tblExpenses[[#This Row],[Column1]]/tblExpenses[[#Totals],[Column1]]</f>
        <v>#DIV/0!</v>
      </c>
      <c r="S9" s="58">
        <f>tblExpenses[[#This Row],[Feb]]/tblExpenses[[#Totals],[Feb]]</f>
        <v>0</v>
      </c>
      <c r="T9" s="58">
        <f>tblExpenses[[#This Row],[Mar]]/tblExpenses[[#Totals],[Mar]]</f>
        <v>0</v>
      </c>
      <c r="U9" s="58">
        <f>tblExpenses[[#This Row],[Apr]]/tblExpenses[[#Totals],[Apr]]</f>
        <v>0</v>
      </c>
      <c r="V9" s="58">
        <f>tblExpenses[[#This Row],[May]]/tblExpenses[[#Totals],[May]]</f>
        <v>0</v>
      </c>
      <c r="W9" s="58">
        <f>tblExpenses[[#This Row],[Jun]]/tblExpenses[[#Totals],[Jun]]</f>
        <v>0.51899817141491755</v>
      </c>
      <c r="X9" s="58">
        <f>tblExpenses[[#This Row],[Jul]]/tblExpenses[[#Totals],[Jul]]</f>
        <v>0</v>
      </c>
      <c r="Y9" s="58">
        <f>tblExpenses[[#This Row],[Aug]]/tblExpenses[[#Totals],[Aug]]</f>
        <v>0</v>
      </c>
      <c r="Z9" s="58">
        <f>tblExpenses[[#This Row],[Sep]]/tblExpenses[[#Totals],[Sep]]</f>
        <v>0</v>
      </c>
      <c r="AA9" s="58" t="e">
        <f>tblExpenses[[#This Row],[Oct]]/tblExpenses[[#Totals],[Oct]]</f>
        <v>#DIV/0!</v>
      </c>
      <c r="AB9" s="58" t="e">
        <f>tblExpenses[[#This Row],[Nov]]/tblExpenses[[#Totals],[Nov]]</f>
        <v>#DIV/0!</v>
      </c>
      <c r="AC9" s="58" t="e">
        <f>tblExpenses[[#This Row],[Dec]]/tblExpenses[[#Totals],[Dec]]</f>
        <v>#DIV/0!</v>
      </c>
      <c r="AD9" s="87">
        <f>tblExpenses[[#This Row],[Yearly]]/tblExpenses[[#Totals],[Yearly]]</f>
        <v>0.16833713426556599</v>
      </c>
    </row>
    <row r="10" spans="1:30" ht="30" customHeight="1" x14ac:dyDescent="0.15">
      <c r="B10" s="56" t="s">
        <v>66</v>
      </c>
      <c r="C10" t="s">
        <v>3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89">
        <f>SUM(tblExpenses[[#This Row],[Column1]:[Dec]])</f>
        <v>0</v>
      </c>
      <c r="Q10" s="57">
        <f>+tblExpenses[[#This Row],[Yearly]]/tblExpenses[[#Totals],[Yearly]]</f>
        <v>0</v>
      </c>
      <c r="R10" s="86" t="e">
        <f>tblExpenses[[#This Row],[Column1]]/tblExpenses[[#Totals],[Column1]]</f>
        <v>#DIV/0!</v>
      </c>
      <c r="S10" s="58">
        <f>tblExpenses[[#This Row],[Feb]]/tblExpenses[[#Totals],[Feb]]</f>
        <v>0</v>
      </c>
      <c r="T10" s="58">
        <f>tblExpenses[[#This Row],[Mar]]/tblExpenses[[#Totals],[Mar]]</f>
        <v>0</v>
      </c>
      <c r="U10" s="58">
        <f>tblExpenses[[#This Row],[Apr]]/tblExpenses[[#Totals],[Apr]]</f>
        <v>0</v>
      </c>
      <c r="V10" s="58">
        <f>tblExpenses[[#This Row],[May]]/tblExpenses[[#Totals],[May]]</f>
        <v>0</v>
      </c>
      <c r="W10" s="58">
        <f>tblExpenses[[#This Row],[Jun]]/tblExpenses[[#Totals],[Jun]]</f>
        <v>0</v>
      </c>
      <c r="X10" s="58">
        <f>tblExpenses[[#This Row],[Jul]]/tblExpenses[[#Totals],[Jul]]</f>
        <v>0</v>
      </c>
      <c r="Y10" s="58">
        <f>tblExpenses[[#This Row],[Aug]]/tblExpenses[[#Totals],[Aug]]</f>
        <v>0</v>
      </c>
      <c r="Z10" s="58">
        <f>tblExpenses[[#This Row],[Sep]]/tblExpenses[[#Totals],[Sep]]</f>
        <v>0</v>
      </c>
      <c r="AA10" s="58" t="e">
        <f>tblExpenses[[#This Row],[Oct]]/tblExpenses[[#Totals],[Oct]]</f>
        <v>#DIV/0!</v>
      </c>
      <c r="AB10" s="58" t="e">
        <f>tblExpenses[[#This Row],[Nov]]/tblExpenses[[#Totals],[Nov]]</f>
        <v>#DIV/0!</v>
      </c>
      <c r="AC10" s="58" t="e">
        <f>tblExpenses[[#This Row],[Dec]]/tblExpenses[[#Totals],[Dec]]</f>
        <v>#DIV/0!</v>
      </c>
      <c r="AD10" s="87">
        <f>tblExpenses[[#This Row],[Yearly]]/tblExpenses[[#Totals],[Yearly]]</f>
        <v>0</v>
      </c>
    </row>
    <row r="11" spans="1:30" ht="30" customHeight="1" x14ac:dyDescent="0.15">
      <c r="B11" s="56" t="s">
        <v>67</v>
      </c>
      <c r="C11" t="s">
        <v>3</v>
      </c>
      <c r="D11" s="117">
        <v>0</v>
      </c>
      <c r="E11" s="117">
        <v>232</v>
      </c>
      <c r="F11" s="117">
        <v>348</v>
      </c>
      <c r="G11" s="117">
        <v>116</v>
      </c>
      <c r="H11" s="117">
        <v>0</v>
      </c>
      <c r="I11" s="60">
        <v>2404.8000000000002</v>
      </c>
      <c r="J11" s="60">
        <v>2746.38</v>
      </c>
      <c r="K11" s="60">
        <v>1714.62</v>
      </c>
      <c r="L11" s="60">
        <v>170.13</v>
      </c>
      <c r="M11" s="60"/>
      <c r="N11" s="60"/>
      <c r="O11" s="60"/>
      <c r="P11" s="89">
        <f>SUM(tblExpenses[[#This Row],[Column1]:[Dec]])</f>
        <v>7731.93</v>
      </c>
      <c r="Q11" s="57">
        <f>+tblExpenses[[#This Row],[Yearly]]/tblExpenses[[#Totals],[Yearly]]</f>
        <v>6.5021295676254941E-3</v>
      </c>
      <c r="R11" s="86" t="e">
        <f>tblExpenses[[#This Row],[Column1]]/tblExpenses[[#Totals],[Column1]]</f>
        <v>#DIV/0!</v>
      </c>
      <c r="S11" s="58">
        <f>tblExpenses[[#This Row],[Feb]]/tblExpenses[[#Totals],[Feb]]</f>
        <v>2.1665641439797671E-3</v>
      </c>
      <c r="T11" s="58">
        <f>tblExpenses[[#This Row],[Mar]]/tblExpenses[[#Totals],[Mar]]</f>
        <v>3.7288512255866063E-3</v>
      </c>
      <c r="U11" s="58">
        <f>tblExpenses[[#This Row],[Apr]]/tblExpenses[[#Totals],[Apr]]</f>
        <v>1.3543977997107193E-3</v>
      </c>
      <c r="V11" s="58">
        <f>tblExpenses[[#This Row],[May]]/tblExpenses[[#Totals],[May]]</f>
        <v>0</v>
      </c>
      <c r="W11" s="58">
        <f>tblExpenses[[#This Row],[Jun]]/tblExpenses[[#Totals],[Jun]]</f>
        <v>6.2349441447734954E-3</v>
      </c>
      <c r="X11" s="58">
        <f>tblExpenses[[#This Row],[Jul]]/tblExpenses[[#Totals],[Jul]]</f>
        <v>5.857721595036957E-3</v>
      </c>
      <c r="Y11" s="58">
        <f>tblExpenses[[#This Row],[Aug]]/tblExpenses[[#Totals],[Aug]]</f>
        <v>4.5136081883152449E-2</v>
      </c>
      <c r="Z11" s="58">
        <f>tblExpenses[[#This Row],[Sep]]/tblExpenses[[#Totals],[Sep]]</f>
        <v>2.2533386842345762E-2</v>
      </c>
      <c r="AA11" s="58" t="e">
        <f>tblExpenses[[#This Row],[Oct]]/tblExpenses[[#Totals],[Oct]]</f>
        <v>#DIV/0!</v>
      </c>
      <c r="AB11" s="58" t="e">
        <f>tblExpenses[[#This Row],[Nov]]/tblExpenses[[#Totals],[Nov]]</f>
        <v>#DIV/0!</v>
      </c>
      <c r="AC11" s="58" t="e">
        <f>tblExpenses[[#This Row],[Dec]]/tblExpenses[[#Totals],[Dec]]</f>
        <v>#DIV/0!</v>
      </c>
      <c r="AD11" s="87">
        <f>tblExpenses[[#This Row],[Yearly]]/tblExpenses[[#Totals],[Yearly]]</f>
        <v>6.5021295676254941E-3</v>
      </c>
    </row>
    <row r="12" spans="1:30" ht="30" customHeight="1" x14ac:dyDescent="0.15">
      <c r="B12" s="56" t="s">
        <v>68</v>
      </c>
      <c r="C12" t="s">
        <v>3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90">
        <f>SUM(tblExpenses[[#This Row],[Column1]:[Dec]])</f>
        <v>0</v>
      </c>
      <c r="Q12" s="57">
        <f>+tblExpenses[[#This Row],[Yearly]]/tblExpenses[[#Totals],[Yearly]]</f>
        <v>0</v>
      </c>
      <c r="R12" s="86" t="e">
        <f>tblExpenses[[#This Row],[Column1]]/tblExpenses[[#Totals],[Column1]]</f>
        <v>#DIV/0!</v>
      </c>
      <c r="S12" s="58">
        <f>tblExpenses[[#This Row],[Feb]]/tblExpenses[[#Totals],[Feb]]</f>
        <v>0</v>
      </c>
      <c r="T12" s="58">
        <f>tblExpenses[[#This Row],[Mar]]/tblExpenses[[#Totals],[Mar]]</f>
        <v>0</v>
      </c>
      <c r="U12" s="58">
        <f>tblExpenses[[#This Row],[Apr]]/tblExpenses[[#Totals],[Apr]]</f>
        <v>0</v>
      </c>
      <c r="V12" s="58">
        <f>tblExpenses[[#This Row],[May]]/tblExpenses[[#Totals],[May]]</f>
        <v>0</v>
      </c>
      <c r="W12" s="58">
        <f>tblExpenses[[#This Row],[Jun]]/tblExpenses[[#Totals],[Jun]]</f>
        <v>0</v>
      </c>
      <c r="X12" s="58">
        <f>tblExpenses[[#This Row],[Jul]]/tblExpenses[[#Totals],[Jul]]</f>
        <v>0</v>
      </c>
      <c r="Y12" s="58">
        <f>tblExpenses[[#This Row],[Aug]]/tblExpenses[[#Totals],[Aug]]</f>
        <v>0</v>
      </c>
      <c r="Z12" s="58">
        <f>tblExpenses[[#This Row],[Sep]]/tblExpenses[[#Totals],[Sep]]</f>
        <v>0</v>
      </c>
      <c r="AA12" s="58" t="e">
        <f>tblExpenses[[#This Row],[Oct]]/tblExpenses[[#Totals],[Oct]]</f>
        <v>#DIV/0!</v>
      </c>
      <c r="AB12" s="58" t="e">
        <f>tblExpenses[[#This Row],[Nov]]/tblExpenses[[#Totals],[Nov]]</f>
        <v>#DIV/0!</v>
      </c>
      <c r="AC12" s="58" t="e">
        <f>tblExpenses[[#This Row],[Dec]]/tblExpenses[[#Totals],[Dec]]</f>
        <v>#DIV/0!</v>
      </c>
      <c r="AD12" s="87">
        <f>tblExpenses[[#This Row],[Yearly]]/tblExpenses[[#Totals],[Yearly]]</f>
        <v>0</v>
      </c>
    </row>
    <row r="13" spans="1:30" ht="30" customHeight="1" x14ac:dyDescent="0.15">
      <c r="B13" s="56" t="s">
        <v>69</v>
      </c>
      <c r="C13" t="s">
        <v>3</v>
      </c>
      <c r="D13" s="61">
        <v>0</v>
      </c>
      <c r="E13" s="61">
        <v>0</v>
      </c>
      <c r="F13" s="61">
        <v>3000</v>
      </c>
      <c r="G13" s="61">
        <v>8287.5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/>
      <c r="N13" s="61"/>
      <c r="O13" s="61"/>
      <c r="P13" s="90">
        <f>SUM(tblExpenses[[#This Row],[Column1]:[Dec]])</f>
        <v>11287.5</v>
      </c>
      <c r="Q13" s="57">
        <f>+tblExpenses[[#This Row],[Yearly]]/tblExpenses[[#Totals],[Yearly]]</f>
        <v>9.4921691601673533E-3</v>
      </c>
      <c r="R13" s="86" t="e">
        <f>tblExpenses[[#This Row],[Column1]]/tblExpenses[[#Totals],[Column1]]</f>
        <v>#DIV/0!</v>
      </c>
      <c r="S13" s="58">
        <f>tblExpenses[[#This Row],[Feb]]/tblExpenses[[#Totals],[Feb]]</f>
        <v>0</v>
      </c>
      <c r="T13" s="58">
        <f>tblExpenses[[#This Row],[Mar]]/tblExpenses[[#Totals],[Mar]]</f>
        <v>3.2145269186091431E-2</v>
      </c>
      <c r="U13" s="58">
        <f>tblExpenses[[#This Row],[Apr]]/tblExpenses[[#Totals],[Apr]]</f>
        <v>9.6763549699160234E-2</v>
      </c>
      <c r="V13" s="58">
        <f>tblExpenses[[#This Row],[May]]/tblExpenses[[#Totals],[May]]</f>
        <v>0</v>
      </c>
      <c r="W13" s="58">
        <f>tblExpenses[[#This Row],[Jun]]/tblExpenses[[#Totals],[Jun]]</f>
        <v>0</v>
      </c>
      <c r="X13" s="58">
        <f>tblExpenses[[#This Row],[Jul]]/tblExpenses[[#Totals],[Jul]]</f>
        <v>0</v>
      </c>
      <c r="Y13" s="58">
        <f>tblExpenses[[#This Row],[Aug]]/tblExpenses[[#Totals],[Aug]]</f>
        <v>0</v>
      </c>
      <c r="Z13" s="58">
        <f>tblExpenses[[#This Row],[Sep]]/tblExpenses[[#Totals],[Sep]]</f>
        <v>0</v>
      </c>
      <c r="AA13" s="58" t="e">
        <f>tblExpenses[[#This Row],[Oct]]/tblExpenses[[#Totals],[Oct]]</f>
        <v>#DIV/0!</v>
      </c>
      <c r="AB13" s="58" t="e">
        <f>tblExpenses[[#This Row],[Nov]]/tblExpenses[[#Totals],[Nov]]</f>
        <v>#DIV/0!</v>
      </c>
      <c r="AC13" s="58" t="e">
        <f>tblExpenses[[#This Row],[Dec]]/tblExpenses[[#Totals],[Dec]]</f>
        <v>#DIV/0!</v>
      </c>
      <c r="AD13" s="87">
        <f>tblExpenses[[#This Row],[Yearly]]/tblExpenses[[#Totals],[Yearly]]</f>
        <v>9.4921691601673533E-3</v>
      </c>
    </row>
    <row r="14" spans="1:30" ht="30" customHeight="1" x14ac:dyDescent="0.15">
      <c r="B14" s="56" t="s">
        <v>70</v>
      </c>
      <c r="C14" t="s">
        <v>3</v>
      </c>
      <c r="D14" s="61">
        <v>0</v>
      </c>
      <c r="E14" s="61">
        <v>0</v>
      </c>
      <c r="F14" s="61">
        <v>3480</v>
      </c>
      <c r="G14" s="61"/>
      <c r="H14" s="61"/>
      <c r="I14" s="61"/>
      <c r="J14" s="61"/>
      <c r="K14" s="61"/>
      <c r="L14" s="61"/>
      <c r="M14" s="61"/>
      <c r="N14" s="61"/>
      <c r="O14" s="61"/>
      <c r="P14" s="90">
        <f>SUM(tblExpenses[[#This Row],[Column1]:[Dec]])</f>
        <v>3480</v>
      </c>
      <c r="Q14" s="57">
        <f>+tblExpenses[[#This Row],[Yearly]]/tblExpenses[[#Totals],[Yearly]]</f>
        <v>2.9264893623373099E-3</v>
      </c>
      <c r="R14" s="86" t="e">
        <f>tblExpenses[[#This Row],[Column1]]/tblExpenses[[#Totals],[Column1]]</f>
        <v>#DIV/0!</v>
      </c>
      <c r="S14" s="58">
        <f>tblExpenses[[#This Row],[Feb]]/tblExpenses[[#Totals],[Feb]]</f>
        <v>0</v>
      </c>
      <c r="T14" s="58">
        <f>tblExpenses[[#This Row],[Mar]]/tblExpenses[[#Totals],[Mar]]</f>
        <v>3.728851225586606E-2</v>
      </c>
      <c r="U14" s="58">
        <f>tblExpenses[[#This Row],[Apr]]/tblExpenses[[#Totals],[Apr]]</f>
        <v>0</v>
      </c>
      <c r="V14" s="58">
        <f>tblExpenses[[#This Row],[May]]/tblExpenses[[#Totals],[May]]</f>
        <v>0</v>
      </c>
      <c r="W14" s="58">
        <f>tblExpenses[[#This Row],[Jun]]/tblExpenses[[#Totals],[Jun]]</f>
        <v>0</v>
      </c>
      <c r="X14" s="58">
        <f>tblExpenses[[#This Row],[Jul]]/tblExpenses[[#Totals],[Jul]]</f>
        <v>0</v>
      </c>
      <c r="Y14" s="58">
        <f>tblExpenses[[#This Row],[Aug]]/tblExpenses[[#Totals],[Aug]]</f>
        <v>0</v>
      </c>
      <c r="Z14" s="58">
        <f>tblExpenses[[#This Row],[Sep]]/tblExpenses[[#Totals],[Sep]]</f>
        <v>0</v>
      </c>
      <c r="AA14" s="58" t="e">
        <f>tblExpenses[[#This Row],[Oct]]/tblExpenses[[#Totals],[Oct]]</f>
        <v>#DIV/0!</v>
      </c>
      <c r="AB14" s="58" t="e">
        <f>tblExpenses[[#This Row],[Nov]]/tblExpenses[[#Totals],[Nov]]</f>
        <v>#DIV/0!</v>
      </c>
      <c r="AC14" s="58" t="e">
        <f>tblExpenses[[#This Row],[Dec]]/tblExpenses[[#Totals],[Dec]]</f>
        <v>#DIV/0!</v>
      </c>
      <c r="AD14" s="87">
        <f>tblExpenses[[#This Row],[Yearly]]/tblExpenses[[#Totals],[Yearly]]</f>
        <v>2.9264893623373099E-3</v>
      </c>
    </row>
    <row r="15" spans="1:30" ht="30" customHeight="1" x14ac:dyDescent="0.15">
      <c r="B15" s="56" t="s">
        <v>71</v>
      </c>
      <c r="C15" t="s">
        <v>3</v>
      </c>
      <c r="D15" s="61">
        <v>0</v>
      </c>
      <c r="E15" s="61">
        <v>0</v>
      </c>
      <c r="F15" s="61">
        <v>18246.489999999998</v>
      </c>
      <c r="G15" s="61">
        <v>30000</v>
      </c>
      <c r="H15" s="61"/>
      <c r="I15" s="61"/>
      <c r="J15" s="61"/>
      <c r="K15" s="61"/>
      <c r="L15" s="61"/>
      <c r="M15" s="61"/>
      <c r="N15" s="61"/>
      <c r="O15" s="61"/>
      <c r="P15" s="90">
        <f>SUM(tblExpenses[[#This Row],[Column1]:[Dec]])</f>
        <v>48246.49</v>
      </c>
      <c r="Q15" s="57">
        <f>+tblExpenses[[#This Row],[Yearly]]/tblExpenses[[#Totals],[Yearly]]</f>
        <v>4.0572655102044081E-2</v>
      </c>
      <c r="R15" s="86" t="e">
        <f>tblExpenses[[#This Row],[Column1]]/tblExpenses[[#Totals],[Column1]]</f>
        <v>#DIV/0!</v>
      </c>
      <c r="S15" s="58">
        <f>tblExpenses[[#This Row],[Feb]]/tblExpenses[[#Totals],[Feb]]</f>
        <v>0</v>
      </c>
      <c r="T15" s="58">
        <f>tblExpenses[[#This Row],[Mar]]/tblExpenses[[#Totals],[Mar]]</f>
        <v>0.19551277758377514</v>
      </c>
      <c r="U15" s="58">
        <f>tblExpenses[[#This Row],[Apr]]/tblExpenses[[#Totals],[Apr]]</f>
        <v>0.3502752930286343</v>
      </c>
      <c r="V15" s="58">
        <f>tblExpenses[[#This Row],[May]]/tblExpenses[[#Totals],[May]]</f>
        <v>0</v>
      </c>
      <c r="W15" s="58">
        <f>tblExpenses[[#This Row],[Jun]]/tblExpenses[[#Totals],[Jun]]</f>
        <v>0</v>
      </c>
      <c r="X15" s="58">
        <f>tblExpenses[[#This Row],[Jul]]/tblExpenses[[#Totals],[Jul]]</f>
        <v>0</v>
      </c>
      <c r="Y15" s="58">
        <f>tblExpenses[[#This Row],[Aug]]/tblExpenses[[#Totals],[Aug]]</f>
        <v>0</v>
      </c>
      <c r="Z15" s="58">
        <f>tblExpenses[[#This Row],[Sep]]/tblExpenses[[#Totals],[Sep]]</f>
        <v>0</v>
      </c>
      <c r="AA15" s="58" t="e">
        <f>tblExpenses[[#This Row],[Oct]]/tblExpenses[[#Totals],[Oct]]</f>
        <v>#DIV/0!</v>
      </c>
      <c r="AB15" s="58" t="e">
        <f>tblExpenses[[#This Row],[Nov]]/tblExpenses[[#Totals],[Nov]]</f>
        <v>#DIV/0!</v>
      </c>
      <c r="AC15" s="58" t="e">
        <f>tblExpenses[[#This Row],[Dec]]/tblExpenses[[#Totals],[Dec]]</f>
        <v>#DIV/0!</v>
      </c>
      <c r="AD15" s="87">
        <f>tblExpenses[[#This Row],[Yearly]]/tblExpenses[[#Totals],[Yearly]]</f>
        <v>4.0572655102044081E-2</v>
      </c>
    </row>
    <row r="16" spans="1:30" ht="30" customHeight="1" x14ac:dyDescent="0.15">
      <c r="B16" s="56" t="s">
        <v>57</v>
      </c>
      <c r="C16" t="s">
        <v>3</v>
      </c>
      <c r="D16" s="61">
        <v>0</v>
      </c>
      <c r="E16" s="61">
        <v>0</v>
      </c>
      <c r="F16" s="61">
        <v>0</v>
      </c>
      <c r="G16" s="118">
        <v>1805.95</v>
      </c>
      <c r="H16" s="117"/>
      <c r="I16" s="61"/>
      <c r="J16" s="61">
        <v>675</v>
      </c>
      <c r="K16" s="61"/>
      <c r="L16" s="61"/>
      <c r="M16" s="61"/>
      <c r="N16" s="61"/>
      <c r="O16" s="61"/>
      <c r="P16" s="90">
        <f>SUM(tblExpenses[[#This Row],[Column1]:[Dec]])</f>
        <v>2480.9499999999998</v>
      </c>
      <c r="Q16" s="57">
        <f>+tblExpenses[[#This Row],[Yearly]]/tblExpenses[[#Totals],[Yearly]]</f>
        <v>2.0863430412329737E-3</v>
      </c>
      <c r="R16" s="86" t="e">
        <f>tblExpenses[[#This Row],[Column1]]/tblExpenses[[#Totals],[Column1]]</f>
        <v>#DIV/0!</v>
      </c>
      <c r="S16" s="58">
        <f>tblExpenses[[#This Row],[Feb]]/tblExpenses[[#Totals],[Feb]]</f>
        <v>0</v>
      </c>
      <c r="T16" s="58">
        <f>tblExpenses[[#This Row],[Mar]]/tblExpenses[[#Totals],[Mar]]</f>
        <v>0</v>
      </c>
      <c r="U16" s="58">
        <f>tblExpenses[[#This Row],[Apr]]/tblExpenses[[#Totals],[Apr]]</f>
        <v>2.108598884816874E-2</v>
      </c>
      <c r="V16" s="58">
        <f>tblExpenses[[#This Row],[May]]/tblExpenses[[#Totals],[May]]</f>
        <v>0</v>
      </c>
      <c r="W16" s="58">
        <f>tblExpenses[[#This Row],[Jun]]/tblExpenses[[#Totals],[Jun]]</f>
        <v>0</v>
      </c>
      <c r="X16" s="58">
        <f>tblExpenses[[#This Row],[Jul]]/tblExpenses[[#Totals],[Jul]]</f>
        <v>1.4396995596566921E-3</v>
      </c>
      <c r="Y16" s="58">
        <f>tblExpenses[[#This Row],[Aug]]/tblExpenses[[#Totals],[Aug]]</f>
        <v>0</v>
      </c>
      <c r="Z16" s="58">
        <f>tblExpenses[[#This Row],[Sep]]/tblExpenses[[#Totals],[Sep]]</f>
        <v>0</v>
      </c>
      <c r="AA16" s="58" t="e">
        <f>tblExpenses[[#This Row],[Oct]]/tblExpenses[[#Totals],[Oct]]</f>
        <v>#DIV/0!</v>
      </c>
      <c r="AB16" s="58" t="e">
        <f>tblExpenses[[#This Row],[Nov]]/tblExpenses[[#Totals],[Nov]]</f>
        <v>#DIV/0!</v>
      </c>
      <c r="AC16" s="58" t="e">
        <f>tblExpenses[[#This Row],[Dec]]/tblExpenses[[#Totals],[Dec]]</f>
        <v>#DIV/0!</v>
      </c>
      <c r="AD16" s="87">
        <f>tblExpenses[[#This Row],[Yearly]]/tblExpenses[[#Totals],[Yearly]]</f>
        <v>2.0863430412329737E-3</v>
      </c>
    </row>
    <row r="17" spans="1:32" ht="30" customHeight="1" x14ac:dyDescent="0.15">
      <c r="B17" s="56" t="s">
        <v>58</v>
      </c>
      <c r="C17" t="s">
        <v>3</v>
      </c>
      <c r="D17" s="61">
        <v>0</v>
      </c>
      <c r="E17" s="61">
        <v>0</v>
      </c>
      <c r="F17" s="61">
        <v>0</v>
      </c>
      <c r="G17" s="117">
        <v>40000</v>
      </c>
      <c r="H17" s="117"/>
      <c r="I17" s="61"/>
      <c r="J17" s="61"/>
      <c r="K17" s="61">
        <v>6716.4</v>
      </c>
      <c r="L17" s="61"/>
      <c r="M17" s="61"/>
      <c r="N17" s="61"/>
      <c r="O17" s="61"/>
      <c r="P17" s="90">
        <f>SUM(tblExpenses[[#This Row],[Column1]:[Dec]])</f>
        <v>46716.4</v>
      </c>
      <c r="Q17" s="57">
        <f>+tblExpenses[[#This Row],[Yearly]]/tblExpenses[[#Totals],[Yearly]]</f>
        <v>3.9285933231808824E-2</v>
      </c>
      <c r="R17" s="86" t="e">
        <f>tblExpenses[[#This Row],[Column1]]/tblExpenses[[#Totals],[Column1]]</f>
        <v>#DIV/0!</v>
      </c>
      <c r="S17" s="58">
        <f>tblExpenses[[#This Row],[Feb]]/tblExpenses[[#Totals],[Feb]]</f>
        <v>0</v>
      </c>
      <c r="T17" s="58">
        <f>tblExpenses[[#This Row],[Mar]]/tblExpenses[[#Totals],[Mar]]</f>
        <v>0</v>
      </c>
      <c r="U17" s="58">
        <f>tblExpenses[[#This Row],[Apr]]/tblExpenses[[#Totals],[Apr]]</f>
        <v>0.46703372403817911</v>
      </c>
      <c r="V17" s="58">
        <f>tblExpenses[[#This Row],[May]]/tblExpenses[[#Totals],[May]]</f>
        <v>0</v>
      </c>
      <c r="W17" s="58">
        <f>tblExpenses[[#This Row],[Jun]]/tblExpenses[[#Totals],[Jun]]</f>
        <v>0</v>
      </c>
      <c r="X17" s="58">
        <f>tblExpenses[[#This Row],[Jul]]/tblExpenses[[#Totals],[Jul]]</f>
        <v>0</v>
      </c>
      <c r="Y17" s="58">
        <f>tblExpenses[[#This Row],[Aug]]/tblExpenses[[#Totals],[Aug]]</f>
        <v>0.17680417839521592</v>
      </c>
      <c r="Z17" s="58">
        <f>tblExpenses[[#This Row],[Sep]]/tblExpenses[[#Totals],[Sep]]</f>
        <v>0</v>
      </c>
      <c r="AA17" s="58" t="e">
        <f>tblExpenses[[#This Row],[Oct]]/tblExpenses[[#Totals],[Oct]]</f>
        <v>#DIV/0!</v>
      </c>
      <c r="AB17" s="58" t="e">
        <f>tblExpenses[[#This Row],[Nov]]/tblExpenses[[#Totals],[Nov]]</f>
        <v>#DIV/0!</v>
      </c>
      <c r="AC17" s="58" t="e">
        <f>tblExpenses[[#This Row],[Dec]]/tblExpenses[[#Totals],[Dec]]</f>
        <v>#DIV/0!</v>
      </c>
      <c r="AD17" s="87">
        <f>tblExpenses[[#This Row],[Yearly]]/tblExpenses[[#Totals],[Yearly]]</f>
        <v>3.9285933231808824E-2</v>
      </c>
    </row>
    <row r="18" spans="1:32" ht="30" customHeight="1" x14ac:dyDescent="0.15">
      <c r="B18" s="56" t="s">
        <v>59</v>
      </c>
      <c r="C18" t="s">
        <v>3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90">
        <f>SUM(tblExpenses[[#This Row],[Column1]:[Dec]])</f>
        <v>0</v>
      </c>
      <c r="Q18" s="57">
        <f>+tblExpenses[[#This Row],[Yearly]]/tblExpenses[[#Totals],[Yearly]]</f>
        <v>0</v>
      </c>
      <c r="R18" s="86" t="e">
        <f>tblExpenses[[#This Row],[Column1]]/tblExpenses[[#Totals],[Column1]]</f>
        <v>#DIV/0!</v>
      </c>
      <c r="S18" s="58">
        <f>tblExpenses[[#This Row],[Feb]]/tblExpenses[[#Totals],[Feb]]</f>
        <v>0</v>
      </c>
      <c r="T18" s="58">
        <f>tblExpenses[[#This Row],[Mar]]/tblExpenses[[#Totals],[Mar]]</f>
        <v>0</v>
      </c>
      <c r="U18" s="58">
        <f>tblExpenses[[#This Row],[Apr]]/tblExpenses[[#Totals],[Apr]]</f>
        <v>0</v>
      </c>
      <c r="V18" s="58">
        <f>tblExpenses[[#This Row],[May]]/tblExpenses[[#Totals],[May]]</f>
        <v>0</v>
      </c>
      <c r="W18" s="58">
        <f>tblExpenses[[#This Row],[Jun]]/tblExpenses[[#Totals],[Jun]]</f>
        <v>0</v>
      </c>
      <c r="X18" s="58">
        <f>tblExpenses[[#This Row],[Jul]]/tblExpenses[[#Totals],[Jul]]</f>
        <v>0</v>
      </c>
      <c r="Y18" s="58">
        <f>tblExpenses[[#This Row],[Aug]]/tblExpenses[[#Totals],[Aug]]</f>
        <v>0</v>
      </c>
      <c r="Z18" s="58">
        <f>tblExpenses[[#This Row],[Sep]]/tblExpenses[[#Totals],[Sep]]</f>
        <v>0</v>
      </c>
      <c r="AA18" s="58" t="e">
        <f>tblExpenses[[#This Row],[Oct]]/tblExpenses[[#Totals],[Oct]]</f>
        <v>#DIV/0!</v>
      </c>
      <c r="AB18" s="58" t="e">
        <f>tblExpenses[[#This Row],[Nov]]/tblExpenses[[#Totals],[Nov]]</f>
        <v>#DIV/0!</v>
      </c>
      <c r="AC18" s="58" t="e">
        <f>tblExpenses[[#This Row],[Dec]]/tblExpenses[[#Totals],[Dec]]</f>
        <v>#DIV/0!</v>
      </c>
      <c r="AD18" s="87">
        <f>tblExpenses[[#This Row],[Yearly]]/tblExpenses[[#Totals],[Yearly]]</f>
        <v>0</v>
      </c>
    </row>
    <row r="19" spans="1:32" ht="30" customHeight="1" x14ac:dyDescent="0.15">
      <c r="B19" s="56" t="s">
        <v>60</v>
      </c>
      <c r="C19" t="s">
        <v>3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90">
        <f>SUM(tblExpenses[[#This Row],[Column1]:[Dec]])</f>
        <v>0</v>
      </c>
      <c r="Q19" s="57">
        <f>+tblExpenses[[#This Row],[Yearly]]/tblExpenses[[#Totals],[Yearly]]</f>
        <v>0</v>
      </c>
      <c r="R19" s="86" t="e">
        <f>tblExpenses[[#This Row],[Column1]]/tblExpenses[[#Totals],[Column1]]</f>
        <v>#DIV/0!</v>
      </c>
      <c r="S19" s="58">
        <f>tblExpenses[[#This Row],[Feb]]/tblExpenses[[#Totals],[Feb]]</f>
        <v>0</v>
      </c>
      <c r="T19" s="58">
        <f>tblExpenses[[#This Row],[Mar]]/tblExpenses[[#Totals],[Mar]]</f>
        <v>0</v>
      </c>
      <c r="U19" s="58">
        <f>tblExpenses[[#This Row],[Apr]]/tblExpenses[[#Totals],[Apr]]</f>
        <v>0</v>
      </c>
      <c r="V19" s="58">
        <f>tblExpenses[[#This Row],[May]]/tblExpenses[[#Totals],[May]]</f>
        <v>0</v>
      </c>
      <c r="W19" s="58">
        <f>tblExpenses[[#This Row],[Jun]]/tblExpenses[[#Totals],[Jun]]</f>
        <v>0</v>
      </c>
      <c r="X19" s="58">
        <f>tblExpenses[[#This Row],[Jul]]/tblExpenses[[#Totals],[Jul]]</f>
        <v>0</v>
      </c>
      <c r="Y19" s="58">
        <f>tblExpenses[[#This Row],[Aug]]/tblExpenses[[#Totals],[Aug]]</f>
        <v>0</v>
      </c>
      <c r="Z19" s="58">
        <f>tblExpenses[[#This Row],[Sep]]/tblExpenses[[#Totals],[Sep]]</f>
        <v>0</v>
      </c>
      <c r="AA19" s="58" t="e">
        <f>tblExpenses[[#This Row],[Oct]]/tblExpenses[[#Totals],[Oct]]</f>
        <v>#DIV/0!</v>
      </c>
      <c r="AB19" s="58" t="e">
        <f>tblExpenses[[#This Row],[Nov]]/tblExpenses[[#Totals],[Nov]]</f>
        <v>#DIV/0!</v>
      </c>
      <c r="AC19" s="58" t="e">
        <f>tblExpenses[[#This Row],[Dec]]/tblExpenses[[#Totals],[Dec]]</f>
        <v>#DIV/0!</v>
      </c>
      <c r="AD19" s="87">
        <f>tblExpenses[[#This Row],[Yearly]]/tblExpenses[[#Totals],[Yearly]]</f>
        <v>0</v>
      </c>
    </row>
    <row r="20" spans="1:32" ht="30" customHeight="1" x14ac:dyDescent="0.15">
      <c r="B20" s="56" t="s">
        <v>61</v>
      </c>
      <c r="C20" t="s">
        <v>3</v>
      </c>
      <c r="D20" s="61">
        <v>0</v>
      </c>
      <c r="E20" s="61">
        <v>0</v>
      </c>
      <c r="F20" s="61">
        <v>0</v>
      </c>
      <c r="G20" s="61">
        <v>0</v>
      </c>
      <c r="H20" s="61">
        <v>3000</v>
      </c>
      <c r="I20" s="61"/>
      <c r="J20" s="61"/>
      <c r="K20" s="61"/>
      <c r="L20" s="61"/>
      <c r="M20" s="61"/>
      <c r="N20" s="61"/>
      <c r="O20" s="61"/>
      <c r="P20" s="90">
        <f>SUM(tblExpenses[[#This Row],[Column1]:[Dec]])</f>
        <v>3000</v>
      </c>
      <c r="Q20" s="57">
        <f>+tblExpenses[[#This Row],[Yearly]]/tblExpenses[[#Totals],[Yearly]]</f>
        <v>2.5228356571873364E-3</v>
      </c>
      <c r="R20" s="86" t="e">
        <f>tblExpenses[[#This Row],[Column1]]/tblExpenses[[#Totals],[Column1]]</f>
        <v>#DIV/0!</v>
      </c>
      <c r="S20" s="58">
        <f>tblExpenses[[#This Row],[Feb]]/tblExpenses[[#Totals],[Feb]]</f>
        <v>0</v>
      </c>
      <c r="T20" s="58">
        <f>tblExpenses[[#This Row],[Mar]]/tblExpenses[[#Totals],[Mar]]</f>
        <v>0</v>
      </c>
      <c r="U20" s="58">
        <f>tblExpenses[[#This Row],[Apr]]/tblExpenses[[#Totals],[Apr]]</f>
        <v>0</v>
      </c>
      <c r="V20" s="58">
        <f>tblExpenses[[#This Row],[May]]/tblExpenses[[#Totals],[May]]</f>
        <v>1</v>
      </c>
      <c r="W20" s="58">
        <f>tblExpenses[[#This Row],[Jun]]/tblExpenses[[#Totals],[Jun]]</f>
        <v>0</v>
      </c>
      <c r="X20" s="58">
        <f>tblExpenses[[#This Row],[Jul]]/tblExpenses[[#Totals],[Jul]]</f>
        <v>0</v>
      </c>
      <c r="Y20" s="58">
        <f>tblExpenses[[#This Row],[Aug]]/tblExpenses[[#Totals],[Aug]]</f>
        <v>0</v>
      </c>
      <c r="Z20" s="58">
        <f>tblExpenses[[#This Row],[Sep]]/tblExpenses[[#Totals],[Sep]]</f>
        <v>0</v>
      </c>
      <c r="AA20" s="58" t="e">
        <f>tblExpenses[[#This Row],[Oct]]/tblExpenses[[#Totals],[Oct]]</f>
        <v>#DIV/0!</v>
      </c>
      <c r="AB20" s="58" t="e">
        <f>tblExpenses[[#This Row],[Nov]]/tblExpenses[[#Totals],[Nov]]</f>
        <v>#DIV/0!</v>
      </c>
      <c r="AC20" s="58" t="e">
        <f>tblExpenses[[#This Row],[Dec]]/tblExpenses[[#Totals],[Dec]]</f>
        <v>#DIV/0!</v>
      </c>
      <c r="AD20" s="87">
        <f>tblExpenses[[#This Row],[Yearly]]/tblExpenses[[#Totals],[Yearly]]</f>
        <v>2.5228356571873364E-3</v>
      </c>
    </row>
    <row r="21" spans="1:32" ht="30" customHeight="1" x14ac:dyDescent="0.15">
      <c r="B21" s="56" t="s">
        <v>62</v>
      </c>
      <c r="C21" t="s">
        <v>3</v>
      </c>
      <c r="D21" s="61">
        <v>0</v>
      </c>
      <c r="E21" s="61">
        <v>0</v>
      </c>
      <c r="F21" s="61">
        <v>0</v>
      </c>
      <c r="G21" s="61">
        <v>0</v>
      </c>
      <c r="H21" s="61"/>
      <c r="I21" s="61">
        <v>850</v>
      </c>
      <c r="J21" s="61"/>
      <c r="K21" s="61"/>
      <c r="L21" s="61"/>
      <c r="M21" s="61"/>
      <c r="N21" s="61"/>
      <c r="O21" s="61"/>
      <c r="P21" s="90">
        <f>SUM(tblExpenses[[#This Row],[Column1]:[Dec]])</f>
        <v>850</v>
      </c>
      <c r="Q21" s="57">
        <f>+tblExpenses[[#This Row],[Yearly]]/tblExpenses[[#Totals],[Yearly]]</f>
        <v>7.1480343620307862E-4</v>
      </c>
      <c r="R21" s="86" t="e">
        <f>tblExpenses[[#This Row],[Column1]]/tblExpenses[[#Totals],[Column1]]</f>
        <v>#DIV/0!</v>
      </c>
      <c r="S21" s="58">
        <f>tblExpenses[[#This Row],[Feb]]/tblExpenses[[#Totals],[Feb]]</f>
        <v>0</v>
      </c>
      <c r="T21" s="58">
        <f>tblExpenses[[#This Row],[Mar]]/tblExpenses[[#Totals],[Mar]]</f>
        <v>0</v>
      </c>
      <c r="U21" s="58">
        <f>tblExpenses[[#This Row],[Apr]]/tblExpenses[[#Totals],[Apr]]</f>
        <v>0</v>
      </c>
      <c r="V21" s="58">
        <f>tblExpenses[[#This Row],[May]]/tblExpenses[[#Totals],[May]]</f>
        <v>0</v>
      </c>
      <c r="W21" s="58">
        <f>tblExpenses[[#This Row],[Jun]]/tblExpenses[[#Totals],[Jun]]</f>
        <v>2.2038017810451891E-3</v>
      </c>
      <c r="X21" s="58">
        <f>tblExpenses[[#This Row],[Jul]]/tblExpenses[[#Totals],[Jul]]</f>
        <v>0</v>
      </c>
      <c r="Y21" s="58">
        <f>tblExpenses[[#This Row],[Aug]]/tblExpenses[[#Totals],[Aug]]</f>
        <v>0</v>
      </c>
      <c r="Z21" s="58">
        <f>tblExpenses[[#This Row],[Sep]]/tblExpenses[[#Totals],[Sep]]</f>
        <v>0</v>
      </c>
      <c r="AA21" s="58" t="e">
        <f>tblExpenses[[#This Row],[Oct]]/tblExpenses[[#Totals],[Oct]]</f>
        <v>#DIV/0!</v>
      </c>
      <c r="AB21" s="58" t="e">
        <f>tblExpenses[[#This Row],[Nov]]/tblExpenses[[#Totals],[Nov]]</f>
        <v>#DIV/0!</v>
      </c>
      <c r="AC21" s="58" t="e">
        <f>tblExpenses[[#This Row],[Dec]]/tblExpenses[[#Totals],[Dec]]</f>
        <v>#DIV/0!</v>
      </c>
      <c r="AD21" s="87">
        <f>tblExpenses[[#This Row],[Yearly]]/tblExpenses[[#Totals],[Yearly]]</f>
        <v>7.1480343620307862E-4</v>
      </c>
    </row>
    <row r="22" spans="1:32" ht="30" customHeight="1" x14ac:dyDescent="0.15">
      <c r="B22" s="56" t="s">
        <v>72</v>
      </c>
      <c r="C22" t="s">
        <v>3</v>
      </c>
      <c r="D22" s="61">
        <v>0</v>
      </c>
      <c r="E22" s="61">
        <v>0</v>
      </c>
      <c r="F22" s="61">
        <v>0</v>
      </c>
      <c r="G22" s="61">
        <v>0</v>
      </c>
      <c r="H22" s="61"/>
      <c r="I22" s="61">
        <v>5946.13</v>
      </c>
      <c r="J22" s="61">
        <v>2976.45</v>
      </c>
      <c r="K22" s="61">
        <v>5920.77</v>
      </c>
      <c r="L22" s="61">
        <v>2318</v>
      </c>
      <c r="M22" s="61"/>
      <c r="N22" s="61"/>
      <c r="O22" s="61"/>
      <c r="P22" s="90">
        <f>SUM(tblExpenses[[#This Row],[Column1]:[Dec]])</f>
        <v>17161.349999999999</v>
      </c>
      <c r="Q22" s="57">
        <f>+tblExpenses[[#This Row],[Yearly]]/tblExpenses[[#Totals],[Yearly]]</f>
        <v>1.4431755235157296E-2</v>
      </c>
      <c r="R22" s="86" t="e">
        <f>tblExpenses[[#This Row],[Column1]]/tblExpenses[[#Totals],[Column1]]</f>
        <v>#DIV/0!</v>
      </c>
      <c r="S22" s="58">
        <f>tblExpenses[[#This Row],[Feb]]/tblExpenses[[#Totals],[Feb]]</f>
        <v>0</v>
      </c>
      <c r="T22" s="58">
        <f>tblExpenses[[#This Row],[Mar]]/tblExpenses[[#Totals],[Mar]]</f>
        <v>0</v>
      </c>
      <c r="U22" s="58">
        <f>tblExpenses[[#This Row],[Apr]]/tblExpenses[[#Totals],[Apr]]</f>
        <v>0</v>
      </c>
      <c r="V22" s="58">
        <f>tblExpenses[[#This Row],[May]]/tblExpenses[[#Totals],[May]]</f>
        <v>0</v>
      </c>
      <c r="W22" s="58">
        <f>tblExpenses[[#This Row],[Jun]]/tblExpenses[[#Totals],[Jun]]</f>
        <v>1.5416578687442624E-2</v>
      </c>
      <c r="X22" s="58">
        <f>tblExpenses[[#This Row],[Jul]]/tblExpenses[[#Totals],[Jul]]</f>
        <v>6.3484351916150532E-3</v>
      </c>
      <c r="Y22" s="58">
        <f>tblExpenses[[#This Row],[Aug]]/tblExpenses[[#Totals],[Aug]]</f>
        <v>0.15585981706227187</v>
      </c>
      <c r="Z22" s="58">
        <f>tblExpenses[[#This Row],[Sep]]/tblExpenses[[#Totals],[Sep]]</f>
        <v>0.30701458120588654</v>
      </c>
      <c r="AA22" s="58" t="e">
        <f>tblExpenses[[#This Row],[Oct]]/tblExpenses[[#Totals],[Oct]]</f>
        <v>#DIV/0!</v>
      </c>
      <c r="AB22" s="58" t="e">
        <f>tblExpenses[[#This Row],[Nov]]/tblExpenses[[#Totals],[Nov]]</f>
        <v>#DIV/0!</v>
      </c>
      <c r="AC22" s="58" t="e">
        <f>tblExpenses[[#This Row],[Dec]]/tblExpenses[[#Totals],[Dec]]</f>
        <v>#DIV/0!</v>
      </c>
      <c r="AD22" s="87">
        <f>tblExpenses[[#This Row],[Yearly]]/tblExpenses[[#Totals],[Yearly]]</f>
        <v>1.4431755235157296E-2</v>
      </c>
    </row>
    <row r="23" spans="1:32" ht="30" customHeight="1" x14ac:dyDescent="0.15">
      <c r="B23" s="56" t="s">
        <v>73</v>
      </c>
      <c r="C23" t="s">
        <v>3</v>
      </c>
      <c r="D23" s="117">
        <v>0</v>
      </c>
      <c r="E23" s="117">
        <v>106849.99</v>
      </c>
      <c r="F23" s="117">
        <v>68251.839999999997</v>
      </c>
      <c r="G23" s="117">
        <v>0</v>
      </c>
      <c r="H23" s="117">
        <v>0</v>
      </c>
      <c r="I23" s="61">
        <v>11883.09</v>
      </c>
      <c r="J23" s="61"/>
      <c r="K23" s="61">
        <v>4000</v>
      </c>
      <c r="L23" s="61">
        <v>4000</v>
      </c>
      <c r="M23" s="61"/>
      <c r="N23" s="61"/>
      <c r="O23" s="61"/>
      <c r="P23" s="90">
        <f>SUM(tblExpenses[[#This Row],[Column1]:[Dec]])</f>
        <v>194984.92</v>
      </c>
      <c r="Q23" s="57">
        <f>+tblExpenses[[#This Row],[Yearly]]/tblExpenses[[#Totals],[Yearly]]</f>
        <v>0.16397163626327341</v>
      </c>
      <c r="R23" s="86" t="e">
        <f>tblExpenses[[#This Row],[Column1]]/tblExpenses[[#Totals],[Column1]]</f>
        <v>#DIV/0!</v>
      </c>
      <c r="S23" s="58">
        <f>tblExpenses[[#This Row],[Feb]]/tblExpenses[[#Totals],[Feb]]</f>
        <v>0.99783343585602025</v>
      </c>
      <c r="T23" s="58">
        <f>tblExpenses[[#This Row],[Mar]]/tblExpenses[[#Totals],[Mar]]</f>
        <v>0.73132458974868086</v>
      </c>
      <c r="U23" s="58">
        <f>tblExpenses[[#This Row],[Apr]]/tblExpenses[[#Totals],[Apr]]</f>
        <v>0</v>
      </c>
      <c r="V23" s="58">
        <f>tblExpenses[[#This Row],[May]]/tblExpenses[[#Totals],[May]]</f>
        <v>0</v>
      </c>
      <c r="W23" s="58">
        <f>tblExpenses[[#This Row],[Jun]]/tblExpenses[[#Totals],[Jun]]</f>
        <v>3.0809382242729735E-2</v>
      </c>
      <c r="X23" s="58">
        <f>tblExpenses[[#This Row],[Jul]]/tblExpenses[[#Totals],[Jul]]</f>
        <v>0</v>
      </c>
      <c r="Y23" s="58">
        <f>tblExpenses[[#This Row],[Aug]]/tblExpenses[[#Totals],[Aug]]</f>
        <v>0.10529699148068367</v>
      </c>
      <c r="Z23" s="58">
        <f>tblExpenses[[#This Row],[Sep]]/tblExpenses[[#Totals],[Sep]]</f>
        <v>0.52979220225347112</v>
      </c>
      <c r="AA23" s="58" t="e">
        <f>tblExpenses[[#This Row],[Oct]]/tblExpenses[[#Totals],[Oct]]</f>
        <v>#DIV/0!</v>
      </c>
      <c r="AB23" s="58" t="e">
        <f>tblExpenses[[#This Row],[Nov]]/tblExpenses[[#Totals],[Nov]]</f>
        <v>#DIV/0!</v>
      </c>
      <c r="AC23" s="58" t="e">
        <f>tblExpenses[[#This Row],[Dec]]/tblExpenses[[#Totals],[Dec]]</f>
        <v>#DIV/0!</v>
      </c>
      <c r="AD23" s="87">
        <f>tblExpenses[[#This Row],[Yearly]]/tblExpenses[[#Totals],[Yearly]]</f>
        <v>0.16397163626327341</v>
      </c>
    </row>
    <row r="24" spans="1:32" ht="30" customHeight="1" x14ac:dyDescent="0.15">
      <c r="A24" s="1"/>
      <c r="B24" s="56" t="s">
        <v>74</v>
      </c>
      <c r="C24" t="s">
        <v>3</v>
      </c>
      <c r="D24" s="61">
        <v>0</v>
      </c>
      <c r="E24" s="61">
        <v>0</v>
      </c>
      <c r="F24" s="61">
        <v>0</v>
      </c>
      <c r="G24" s="61">
        <v>0</v>
      </c>
      <c r="H24" s="117">
        <v>0</v>
      </c>
      <c r="I24" s="61">
        <v>14500</v>
      </c>
      <c r="J24" s="61"/>
      <c r="K24" s="61">
        <v>14500</v>
      </c>
      <c r="L24" s="61"/>
      <c r="M24" s="61"/>
      <c r="N24" s="61"/>
      <c r="O24" s="61"/>
      <c r="P24" s="90">
        <f>SUM(tblExpenses[[#This Row],[Column1]:[Dec]])</f>
        <v>29000</v>
      </c>
      <c r="Q24" s="57">
        <f>+tblExpenses[[#This Row],[Yearly]]/tblExpenses[[#Totals],[Yearly]]</f>
        <v>2.4387411352810917E-2</v>
      </c>
      <c r="R24" s="86" t="e">
        <f>tblExpenses[[#This Row],[Column1]]/tblExpenses[[#Totals],[Column1]]</f>
        <v>#DIV/0!</v>
      </c>
      <c r="S24" s="58">
        <f>tblExpenses[[#This Row],[Feb]]/tblExpenses[[#Totals],[Feb]]</f>
        <v>0</v>
      </c>
      <c r="T24" s="58">
        <f>tblExpenses[[#This Row],[Mar]]/tblExpenses[[#Totals],[Mar]]</f>
        <v>0</v>
      </c>
      <c r="U24" s="58">
        <f>tblExpenses[[#This Row],[Apr]]/tblExpenses[[#Totals],[Apr]]</f>
        <v>0</v>
      </c>
      <c r="V24" s="58">
        <f>tblExpenses[[#This Row],[May]]/tblExpenses[[#Totals],[May]]</f>
        <v>0</v>
      </c>
      <c r="W24" s="58">
        <f>tblExpenses[[#This Row],[Jun]]/tblExpenses[[#Totals],[Jun]]</f>
        <v>3.7594265676653228E-2</v>
      </c>
      <c r="X24" s="58">
        <f>tblExpenses[[#This Row],[Jul]]/tblExpenses[[#Totals],[Jul]]</f>
        <v>0</v>
      </c>
      <c r="Y24" s="58">
        <f>tblExpenses[[#This Row],[Aug]]/tblExpenses[[#Totals],[Aug]]</f>
        <v>0.38170159411747828</v>
      </c>
      <c r="Z24" s="58">
        <f>tblExpenses[[#This Row],[Sep]]/tblExpenses[[#Totals],[Sep]]</f>
        <v>0</v>
      </c>
      <c r="AA24" s="58" t="e">
        <f>tblExpenses[[#This Row],[Oct]]/tblExpenses[[#Totals],[Oct]]</f>
        <v>#DIV/0!</v>
      </c>
      <c r="AB24" s="58" t="e">
        <f>tblExpenses[[#This Row],[Nov]]/tblExpenses[[#Totals],[Nov]]</f>
        <v>#DIV/0!</v>
      </c>
      <c r="AC24" s="58" t="e">
        <f>tblExpenses[[#This Row],[Dec]]/tblExpenses[[#Totals],[Dec]]</f>
        <v>#DIV/0!</v>
      </c>
      <c r="AD24" s="87">
        <f>tblExpenses[[#This Row],[Yearly]]/tblExpenses[[#Totals],[Yearly]]</f>
        <v>2.4387411352810917E-2</v>
      </c>
    </row>
    <row r="25" spans="1:32" ht="30" customHeight="1" x14ac:dyDescent="0.15">
      <c r="A25" s="2"/>
      <c r="B25" s="56"/>
      <c r="C25" t="s">
        <v>3</v>
      </c>
      <c r="D25" s="61">
        <v>0</v>
      </c>
      <c r="E25" s="61">
        <v>0</v>
      </c>
      <c r="F25" s="61">
        <v>0</v>
      </c>
      <c r="G25" s="61">
        <v>0</v>
      </c>
      <c r="H25" s="117">
        <v>0</v>
      </c>
      <c r="I25" s="61">
        <v>0</v>
      </c>
      <c r="J25" s="61"/>
      <c r="K25" s="61"/>
      <c r="L25" s="61"/>
      <c r="M25" s="61"/>
      <c r="N25" s="61"/>
      <c r="O25" s="61"/>
      <c r="P25" s="90">
        <f>SUM(tblExpenses[[#This Row],[Column1]:[Dec]])</f>
        <v>0</v>
      </c>
      <c r="Q25" s="57">
        <f>+tblExpenses[[#This Row],[Yearly]]/tblExpenses[[#Totals],[Yearly]]</f>
        <v>0</v>
      </c>
      <c r="R25" s="86" t="e">
        <f>tblExpenses[[#This Row],[Column1]]/tblExpenses[[#Totals],[Column1]]</f>
        <v>#DIV/0!</v>
      </c>
      <c r="S25" s="58">
        <f>tblExpenses[[#This Row],[Feb]]/tblExpenses[[#Totals],[Feb]]</f>
        <v>0</v>
      </c>
      <c r="T25" s="58">
        <f>tblExpenses[[#This Row],[Mar]]/tblExpenses[[#Totals],[Mar]]</f>
        <v>0</v>
      </c>
      <c r="U25" s="58">
        <f>tblExpenses[[#This Row],[Apr]]/tblExpenses[[#Totals],[Apr]]</f>
        <v>0</v>
      </c>
      <c r="V25" s="58">
        <f>tblExpenses[[#This Row],[May]]/tblExpenses[[#Totals],[May]]</f>
        <v>0</v>
      </c>
      <c r="W25" s="58">
        <f>tblExpenses[[#This Row],[Jun]]/tblExpenses[[#Totals],[Jun]]</f>
        <v>0</v>
      </c>
      <c r="X25" s="58">
        <f>tblExpenses[[#This Row],[Jul]]/tblExpenses[[#Totals],[Jul]]</f>
        <v>0</v>
      </c>
      <c r="Y25" s="58">
        <f>tblExpenses[[#This Row],[Aug]]/tblExpenses[[#Totals],[Aug]]</f>
        <v>0</v>
      </c>
      <c r="Z25" s="58">
        <f>tblExpenses[[#This Row],[Sep]]/tblExpenses[[#Totals],[Sep]]</f>
        <v>0</v>
      </c>
      <c r="AA25" s="58" t="e">
        <f>tblExpenses[[#This Row],[Oct]]/tblExpenses[[#Totals],[Oct]]</f>
        <v>#DIV/0!</v>
      </c>
      <c r="AB25" s="58" t="e">
        <f>tblExpenses[[#This Row],[Nov]]/tblExpenses[[#Totals],[Nov]]</f>
        <v>#DIV/0!</v>
      </c>
      <c r="AC25" s="58" t="e">
        <f>tblExpenses[[#This Row],[Dec]]/tblExpenses[[#Totals],[Dec]]</f>
        <v>#DIV/0!</v>
      </c>
      <c r="AD25" s="87">
        <f>tblExpenses[[#This Row],[Yearly]]/tblExpenses[[#Totals],[Yearly]]</f>
        <v>0</v>
      </c>
    </row>
    <row r="26" spans="1:32" s="8" customFormat="1" ht="30" customHeight="1" x14ac:dyDescent="0.15">
      <c r="B26" s="62" t="s">
        <v>11</v>
      </c>
      <c r="C26" t="s">
        <v>3</v>
      </c>
      <c r="D26" s="61">
        <f>SUBTOTAL(109,tblExpenses[Column1])</f>
        <v>0</v>
      </c>
      <c r="E26" s="61">
        <f>SUBTOTAL(109,tblExpenses[Feb])</f>
        <v>107081.99</v>
      </c>
      <c r="F26" s="61">
        <f>SUBTOTAL(109,tblExpenses[Mar])</f>
        <v>93326.329999999987</v>
      </c>
      <c r="G26" s="61">
        <f>SUBTOTAL(109,tblExpenses[Apr])</f>
        <v>85646.92</v>
      </c>
      <c r="H26" s="61">
        <f>SUBTOTAL(109,tblExpenses[May])</f>
        <v>3000</v>
      </c>
      <c r="I26" s="61">
        <f>SUBTOTAL(109,tblExpenses[Jun])</f>
        <v>385697.12</v>
      </c>
      <c r="J26" s="61">
        <f>SUBTOTAL(109,tblExpenses[Jul])</f>
        <v>468847.82</v>
      </c>
      <c r="K26" s="61">
        <f>SUBTOTAL(109,tblExpenses[Aug])</f>
        <v>37987.79</v>
      </c>
      <c r="L26" s="61">
        <f>SUBTOTAL(109,tblExpenses[Sep])</f>
        <v>7550.13</v>
      </c>
      <c r="M26" s="61">
        <f>SUBTOTAL(109,tblExpenses[Oct])</f>
        <v>0</v>
      </c>
      <c r="N26" s="61">
        <f>SUBTOTAL(109,tblExpenses[Nov])</f>
        <v>0</v>
      </c>
      <c r="O26" s="61">
        <f>SUBTOTAL(109,tblExpenses[Dec])</f>
        <v>0</v>
      </c>
      <c r="P26" s="91">
        <f>SUBTOTAL(109,tblExpenses[Yearly])</f>
        <v>1189138.0999999999</v>
      </c>
      <c r="Q26" s="113">
        <f>SUBTOTAL(109,tblExpenses[Index %])</f>
        <v>1.0000000000000002</v>
      </c>
      <c r="R26" s="114" t="e">
        <f>SUBTOTAL(109,tblExpenses[Jan %])</f>
        <v>#DIV/0!</v>
      </c>
      <c r="S26" s="115">
        <f>SUBTOTAL(109,tblExpenses[Feb %])</f>
        <v>1</v>
      </c>
      <c r="T26" s="115">
        <f>SUBTOTAL(109,tblExpenses[Mar %])</f>
        <v>1</v>
      </c>
      <c r="U26" s="115">
        <f>SUBTOTAL(109,tblExpenses[Apr %])</f>
        <v>1</v>
      </c>
      <c r="V26" s="115">
        <f>SUBTOTAL(109,tblExpenses[May %])</f>
        <v>1</v>
      </c>
      <c r="W26" s="115">
        <f>SUBTOTAL(109,tblExpenses[Jun %])</f>
        <v>1.0000000000000002</v>
      </c>
      <c r="X26" s="115">
        <f>SUBTOTAL(109,tblExpenses[Jul %])</f>
        <v>1</v>
      </c>
      <c r="Y26" s="115">
        <f>SUBTOTAL(109,tblExpenses[Aug %])</f>
        <v>0.99999999999999989</v>
      </c>
      <c r="Z26" s="115">
        <f>SUBTOTAL(109,tblExpenses[Sep %])</f>
        <v>1</v>
      </c>
      <c r="AA26" s="115" t="e">
        <f>SUBTOTAL(109,tblExpenses[Oct %])</f>
        <v>#DIV/0!</v>
      </c>
      <c r="AB26" s="115" t="e">
        <f>SUBTOTAL(109,tblExpenses[Nov %])</f>
        <v>#DIV/0!</v>
      </c>
      <c r="AC26" s="115" t="e">
        <f>SUBTOTAL(109,tblExpenses[Dec %])</f>
        <v>#DIV/0!</v>
      </c>
      <c r="AD26" s="116">
        <f>SUBTOTAL(109,tblExpenses[Year %])</f>
        <v>1.0000000000000002</v>
      </c>
      <c r="AE26"/>
      <c r="AF26"/>
    </row>
    <row r="27" spans="1:32" ht="10" customHeight="1" x14ac:dyDescent="0.1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2" ht="30" customHeight="1" x14ac:dyDescent="0.15">
      <c r="B28" s="92" t="s">
        <v>2</v>
      </c>
      <c r="C28" s="93"/>
      <c r="D28" s="94">
        <f>'Costo de ventas'!$D$16-tblExpenses[[#Totals],[Column1]]</f>
        <v>480000</v>
      </c>
      <c r="E28" s="94">
        <f>'Costo de ventas'!E16-tblExpenses[[#Totals],[Feb]]</f>
        <v>317898.01</v>
      </c>
      <c r="F28" s="94">
        <f>'Costo de ventas'!F16-tblExpenses[[#Totals],[Mar]]</f>
        <v>376673.67000000004</v>
      </c>
      <c r="G28" s="94">
        <f>'Costo de ventas'!G16-tblExpenses[[#Totals],[Apr]]</f>
        <v>20353.080000000002</v>
      </c>
      <c r="H28" s="94">
        <f>'Costo de ventas'!H16-tblExpenses[[#Totals],[May]]</f>
        <v>34246</v>
      </c>
      <c r="I28" s="94">
        <f>'Costo de ventas'!I16-tblExpenses[[#Totals],[Jun]]</f>
        <v>67318.310000000056</v>
      </c>
      <c r="J28" s="94">
        <f>'Costo de ventas'!J16-tblExpenses[[#Totals],[Jul]]</f>
        <v>-442351.84</v>
      </c>
      <c r="K28" s="94">
        <f>'Costo de ventas'!K16-tblExpenses[[#Totals],[Aug]]</f>
        <v>-234347.88000000003</v>
      </c>
      <c r="L28" s="94">
        <f>'Costo de ventas'!L16-tblExpenses[[#Totals],[Sep]]</f>
        <v>-262682.10000000003</v>
      </c>
      <c r="M28" s="94">
        <f>'Costo de ventas'!M16-tblExpenses[[#Totals],[Oct]]</f>
        <v>0</v>
      </c>
      <c r="N28" s="94">
        <f>'Costo de ventas'!N16-tblExpenses[[#Totals],[Nov]]</f>
        <v>0</v>
      </c>
      <c r="O28" s="94">
        <f>'Costo de ventas'!O16-tblExpenses[[#Totals],[Dec]]</f>
        <v>0</v>
      </c>
      <c r="P28" s="94">
        <f>SUM(D28:O28)</f>
        <v>357107.25000000017</v>
      </c>
      <c r="Q28" s="72"/>
      <c r="R28" s="95">
        <f>D28/$P$28</f>
        <v>1.3441340101608124</v>
      </c>
      <c r="S28" s="95">
        <f t="shared" ref="S28:AD28" si="1">E28/$P$28</f>
        <v>0.89020318125717091</v>
      </c>
      <c r="T28" s="95">
        <f t="shared" si="1"/>
        <v>1.0547914387064385</v>
      </c>
      <c r="U28" s="95">
        <f t="shared" si="1"/>
        <v>5.6994306332341309E-2</v>
      </c>
      <c r="V28" s="95">
        <f t="shared" si="1"/>
        <v>9.5898361066598298E-2</v>
      </c>
      <c r="W28" s="95">
        <f t="shared" si="1"/>
        <v>0.18851006245322666</v>
      </c>
      <c r="X28" s="95">
        <f t="shared" si="1"/>
        <v>-1.2387086512525294</v>
      </c>
      <c r="Y28" s="95">
        <f t="shared" si="1"/>
        <v>-0.65623949107726021</v>
      </c>
      <c r="Z28" s="95">
        <f t="shared" si="1"/>
        <v>-0.73558321764679913</v>
      </c>
      <c r="AA28" s="95">
        <f t="shared" si="1"/>
        <v>0</v>
      </c>
      <c r="AB28" s="95">
        <f t="shared" si="1"/>
        <v>0</v>
      </c>
      <c r="AC28" s="95">
        <f t="shared" si="1"/>
        <v>0</v>
      </c>
      <c r="AD28" s="95">
        <f t="shared" si="1"/>
        <v>1</v>
      </c>
    </row>
  </sheetData>
  <dataValidations count="18">
    <dataValidation allowBlank="1" showInputMessage="1" showErrorMessage="1" prompt="This worksheet calculates total expenses for each month &amp; year, &amp; total annual expenses on each item. Net profit is automatically calculated based on gross profit &amp; total expenses " sqref="A1:A1048576" xr:uid="{00000000-0002-0000-0200-000000000000}"/>
    <dataValidation allowBlank="1" showInputMessage="1" showErrorMessage="1" prompt="Automatically updated title from Revenue (Sales) worksheet. Enter values in the Expenses table below to calculate total expenses" sqref="B3:B4" xr:uid="{00000000-0002-0000-0200-000001000000}"/>
    <dataValidation allowBlank="1" showInputMessage="1" showErrorMessage="1" prompt="Enter index percent in this column" sqref="Q6" xr:uid="{00000000-0002-0000-0200-000002000000}"/>
    <dataValidation allowBlank="1" showInputMessage="1" showErrorMessage="1" prompt="Net profit is automatically calculated for each month &amp; year based on gross profit &amp; total expenses" sqref="B28" xr:uid="{00000000-0002-0000-0200-000003000000}"/>
    <dataValidation allowBlank="1" showInputMessage="1" showErrorMessage="1" prompt="Enter expenses of sources listed in column B, in this column" sqref="D6:O6" xr:uid="{00000000-0002-0000-0200-000004000000}"/>
    <dataValidation allowBlank="1" showInputMessage="1" showErrorMessage="1" prompt="A trend chart for expenses over time is in this column" sqref="C6" xr:uid="{00000000-0002-0000-0200-000005000000}"/>
    <dataValidation allowBlank="1" showInputMessage="1" showErrorMessage="1" prompt="Enter expenses in this column" sqref="B6" xr:uid="{00000000-0002-0000-0200-000006000000}"/>
    <dataValidation allowBlank="1" showInputMessage="1" showErrorMessage="1" prompt="Automatically calculates proportion of expenses from different sources to total expenses for the year in this column" sqref="AD5" xr:uid="{00000000-0002-0000-0200-000007000000}"/>
    <dataValidation allowBlank="1" showInputMessage="1" showErrorMessage="1" prompt="Automatically calculates proportion of expenses from different sources to total expenses in this column, for the month in this cell" sqref="R5:AC5" xr:uid="{00000000-0002-0000-0200-000008000000}"/>
    <dataValidation allowBlank="1" showInputMessage="1" showErrorMessage="1" prompt="Automatically updated month" sqref="E5:O5" xr:uid="{00000000-0002-0000-0200-000009000000}"/>
    <dataValidation allowBlank="1" showInputMessage="1" showErrorMessage="1" prompt="The dates in this row are automatically updated based on the starting month of fiscal year. To change starting month, modify cell AC2" sqref="D5" xr:uid="{00000000-0002-0000-0200-00000A000000}"/>
    <dataValidation allowBlank="1" showInputMessage="1" showErrorMessage="1" prompt="Annual Expense is automatically calculated in this column" sqref="P5" xr:uid="{00000000-0002-0000-0200-00000B000000}"/>
    <dataValidation allowBlank="1" showInputMessage="1" showErrorMessage="1" prompt="Index percent is in this column" sqref="Q5" xr:uid="{00000000-0002-0000-0200-00000C000000}"/>
    <dataValidation allowBlank="1" showInputMessage="1" showErrorMessage="1" prompt="Month &amp; year are automatically updated in cells at right. To change month or year, modify cells AC2 and AD2 in Revenue (Sales) worksheet" sqref="E2" xr:uid="{00000000-0002-0000-0200-00000D000000}"/>
    <dataValidation allowBlank="1" showInputMessage="1" showErrorMessage="1" prompt="Automatically updated month. To change, modify cell AC2 in Revenues (Sales) worksheet" sqref="F2" xr:uid="{00000000-0002-0000-0200-00000E000000}"/>
    <dataValidation allowBlank="1" showInputMessage="1" showErrorMessage="1" prompt="Automatically updated year. To change, modify cell AD2 in Revenues (Sales) worksheet" sqref="G2" xr:uid="{00000000-0002-0000-0200-00000F000000}"/>
    <dataValidation allowBlank="1" showInputMessage="1" showErrorMessage="1" prompt="This cell is automatically updated from the projection period title in Revenue (Sales) worksheet" sqref="B2" xr:uid="{00000000-0002-0000-0200-000010000000}"/>
    <dataValidation allowBlank="1" showInputMessage="1" showErrorMessage="1" prompt="Company name is automatically updated using the entry from Revenue (Sales) sheet" sqref="AD2 B1" xr:uid="{00000000-0002-0000-0200-000011000000}"/>
  </dataValidations>
  <printOptions horizontalCentered="1"/>
  <pageMargins left="0.25" right="0.25" top="0.75" bottom="0.75" header="0.3" footer="0.3"/>
  <pageSetup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200-000004000000}">
          <x14:colorSeries theme="9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9" tint="-0.499984740745262"/>
          <x14:colorLow theme="9" tint="-0.499984740745262"/>
          <x14:sparklines>
            <x14:sparkline>
              <xm:f>Egresos!D26:O26</xm:f>
              <xm:sqref>C26</xm:sqref>
            </x14:sparkline>
          </x14:sparklines>
        </x14:sparklineGroup>
        <x14:sparklineGroup lineWeight="1" displayEmptyCellsAs="gap" high="1" low="1" xr2:uid="{00000000-0003-0000-0200-000005000000}">
          <x14:colorSeries theme="9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9" tint="-0.499984740745262"/>
          <x14:colorLow theme="9" tint="-0.499984740745262"/>
          <x14:sparklines>
            <x14:sparkline>
              <xm:f>Egresos!D7:O7</xm:f>
              <xm:sqref>C7</xm:sqref>
            </x14:sparkline>
            <x14:sparkline>
              <xm:f>Egresos!D8:O8</xm:f>
              <xm:sqref>C8</xm:sqref>
            </x14:sparkline>
            <x14:sparkline>
              <xm:f>Egresos!D9:O9</xm:f>
              <xm:sqref>C9</xm:sqref>
            </x14:sparkline>
            <x14:sparkline>
              <xm:f>Egresos!D10:O10</xm:f>
              <xm:sqref>C10</xm:sqref>
            </x14:sparkline>
            <x14:sparkline>
              <xm:f>Egresos!D11:O11</xm:f>
              <xm:sqref>C11</xm:sqref>
            </x14:sparkline>
            <x14:sparkline>
              <xm:f>Egresos!D12:O12</xm:f>
              <xm:sqref>C12</xm:sqref>
            </x14:sparkline>
            <x14:sparkline>
              <xm:f>Egresos!D13:O13</xm:f>
              <xm:sqref>C13</xm:sqref>
            </x14:sparkline>
            <x14:sparkline>
              <xm:f>Egresos!D14:O14</xm:f>
              <xm:sqref>C14</xm:sqref>
            </x14:sparkline>
            <x14:sparkline>
              <xm:f>Egresos!D15:O15</xm:f>
              <xm:sqref>C15</xm:sqref>
            </x14:sparkline>
            <x14:sparkline>
              <xm:f>Egresos!E16:O16</xm:f>
              <xm:sqref>C16</xm:sqref>
            </x14:sparkline>
            <x14:sparkline>
              <xm:f>Egresos!D17:O17</xm:f>
              <xm:sqref>C17</xm:sqref>
            </x14:sparkline>
            <x14:sparkline>
              <xm:f>Egresos!D18:O18</xm:f>
              <xm:sqref>C18</xm:sqref>
            </x14:sparkline>
            <x14:sparkline>
              <xm:f>Egresos!D19:O19</xm:f>
              <xm:sqref>C19</xm:sqref>
            </x14:sparkline>
            <x14:sparkline>
              <xm:f>Egresos!D20:O20</xm:f>
              <xm:sqref>C20</xm:sqref>
            </x14:sparkline>
            <x14:sparkline>
              <xm:f>Egresos!D21:O21</xm:f>
              <xm:sqref>C21</xm:sqref>
            </x14:sparkline>
            <x14:sparkline>
              <xm:f>Egresos!D22:O22</xm:f>
              <xm:sqref>C22</xm:sqref>
            </x14:sparkline>
            <x14:sparkline>
              <xm:f>Egresos!D23:O23</xm:f>
              <xm:sqref>C23</xm:sqref>
            </x14:sparkline>
            <x14:sparkline>
              <xm:f>Egresos!D24:O24</xm:f>
              <xm:sqref>C24</xm:sqref>
            </x14:sparkline>
            <x14:sparkline>
              <xm:f>Egresos!D25:O25</xm:f>
              <xm:sqref>C25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9C1D-B2B7-4633-A9E2-38D13628703F}">
  <dimension ref="A1:AL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baseColWidth="10" defaultColWidth="8.83203125" defaultRowHeight="14" x14ac:dyDescent="0.15"/>
  <cols>
    <col min="1" max="1" width="27" bestFit="1" customWidth="1"/>
    <col min="2" max="2" width="5.6640625" bestFit="1" customWidth="1"/>
    <col min="3" max="3" width="6.33203125" customWidth="1"/>
    <col min="4" max="4" width="3.1640625" style="7" bestFit="1" customWidth="1"/>
    <col min="5" max="5" width="11" bestFit="1" customWidth="1"/>
    <col min="6" max="6" width="10.5" bestFit="1" customWidth="1"/>
    <col min="7" max="7" width="5.5" style="7" bestFit="1" customWidth="1"/>
    <col min="8" max="8" width="8.6640625" bestFit="1" customWidth="1"/>
    <col min="9" max="9" width="10.83203125" bestFit="1" customWidth="1"/>
    <col min="10" max="10" width="11.1640625" style="7" bestFit="1" customWidth="1"/>
    <col min="11" max="11" width="11" bestFit="1" customWidth="1"/>
    <col min="12" max="12" width="9.1640625" bestFit="1" customWidth="1"/>
    <col min="13" max="13" width="9.83203125" style="7" bestFit="1" customWidth="1"/>
    <col min="14" max="14" width="9.6640625" bestFit="1" customWidth="1"/>
    <col min="15" max="15" width="9.1640625" bestFit="1" customWidth="1"/>
    <col min="16" max="16" width="9.83203125" style="7" bestFit="1" customWidth="1"/>
    <col min="17" max="17" width="9.6640625" bestFit="1" customWidth="1"/>
    <col min="18" max="18" width="9.1640625" bestFit="1" customWidth="1"/>
    <col min="19" max="19" width="9.83203125" style="7" bestFit="1" customWidth="1"/>
    <col min="20" max="20" width="12" bestFit="1" customWidth="1"/>
    <col min="21" max="21" width="9.1640625" bestFit="1" customWidth="1"/>
    <col min="22" max="22" width="9.1640625" style="7" bestFit="1" customWidth="1"/>
    <col min="23" max="23" width="9.6640625" bestFit="1" customWidth="1"/>
    <col min="24" max="24" width="7.1640625" bestFit="1" customWidth="1"/>
    <col min="25" max="25" width="9.83203125" style="7" bestFit="1" customWidth="1"/>
    <col min="26" max="26" width="7.6640625" bestFit="1" customWidth="1"/>
    <col min="27" max="27" width="7.1640625" bestFit="1" customWidth="1"/>
    <col min="28" max="28" width="5.5" bestFit="1" customWidth="1"/>
    <col min="29" max="29" width="6.33203125" bestFit="1" customWidth="1"/>
    <col min="30" max="30" width="6.33203125" style="7" customWidth="1"/>
    <col min="33" max="33" width="8.6640625" style="7"/>
    <col min="38" max="38" width="9.83203125" bestFit="1" customWidth="1"/>
  </cols>
  <sheetData>
    <row r="1" spans="1:38" x14ac:dyDescent="0.15">
      <c r="A1" s="129"/>
      <c r="B1" s="134" t="s">
        <v>23</v>
      </c>
      <c r="C1" s="134"/>
      <c r="D1" s="134"/>
      <c r="E1" s="134" t="s">
        <v>24</v>
      </c>
      <c r="F1" s="134"/>
      <c r="G1" s="134"/>
      <c r="H1" s="134" t="s">
        <v>25</v>
      </c>
      <c r="I1" s="134"/>
      <c r="J1" s="134"/>
      <c r="K1" s="134" t="s">
        <v>26</v>
      </c>
      <c r="L1" s="134"/>
      <c r="M1" s="134"/>
      <c r="N1" s="134" t="s">
        <v>15</v>
      </c>
      <c r="O1" s="134"/>
      <c r="P1" s="134"/>
      <c r="Q1" s="134" t="s">
        <v>16</v>
      </c>
      <c r="R1" s="134"/>
      <c r="S1" s="134"/>
      <c r="T1" s="134" t="s">
        <v>17</v>
      </c>
      <c r="U1" s="134"/>
      <c r="V1" s="134"/>
      <c r="W1" s="134" t="s">
        <v>18</v>
      </c>
      <c r="X1" s="134"/>
      <c r="Y1" s="134"/>
      <c r="Z1" s="134" t="s">
        <v>19</v>
      </c>
      <c r="AA1" s="134"/>
      <c r="AB1" s="134"/>
      <c r="AC1" s="134" t="s">
        <v>20</v>
      </c>
      <c r="AD1" s="134"/>
      <c r="AE1" s="134"/>
      <c r="AF1" s="134" t="s">
        <v>21</v>
      </c>
      <c r="AG1" s="134"/>
      <c r="AH1" s="134"/>
      <c r="AI1" s="134" t="s">
        <v>22</v>
      </c>
      <c r="AJ1" s="134"/>
      <c r="AK1" s="134"/>
      <c r="AL1" s="130" t="s">
        <v>83</v>
      </c>
    </row>
    <row r="2" spans="1:38" x14ac:dyDescent="0.15">
      <c r="A2" s="131" t="s">
        <v>78</v>
      </c>
      <c r="B2" s="128" t="s">
        <v>81</v>
      </c>
      <c r="C2" s="128" t="s">
        <v>80</v>
      </c>
      <c r="D2" s="128" t="s">
        <v>82</v>
      </c>
      <c r="E2" s="128" t="s">
        <v>81</v>
      </c>
      <c r="F2" s="128" t="s">
        <v>80</v>
      </c>
      <c r="G2" s="128" t="s">
        <v>82</v>
      </c>
      <c r="H2" s="128" t="s">
        <v>81</v>
      </c>
      <c r="I2" s="128" t="s">
        <v>80</v>
      </c>
      <c r="J2" s="128" t="s">
        <v>82</v>
      </c>
      <c r="K2" s="128" t="s">
        <v>81</v>
      </c>
      <c r="L2" s="128" t="s">
        <v>80</v>
      </c>
      <c r="M2" s="128" t="s">
        <v>82</v>
      </c>
      <c r="N2" s="128" t="s">
        <v>81</v>
      </c>
      <c r="O2" s="128" t="s">
        <v>80</v>
      </c>
      <c r="P2" s="128" t="s">
        <v>82</v>
      </c>
      <c r="Q2" s="128" t="s">
        <v>81</v>
      </c>
      <c r="R2" s="128" t="s">
        <v>80</v>
      </c>
      <c r="S2" s="128" t="s">
        <v>82</v>
      </c>
      <c r="T2" s="128" t="s">
        <v>81</v>
      </c>
      <c r="U2" s="128" t="s">
        <v>80</v>
      </c>
      <c r="V2" s="128" t="s">
        <v>82</v>
      </c>
      <c r="W2" s="128" t="s">
        <v>81</v>
      </c>
      <c r="X2" s="128" t="s">
        <v>80</v>
      </c>
      <c r="Y2" s="128" t="s">
        <v>82</v>
      </c>
      <c r="Z2" s="128" t="s">
        <v>81</v>
      </c>
      <c r="AA2" s="128" t="s">
        <v>80</v>
      </c>
      <c r="AB2" s="128" t="s">
        <v>82</v>
      </c>
      <c r="AC2" s="128" t="s">
        <v>81</v>
      </c>
      <c r="AD2" s="128" t="s">
        <v>80</v>
      </c>
      <c r="AE2" s="128" t="s">
        <v>82</v>
      </c>
      <c r="AF2" s="128" t="s">
        <v>81</v>
      </c>
      <c r="AG2" s="128" t="s">
        <v>80</v>
      </c>
      <c r="AH2" s="128" t="s">
        <v>82</v>
      </c>
      <c r="AI2" s="128" t="s">
        <v>81</v>
      </c>
      <c r="AJ2" s="128" t="s">
        <v>80</v>
      </c>
      <c r="AK2" s="128" t="s">
        <v>82</v>
      </c>
      <c r="AL2" s="132"/>
    </row>
    <row r="3" spans="1:38" x14ac:dyDescent="0.15">
      <c r="A3" s="131" t="s">
        <v>76</v>
      </c>
      <c r="B3" s="119"/>
      <c r="C3" s="119"/>
      <c r="D3" s="119"/>
      <c r="E3" s="120">
        <v>1220000</v>
      </c>
      <c r="F3" s="121">
        <v>1220000</v>
      </c>
      <c r="G3" s="121">
        <f>+E3-F3</f>
        <v>0</v>
      </c>
      <c r="H3" s="120">
        <v>20000</v>
      </c>
      <c r="I3" s="121">
        <v>1150000</v>
      </c>
      <c r="J3" s="121">
        <f>+H3-I3</f>
        <v>-1130000</v>
      </c>
      <c r="K3" s="120">
        <v>1361000</v>
      </c>
      <c r="L3" s="121">
        <v>751000</v>
      </c>
      <c r="M3" s="121">
        <f>+K3-L3</f>
        <v>610000</v>
      </c>
      <c r="N3" s="120">
        <v>820000</v>
      </c>
      <c r="O3" s="121">
        <v>955500</v>
      </c>
      <c r="P3" s="121">
        <f>+N3-O3</f>
        <v>-135500</v>
      </c>
      <c r="Q3" s="120">
        <v>528102</v>
      </c>
      <c r="R3" s="121">
        <v>335000</v>
      </c>
      <c r="S3" s="121">
        <f>+Q3-R3</f>
        <v>193102</v>
      </c>
      <c r="T3" s="120">
        <v>317500</v>
      </c>
      <c r="U3" s="121">
        <v>392000</v>
      </c>
      <c r="V3" s="121">
        <f>+T3-U3</f>
        <v>-74500</v>
      </c>
      <c r="W3" s="120">
        <v>277400</v>
      </c>
      <c r="X3" s="121">
        <v>5000</v>
      </c>
      <c r="Y3" s="121">
        <f>+W3-X3</f>
        <v>272400</v>
      </c>
      <c r="Z3" s="120">
        <v>5000</v>
      </c>
      <c r="AA3" s="121">
        <v>5000</v>
      </c>
      <c r="AB3" s="121">
        <f>+Z3-AA3</f>
        <v>0</v>
      </c>
      <c r="AC3" s="119"/>
      <c r="AD3" s="119"/>
      <c r="AE3" s="119"/>
      <c r="AF3" s="119"/>
      <c r="AG3" s="119"/>
      <c r="AH3" s="119"/>
      <c r="AI3" s="119"/>
      <c r="AJ3" s="119"/>
      <c r="AK3" s="119"/>
      <c r="AL3" s="124">
        <f>+G3+J3+M3+P3+S3+V3+Y3+AB3+AE3+AH3+AK3</f>
        <v>-264498</v>
      </c>
    </row>
    <row r="4" spans="1:38" x14ac:dyDescent="0.15">
      <c r="A4" s="131" t="s">
        <v>77</v>
      </c>
      <c r="B4" s="119"/>
      <c r="C4" s="119"/>
      <c r="D4" s="119"/>
      <c r="E4" s="119"/>
      <c r="F4" s="119"/>
      <c r="G4" s="121">
        <f t="shared" ref="G4:G6" si="0">+E4-F4</f>
        <v>0</v>
      </c>
      <c r="H4" s="119"/>
      <c r="I4" s="119"/>
      <c r="J4" s="121">
        <f t="shared" ref="J4:J6" si="1">+H4-I4</f>
        <v>0</v>
      </c>
      <c r="K4" s="119"/>
      <c r="L4" s="119"/>
      <c r="M4" s="121">
        <f t="shared" ref="M4:M6" si="2">+K4-L4</f>
        <v>0</v>
      </c>
      <c r="N4" s="122"/>
      <c r="O4" s="119">
        <v>295000</v>
      </c>
      <c r="P4" s="121">
        <f t="shared" ref="P4:P6" si="3">+N4-O4</f>
        <v>-295000</v>
      </c>
      <c r="Q4" s="119"/>
      <c r="R4" s="119"/>
      <c r="S4" s="121">
        <f t="shared" ref="S4:S6" si="4">+Q4-R4</f>
        <v>0</v>
      </c>
      <c r="T4" s="123">
        <v>260000</v>
      </c>
      <c r="U4" s="119"/>
      <c r="V4" s="121">
        <f t="shared" ref="V4:V6" si="5">+T4-U4</f>
        <v>260000</v>
      </c>
      <c r="W4" s="119"/>
      <c r="X4" s="119"/>
      <c r="Y4" s="121">
        <f t="shared" ref="Y4:Y6" si="6">+W4-X4</f>
        <v>0</v>
      </c>
      <c r="Z4" s="119"/>
      <c r="AA4" s="119"/>
      <c r="AB4" s="121">
        <f t="shared" ref="AB4:AB6" si="7">+Z4-AA4</f>
        <v>0</v>
      </c>
      <c r="AC4" s="119"/>
      <c r="AD4" s="119"/>
      <c r="AE4" s="119"/>
      <c r="AF4" s="119"/>
      <c r="AG4" s="119"/>
      <c r="AH4" s="119"/>
      <c r="AI4" s="119"/>
      <c r="AJ4" s="119"/>
      <c r="AK4" s="119"/>
      <c r="AL4" s="124">
        <f t="shared" ref="AL4:AL6" si="8">+G4+J4+M4+P4+S4+V4+Y4+AB4+AE4+AH4+AK4</f>
        <v>-35000</v>
      </c>
    </row>
    <row r="5" spans="1:38" x14ac:dyDescent="0.15">
      <c r="A5" s="131" t="s">
        <v>68</v>
      </c>
      <c r="B5" s="119"/>
      <c r="C5" s="119"/>
      <c r="D5" s="119"/>
      <c r="E5" s="119"/>
      <c r="F5" s="119"/>
      <c r="G5" s="121">
        <f t="shared" si="0"/>
        <v>0</v>
      </c>
      <c r="H5" s="119"/>
      <c r="I5" s="123">
        <v>12000</v>
      </c>
      <c r="J5" s="121">
        <f t="shared" si="1"/>
        <v>-12000</v>
      </c>
      <c r="K5" s="119"/>
      <c r="L5" s="119">
        <v>3000</v>
      </c>
      <c r="M5" s="121">
        <f t="shared" si="2"/>
        <v>-3000</v>
      </c>
      <c r="N5" s="119"/>
      <c r="O5" s="119">
        <v>2033</v>
      </c>
      <c r="P5" s="121">
        <f t="shared" si="3"/>
        <v>-2033</v>
      </c>
      <c r="Q5" s="119"/>
      <c r="R5" s="119"/>
      <c r="S5" s="121">
        <f t="shared" si="4"/>
        <v>0</v>
      </c>
      <c r="T5" s="119"/>
      <c r="U5" s="119"/>
      <c r="V5" s="121">
        <f t="shared" si="5"/>
        <v>0</v>
      </c>
      <c r="W5" s="119"/>
      <c r="X5" s="119"/>
      <c r="Y5" s="121">
        <f t="shared" si="6"/>
        <v>0</v>
      </c>
      <c r="Z5" s="119"/>
      <c r="AA5" s="119"/>
      <c r="AB5" s="121">
        <f t="shared" si="7"/>
        <v>0</v>
      </c>
      <c r="AC5" s="119"/>
      <c r="AD5" s="119"/>
      <c r="AE5" s="119"/>
      <c r="AF5" s="119"/>
      <c r="AG5" s="119"/>
      <c r="AH5" s="119"/>
      <c r="AI5" s="119"/>
      <c r="AJ5" s="119"/>
      <c r="AK5" s="119"/>
      <c r="AL5" s="124">
        <f t="shared" si="8"/>
        <v>-17033</v>
      </c>
    </row>
    <row r="6" spans="1:38" ht="15" thickBot="1" x14ac:dyDescent="0.2">
      <c r="A6" s="133" t="s">
        <v>79</v>
      </c>
      <c r="B6" s="125"/>
      <c r="C6" s="125"/>
      <c r="D6" s="125"/>
      <c r="E6" s="125"/>
      <c r="F6" s="125"/>
      <c r="G6" s="126">
        <f t="shared" si="0"/>
        <v>0</v>
      </c>
      <c r="H6" s="125"/>
      <c r="I6" s="125"/>
      <c r="J6" s="126">
        <f t="shared" si="1"/>
        <v>0</v>
      </c>
      <c r="K6" s="125"/>
      <c r="L6" s="125"/>
      <c r="M6" s="126">
        <f t="shared" si="2"/>
        <v>0</v>
      </c>
      <c r="N6" s="127"/>
      <c r="O6" s="125">
        <v>260000</v>
      </c>
      <c r="P6" s="126">
        <f t="shared" si="3"/>
        <v>-260000</v>
      </c>
      <c r="Q6" s="125"/>
      <c r="R6" s="125"/>
      <c r="S6" s="126">
        <f t="shared" si="4"/>
        <v>0</v>
      </c>
      <c r="T6" s="125"/>
      <c r="U6" s="125"/>
      <c r="V6" s="126">
        <f t="shared" si="5"/>
        <v>0</v>
      </c>
      <c r="W6" s="125"/>
      <c r="X6" s="125"/>
      <c r="Y6" s="126">
        <f t="shared" si="6"/>
        <v>0</v>
      </c>
      <c r="Z6" s="125"/>
      <c r="AA6" s="125"/>
      <c r="AB6" s="126">
        <f t="shared" si="7"/>
        <v>0</v>
      </c>
      <c r="AC6" s="125"/>
      <c r="AD6" s="125"/>
      <c r="AE6" s="125"/>
      <c r="AF6" s="125"/>
      <c r="AG6" s="125"/>
      <c r="AH6" s="125"/>
      <c r="AI6" s="125"/>
      <c r="AJ6" s="125"/>
      <c r="AK6" s="125"/>
      <c r="AL6" s="124">
        <f t="shared" si="8"/>
        <v>-260000</v>
      </c>
    </row>
  </sheetData>
  <mergeCells count="12">
    <mergeCell ref="AC1:AE1"/>
    <mergeCell ref="AF1:AH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A6D41A-5D7A-44F9-B5C3-FE0BFC7B4F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5D311A-DBDD-403B-9EC7-1F034AAAF6FC}">
  <ds:schemaRefs>
    <ds:schemaRef ds:uri="http://schemas.openxmlformats.org/package/2006/metadata/core-properties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71af3243-3dd4-4a8d-8c0d-dd76da1f02a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2A0B53-1D67-40E7-A6D2-8A4C84AD9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Ingresos</vt:lpstr>
      <vt:lpstr>Costo de ventas</vt:lpstr>
      <vt:lpstr>Egresos</vt:lpstr>
      <vt:lpstr>Status prestamos </vt:lpstr>
      <vt:lpstr>Company_Name</vt:lpstr>
      <vt:lpstr>FYMonthStart</vt:lpstr>
      <vt:lpstr>FYStartYear</vt:lpstr>
      <vt:lpstr>'Costo de ventas'!Print_Titles</vt:lpstr>
      <vt:lpstr>Egresos!Print_Titles</vt:lpstr>
      <vt:lpstr>Ingresos!Print_Titles</vt:lpstr>
      <vt:lpstr>Projection_Period_Title</vt:lpstr>
      <vt:lpstr>Title1</vt:lpstr>
      <vt:lpstr>Title2</vt:lpstr>
      <vt:lpstr>Title3</vt:lpstr>
      <vt:lpstr>Wksht_Title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2019-06-20T06:32:20Z</dcterms:created>
  <dcterms:modified xsi:type="dcterms:W3CDTF">2022-06-13T05:38:58Z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