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vardtsymbala/Desktop/Investments Homework/"/>
    </mc:Choice>
  </mc:AlternateContent>
  <xr:revisionPtr revIDLastSave="0" documentId="13_ncr:1_{8794B974-46BE-F540-8021-D7A0B75D9CB3}" xr6:coauthVersionLast="47" xr6:coauthVersionMax="47" xr10:uidLastSave="{00000000-0000-0000-0000-000000000000}"/>
  <bookViews>
    <workbookView xWindow="0" yWindow="660" windowWidth="25600" windowHeight="15980" activeTab="3" xr2:uid="{82C8B8E4-4911-7A43-BCED-EEA3E03DDBFC}"/>
  </bookViews>
  <sheets>
    <sheet name="Capital Allocation" sheetId="6" r:id="rId1"/>
    <sheet name="Asset Classes Allocation" sheetId="5" r:id="rId2"/>
    <sheet name="Security Allocation" sheetId="2" r:id="rId3"/>
    <sheet name="Data. Securities" sheetId="4" r:id="rId4"/>
  </sheets>
  <externalReferences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Div1" localSheetId="3">#REF!</definedName>
    <definedName name="_Div1">#REF!</definedName>
    <definedName name="_Div2" localSheetId="3">#REF!</definedName>
    <definedName name="_Div2">#REF!</definedName>
    <definedName name="_Div3" localSheetId="3">#REF!</definedName>
    <definedName name="_Div3">#REF!</definedName>
    <definedName name="_Div4" localSheetId="3">#REF!</definedName>
    <definedName name="_Div4">#REF!</definedName>
    <definedName name="_Regression_Int">1</definedName>
    <definedName name="coup">[1]Convexity!$C$7</definedName>
    <definedName name="g_firm" localSheetId="3">#REF!</definedName>
    <definedName name="g_firm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42436.8542824074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k" localSheetId="3">#REF!</definedName>
    <definedName name="k">#REF!</definedName>
    <definedName name="k_eq" localSheetId="3">#REF!</definedName>
    <definedName name="k_eq">#REF!</definedName>
    <definedName name="mat">[1]Convexity!$C$9</definedName>
    <definedName name="price">[1]Convexity!$C$10</definedName>
    <definedName name="Price4" localSheetId="3">#REF!</definedName>
    <definedName name="Price4">#REF!</definedName>
    <definedName name="_xlnm.Print_Area" localSheetId="1">'Asset Classes Allocation'!$B$2:$G$40</definedName>
    <definedName name="_xlnm.Print_Area" localSheetId="3">#REF!</definedName>
    <definedName name="_xlnm.Print_Area">#REF!</definedName>
    <definedName name="Print_Area_MI" localSheetId="3">#REF!</definedName>
    <definedName name="Print_Area_MI">#REF!</definedName>
    <definedName name="rdebt" localSheetId="3">#REF!</definedName>
    <definedName name="rdebt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lling_Price">'[2]Base Case'!$B$11</definedName>
    <definedName name="solver_adj" localSheetId="1" hidden="1">'Asset Classes Allocation'!$B$24</definedName>
    <definedName name="solver_adj" localSheetId="0" hidden="1">'Capital Allocation'!$D$11</definedName>
    <definedName name="solver_adj" localSheetId="2" hidden="1">'Security Allocation'!$E$54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'Asset Classes Allocation'!$B$26</definedName>
    <definedName name="solver_lhs1" localSheetId="0" hidden="1">'Capital Allocation'!$D$11</definedName>
    <definedName name="solver_lhs1" localSheetId="2" hidden="1">'Security Allocation'!$E$54</definedName>
    <definedName name="solver_lhs10" localSheetId="2" hidden="1">'Security Allocation'!$I$54</definedName>
    <definedName name="solver_lhs11" localSheetId="2" hidden="1">'Security Allocation'!$J$54</definedName>
    <definedName name="solver_lhs12" localSheetId="2" hidden="1">'Security Allocation'!$J$54</definedName>
    <definedName name="solver_lhs2" localSheetId="1" hidden="1">'Asset Classes Allocation'!$B$26</definedName>
    <definedName name="solver_lhs2" localSheetId="0" hidden="1">'Capital Allocation'!$D$11</definedName>
    <definedName name="solver_lhs2" localSheetId="2" hidden="1">'Security Allocation'!$E$54</definedName>
    <definedName name="solver_lhs3" localSheetId="2" hidden="1">'Security Allocation'!$F$54</definedName>
    <definedName name="solver_lhs4" localSheetId="2" hidden="1">'Security Allocation'!$F$54</definedName>
    <definedName name="solver_lhs5" localSheetId="2" hidden="1">'Security Allocation'!$G$54</definedName>
    <definedName name="solver_lhs6" localSheetId="2" hidden="1">'Security Allocation'!$G$54</definedName>
    <definedName name="solver_lhs7" localSheetId="2" hidden="1">'Security Allocation'!$H$54</definedName>
    <definedName name="solver_lhs8" localSheetId="2" hidden="1">'Security Allocation'!$H$54</definedName>
    <definedName name="solver_lhs9" localSheetId="2" hidden="1">'Security Allocation'!$I$54</definedName>
    <definedName name="solver_lin" localSheetId="1" hidden="1">2</definedName>
    <definedName name="solver_lin" localSheetId="0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2</definedName>
    <definedName name="solver_num" localSheetId="0" hidden="1">2</definedName>
    <definedName name="solver_num" localSheetId="2" hidden="1">2</definedName>
    <definedName name="solver_opt" localSheetId="1" hidden="1">'Asset Classes Allocation'!$F$26</definedName>
    <definedName name="solver_opt" localSheetId="0" hidden="1">'Capital Allocation'!$D$18</definedName>
    <definedName name="solver_opt" localSheetId="2" hidden="1">'Security Allocation'!$C$58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el1" localSheetId="1" hidden="1">1</definedName>
    <definedName name="solver_rel1" localSheetId="0" hidden="1">1</definedName>
    <definedName name="solver_rel1" localSheetId="2" hidden="1">1</definedName>
    <definedName name="solver_rel10" localSheetId="2" hidden="1">3</definedName>
    <definedName name="solver_rel11" localSheetId="2" hidden="1">1</definedName>
    <definedName name="solver_rel12" localSheetId="2" hidden="1">3</definedName>
    <definedName name="solver_rel2" localSheetId="1" hidden="1">3</definedName>
    <definedName name="solver_rel2" localSheetId="0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1" hidden="1">1</definedName>
    <definedName name="solver_rhs1" localSheetId="0" hidden="1">1</definedName>
    <definedName name="solver_rhs1" localSheetId="2" hidden="1">1</definedName>
    <definedName name="solver_rhs10" localSheetId="2" hidden="1">0</definedName>
    <definedName name="solver_rhs11" localSheetId="2" hidden="1">1</definedName>
    <definedName name="solver_rhs12" localSheetId="2" hidden="1">0</definedName>
    <definedName name="solver_rhs2" localSheetId="1" hidden="1">0</definedName>
    <definedName name="solver_rhs2" localSheetId="0" hidden="1">0</definedName>
    <definedName name="solver_rhs2" localSheetId="2" hidden="1">0</definedName>
    <definedName name="solver_rhs3" localSheetId="2" hidden="1">1</definedName>
    <definedName name="solver_rhs4" localSheetId="2" hidden="1">0</definedName>
    <definedName name="solver_rhs5" localSheetId="2" hidden="1">1</definedName>
    <definedName name="solver_rhs6" localSheetId="2" hidden="1">0</definedName>
    <definedName name="solver_rhs7" localSheetId="2" hidden="1">1</definedName>
    <definedName name="solver_rhs8" localSheetId="2" hidden="1">0</definedName>
    <definedName name="solver_rhs9" localSheetId="2" hidden="1">1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2</definedName>
    <definedName name="solver_typ" localSheetId="0" hidden="1">1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0.5</definedName>
    <definedName name="solver_ver" localSheetId="1" hidden="1">2</definedName>
    <definedName name="solver_ver" localSheetId="0" hidden="1">2</definedName>
    <definedName name="solver_ver" localSheetId="2" hidden="1">2</definedName>
    <definedName name="tax_rate" localSheetId="3">#REF!</definedName>
    <definedName name="tax_rate">#REF!</definedName>
    <definedName name="taxtable" localSheetId="1">#REF!</definedName>
    <definedName name="taxtable" localSheetId="0">#REF!</definedName>
    <definedName name="taxtable" localSheetId="3">#REF!</definedName>
    <definedName name="taxtable" localSheetId="2">#REF!</definedName>
    <definedName name="taxtable">#REF!</definedName>
    <definedName name="term_g" localSheetId="3">#REF!</definedName>
    <definedName name="term_g">#REF!</definedName>
    <definedName name="Variable_Cost_per_unit">'[2]Base Case'!$B$12</definedName>
    <definedName name="WACC_5" localSheetId="3">#REF!</definedName>
    <definedName name="WACC_5">#REF!</definedName>
    <definedName name="ytm">[1]Convexity!$C$8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2" l="1"/>
  <c r="H36" i="2"/>
  <c r="G36" i="2"/>
  <c r="E36" i="2"/>
  <c r="K13" i="4" l="1"/>
  <c r="J13" i="4"/>
  <c r="D39" i="4"/>
  <c r="C24" i="5"/>
  <c r="E4" i="2"/>
  <c r="G4" i="2"/>
  <c r="H4" i="2"/>
  <c r="D54" i="2"/>
  <c r="F14" i="4"/>
  <c r="F16" i="4"/>
  <c r="G29" i="4"/>
  <c r="G31" i="4"/>
  <c r="AE38" i="4"/>
  <c r="C36" i="2" l="1"/>
  <c r="D17" i="6" l="1"/>
  <c r="F24" i="6" l="1"/>
  <c r="F32" i="6"/>
  <c r="F25" i="6"/>
  <c r="F33" i="6"/>
  <c r="F26" i="6"/>
  <c r="F28" i="6"/>
  <c r="F29" i="6"/>
  <c r="F30" i="6"/>
  <c r="F31" i="6"/>
  <c r="F27" i="6"/>
  <c r="AH97" i="4"/>
  <c r="AI97" i="4" s="1"/>
  <c r="AH96" i="4"/>
  <c r="AI96" i="4" s="1"/>
  <c r="AH95" i="4"/>
  <c r="AI95" i="4" s="1"/>
  <c r="AH94" i="4"/>
  <c r="AI94" i="4" s="1"/>
  <c r="AH93" i="4"/>
  <c r="AI93" i="4" s="1"/>
  <c r="AH92" i="4"/>
  <c r="AI92" i="4" s="1"/>
  <c r="AH91" i="4"/>
  <c r="AI91" i="4" s="1"/>
  <c r="AH90" i="4"/>
  <c r="AI90" i="4" s="1"/>
  <c r="AH89" i="4"/>
  <c r="AI89" i="4" s="1"/>
  <c r="AH88" i="4"/>
  <c r="AI88" i="4" s="1"/>
  <c r="AH87" i="4"/>
  <c r="AI87" i="4" s="1"/>
  <c r="AH86" i="4"/>
  <c r="AI86" i="4" s="1"/>
  <c r="AH85" i="4"/>
  <c r="AI85" i="4" s="1"/>
  <c r="AH84" i="4"/>
  <c r="AI84" i="4" s="1"/>
  <c r="AH83" i="4"/>
  <c r="AI83" i="4" s="1"/>
  <c r="AH82" i="4"/>
  <c r="AI82" i="4" s="1"/>
  <c r="AH81" i="4"/>
  <c r="AI81" i="4" s="1"/>
  <c r="AH80" i="4"/>
  <c r="AI80" i="4" s="1"/>
  <c r="AH79" i="4"/>
  <c r="AI79" i="4" s="1"/>
  <c r="AH78" i="4"/>
  <c r="AI78" i="4" s="1"/>
  <c r="AH77" i="4"/>
  <c r="AI77" i="4" s="1"/>
  <c r="AH76" i="4"/>
  <c r="AI76" i="4" s="1"/>
  <c r="AH75" i="4"/>
  <c r="AI75" i="4" s="1"/>
  <c r="AH74" i="4"/>
  <c r="AI74" i="4" s="1"/>
  <c r="AH73" i="4"/>
  <c r="AI73" i="4" s="1"/>
  <c r="AH72" i="4"/>
  <c r="AI72" i="4" s="1"/>
  <c r="AH71" i="4"/>
  <c r="AI71" i="4" s="1"/>
  <c r="AH70" i="4"/>
  <c r="AI70" i="4" s="1"/>
  <c r="AH69" i="4"/>
  <c r="AI69" i="4" s="1"/>
  <c r="AH68" i="4"/>
  <c r="AI68" i="4" s="1"/>
  <c r="AH67" i="4"/>
  <c r="AI67" i="4" s="1"/>
  <c r="AH66" i="4"/>
  <c r="AI66" i="4" s="1"/>
  <c r="AH65" i="4"/>
  <c r="AI65" i="4" s="1"/>
  <c r="AH64" i="4"/>
  <c r="AI64" i="4" s="1"/>
  <c r="AH63" i="4"/>
  <c r="AI63" i="4" s="1"/>
  <c r="AH62" i="4"/>
  <c r="AI62" i="4" s="1"/>
  <c r="AH61" i="4"/>
  <c r="AI61" i="4" s="1"/>
  <c r="AH60" i="4"/>
  <c r="AI60" i="4" s="1"/>
  <c r="AH59" i="4"/>
  <c r="AI59" i="4" s="1"/>
  <c r="AH58" i="4"/>
  <c r="AI58" i="4" s="1"/>
  <c r="AH57" i="4"/>
  <c r="AI57" i="4" s="1"/>
  <c r="AH56" i="4"/>
  <c r="AI56" i="4" s="1"/>
  <c r="AH55" i="4"/>
  <c r="AI55" i="4" s="1"/>
  <c r="AH54" i="4"/>
  <c r="AI54" i="4" s="1"/>
  <c r="AH53" i="4"/>
  <c r="AI53" i="4" s="1"/>
  <c r="AH52" i="4"/>
  <c r="AI52" i="4" s="1"/>
  <c r="AH51" i="4"/>
  <c r="AI51" i="4" s="1"/>
  <c r="AH50" i="4"/>
  <c r="AI50" i="4" s="1"/>
  <c r="AH49" i="4"/>
  <c r="AI49" i="4" s="1"/>
  <c r="AH48" i="4"/>
  <c r="AI48" i="4" s="1"/>
  <c r="AH47" i="4"/>
  <c r="AI47" i="4" s="1"/>
  <c r="AH46" i="4"/>
  <c r="AI46" i="4" s="1"/>
  <c r="AH45" i="4"/>
  <c r="AI45" i="4" s="1"/>
  <c r="AH44" i="4"/>
  <c r="AI44" i="4" s="1"/>
  <c r="AH43" i="4"/>
  <c r="AI43" i="4" s="1"/>
  <c r="AH42" i="4"/>
  <c r="AI42" i="4" s="1"/>
  <c r="AH41" i="4"/>
  <c r="AI41" i="4" s="1"/>
  <c r="AH40" i="4"/>
  <c r="AI40" i="4" s="1"/>
  <c r="AH39" i="4"/>
  <c r="AI39" i="4" s="1"/>
  <c r="L7" i="4" l="1"/>
  <c r="C6" i="5" s="1"/>
  <c r="L8" i="4"/>
  <c r="L9" i="4" l="1"/>
  <c r="D6" i="5"/>
  <c r="Q6" i="4"/>
  <c r="Q15" i="4" s="1"/>
  <c r="R6" i="4"/>
  <c r="R24" i="4" s="1"/>
  <c r="S6" i="4"/>
  <c r="S24" i="4" s="1"/>
  <c r="T6" i="4"/>
  <c r="T15" i="4" s="1"/>
  <c r="U6" i="4"/>
  <c r="U15" i="4" s="1"/>
  <c r="P6" i="4"/>
  <c r="P24" i="4" s="1"/>
  <c r="U24" i="4" l="1"/>
  <c r="Q24" i="4"/>
  <c r="T24" i="4"/>
  <c r="O29" i="4" s="1"/>
  <c r="S15" i="4"/>
  <c r="O19" i="4" s="1"/>
  <c r="R15" i="4"/>
  <c r="O18" i="4" s="1"/>
  <c r="P15" i="4"/>
  <c r="H33" i="2"/>
  <c r="G32" i="2"/>
  <c r="F31" i="2"/>
  <c r="E30" i="2"/>
  <c r="D29" i="2"/>
  <c r="H17" i="2"/>
  <c r="G16" i="2"/>
  <c r="F15" i="2"/>
  <c r="E14" i="2"/>
  <c r="D13" i="2"/>
  <c r="C12" i="2"/>
  <c r="C7" i="2"/>
  <c r="C5" i="2"/>
  <c r="C37" i="2" s="1"/>
  <c r="D4" i="2"/>
  <c r="F4" i="2"/>
  <c r="C4" i="2"/>
  <c r="AA97" i="4"/>
  <c r="AB97" i="4" s="1"/>
  <c r="V97" i="4"/>
  <c r="W97" i="4" s="1"/>
  <c r="Q97" i="4"/>
  <c r="R97" i="4" s="1"/>
  <c r="L97" i="4"/>
  <c r="M97" i="4" s="1"/>
  <c r="G97" i="4"/>
  <c r="H97" i="4" s="1"/>
  <c r="D97" i="4"/>
  <c r="E97" i="4" s="1"/>
  <c r="AA96" i="4"/>
  <c r="AB96" i="4" s="1"/>
  <c r="V96" i="4"/>
  <c r="W96" i="4" s="1"/>
  <c r="Q96" i="4"/>
  <c r="R96" i="4" s="1"/>
  <c r="L96" i="4"/>
  <c r="M96" i="4" s="1"/>
  <c r="G96" i="4"/>
  <c r="H96" i="4" s="1"/>
  <c r="D96" i="4"/>
  <c r="E96" i="4" s="1"/>
  <c r="AA95" i="4"/>
  <c r="AB95" i="4" s="1"/>
  <c r="V95" i="4"/>
  <c r="W95" i="4" s="1"/>
  <c r="Q95" i="4"/>
  <c r="R95" i="4" s="1"/>
  <c r="L95" i="4"/>
  <c r="M95" i="4" s="1"/>
  <c r="G95" i="4"/>
  <c r="H95" i="4" s="1"/>
  <c r="D95" i="4"/>
  <c r="E95" i="4" s="1"/>
  <c r="AA94" i="4"/>
  <c r="AB94" i="4" s="1"/>
  <c r="V94" i="4"/>
  <c r="W94" i="4" s="1"/>
  <c r="Q94" i="4"/>
  <c r="R94" i="4" s="1"/>
  <c r="L94" i="4"/>
  <c r="M94" i="4" s="1"/>
  <c r="G94" i="4"/>
  <c r="H94" i="4" s="1"/>
  <c r="D94" i="4"/>
  <c r="E94" i="4" s="1"/>
  <c r="AA93" i="4"/>
  <c r="AB93" i="4" s="1"/>
  <c r="V93" i="4"/>
  <c r="W93" i="4" s="1"/>
  <c r="Q93" i="4"/>
  <c r="R93" i="4" s="1"/>
  <c r="L93" i="4"/>
  <c r="M93" i="4" s="1"/>
  <c r="G93" i="4"/>
  <c r="H93" i="4" s="1"/>
  <c r="D93" i="4"/>
  <c r="E93" i="4" s="1"/>
  <c r="AA92" i="4"/>
  <c r="AB92" i="4" s="1"/>
  <c r="V92" i="4"/>
  <c r="W92" i="4" s="1"/>
  <c r="Q92" i="4"/>
  <c r="R92" i="4" s="1"/>
  <c r="L92" i="4"/>
  <c r="M92" i="4" s="1"/>
  <c r="G92" i="4"/>
  <c r="H92" i="4" s="1"/>
  <c r="D92" i="4"/>
  <c r="E92" i="4" s="1"/>
  <c r="AA91" i="4"/>
  <c r="AB91" i="4" s="1"/>
  <c r="V91" i="4"/>
  <c r="W91" i="4" s="1"/>
  <c r="Q91" i="4"/>
  <c r="R91" i="4" s="1"/>
  <c r="L91" i="4"/>
  <c r="M91" i="4" s="1"/>
  <c r="G91" i="4"/>
  <c r="H91" i="4" s="1"/>
  <c r="D91" i="4"/>
  <c r="E91" i="4" s="1"/>
  <c r="AA90" i="4"/>
  <c r="AB90" i="4" s="1"/>
  <c r="V90" i="4"/>
  <c r="W90" i="4" s="1"/>
  <c r="Q90" i="4"/>
  <c r="R90" i="4" s="1"/>
  <c r="L90" i="4"/>
  <c r="M90" i="4" s="1"/>
  <c r="G90" i="4"/>
  <c r="H90" i="4" s="1"/>
  <c r="D90" i="4"/>
  <c r="E90" i="4" s="1"/>
  <c r="AA89" i="4"/>
  <c r="AB89" i="4" s="1"/>
  <c r="V89" i="4"/>
  <c r="W89" i="4" s="1"/>
  <c r="Q89" i="4"/>
  <c r="R89" i="4" s="1"/>
  <c r="L89" i="4"/>
  <c r="M89" i="4" s="1"/>
  <c r="G89" i="4"/>
  <c r="H89" i="4" s="1"/>
  <c r="D89" i="4"/>
  <c r="E89" i="4" s="1"/>
  <c r="AA88" i="4"/>
  <c r="AB88" i="4" s="1"/>
  <c r="V88" i="4"/>
  <c r="W88" i="4" s="1"/>
  <c r="Q88" i="4"/>
  <c r="R88" i="4" s="1"/>
  <c r="L88" i="4"/>
  <c r="M88" i="4" s="1"/>
  <c r="G88" i="4"/>
  <c r="H88" i="4" s="1"/>
  <c r="D88" i="4"/>
  <c r="E88" i="4" s="1"/>
  <c r="AA87" i="4"/>
  <c r="AB87" i="4" s="1"/>
  <c r="V87" i="4"/>
  <c r="W87" i="4" s="1"/>
  <c r="Q87" i="4"/>
  <c r="R87" i="4" s="1"/>
  <c r="L87" i="4"/>
  <c r="M87" i="4" s="1"/>
  <c r="G87" i="4"/>
  <c r="H87" i="4" s="1"/>
  <c r="D87" i="4"/>
  <c r="E87" i="4" s="1"/>
  <c r="AA86" i="4"/>
  <c r="AB86" i="4" s="1"/>
  <c r="V86" i="4"/>
  <c r="W86" i="4" s="1"/>
  <c r="Q86" i="4"/>
  <c r="R86" i="4" s="1"/>
  <c r="L86" i="4"/>
  <c r="M86" i="4" s="1"/>
  <c r="G86" i="4"/>
  <c r="H86" i="4" s="1"/>
  <c r="D86" i="4"/>
  <c r="E86" i="4" s="1"/>
  <c r="AA85" i="4"/>
  <c r="AB85" i="4" s="1"/>
  <c r="V85" i="4"/>
  <c r="W85" i="4" s="1"/>
  <c r="Q85" i="4"/>
  <c r="R85" i="4" s="1"/>
  <c r="L85" i="4"/>
  <c r="M85" i="4" s="1"/>
  <c r="G85" i="4"/>
  <c r="H85" i="4" s="1"/>
  <c r="D85" i="4"/>
  <c r="E85" i="4" s="1"/>
  <c r="AA84" i="4"/>
  <c r="AB84" i="4" s="1"/>
  <c r="V84" i="4"/>
  <c r="W84" i="4" s="1"/>
  <c r="Q84" i="4"/>
  <c r="R84" i="4" s="1"/>
  <c r="L84" i="4"/>
  <c r="M84" i="4" s="1"/>
  <c r="G84" i="4"/>
  <c r="H84" i="4" s="1"/>
  <c r="D84" i="4"/>
  <c r="E84" i="4" s="1"/>
  <c r="AA83" i="4"/>
  <c r="AB83" i="4" s="1"/>
  <c r="V83" i="4"/>
  <c r="W83" i="4" s="1"/>
  <c r="Q83" i="4"/>
  <c r="R83" i="4" s="1"/>
  <c r="L83" i="4"/>
  <c r="M83" i="4" s="1"/>
  <c r="G83" i="4"/>
  <c r="H83" i="4" s="1"/>
  <c r="D83" i="4"/>
  <c r="E83" i="4" s="1"/>
  <c r="AA82" i="4"/>
  <c r="AB82" i="4" s="1"/>
  <c r="V82" i="4"/>
  <c r="W82" i="4" s="1"/>
  <c r="Q82" i="4"/>
  <c r="R82" i="4" s="1"/>
  <c r="L82" i="4"/>
  <c r="M82" i="4" s="1"/>
  <c r="G82" i="4"/>
  <c r="H82" i="4" s="1"/>
  <c r="D82" i="4"/>
  <c r="E82" i="4" s="1"/>
  <c r="AA81" i="4"/>
  <c r="AB81" i="4" s="1"/>
  <c r="V81" i="4"/>
  <c r="W81" i="4" s="1"/>
  <c r="Q81" i="4"/>
  <c r="R81" i="4" s="1"/>
  <c r="L81" i="4"/>
  <c r="M81" i="4" s="1"/>
  <c r="G81" i="4"/>
  <c r="H81" i="4" s="1"/>
  <c r="D81" i="4"/>
  <c r="E81" i="4" s="1"/>
  <c r="AA80" i="4"/>
  <c r="AB80" i="4" s="1"/>
  <c r="V80" i="4"/>
  <c r="W80" i="4" s="1"/>
  <c r="Q80" i="4"/>
  <c r="R80" i="4" s="1"/>
  <c r="L80" i="4"/>
  <c r="M80" i="4" s="1"/>
  <c r="G80" i="4"/>
  <c r="H80" i="4" s="1"/>
  <c r="D80" i="4"/>
  <c r="E80" i="4" s="1"/>
  <c r="AA79" i="4"/>
  <c r="AB79" i="4" s="1"/>
  <c r="V79" i="4"/>
  <c r="W79" i="4" s="1"/>
  <c r="Q79" i="4"/>
  <c r="R79" i="4" s="1"/>
  <c r="L79" i="4"/>
  <c r="M79" i="4" s="1"/>
  <c r="G79" i="4"/>
  <c r="H79" i="4" s="1"/>
  <c r="D79" i="4"/>
  <c r="E79" i="4" s="1"/>
  <c r="AA78" i="4"/>
  <c r="AB78" i="4" s="1"/>
  <c r="V78" i="4"/>
  <c r="W78" i="4" s="1"/>
  <c r="Q78" i="4"/>
  <c r="R78" i="4" s="1"/>
  <c r="L78" i="4"/>
  <c r="M78" i="4" s="1"/>
  <c r="G78" i="4"/>
  <c r="H78" i="4" s="1"/>
  <c r="D78" i="4"/>
  <c r="E78" i="4" s="1"/>
  <c r="AA77" i="4"/>
  <c r="AB77" i="4" s="1"/>
  <c r="V77" i="4"/>
  <c r="W77" i="4" s="1"/>
  <c r="Q77" i="4"/>
  <c r="R77" i="4" s="1"/>
  <c r="L77" i="4"/>
  <c r="M77" i="4" s="1"/>
  <c r="G77" i="4"/>
  <c r="H77" i="4" s="1"/>
  <c r="D77" i="4"/>
  <c r="E77" i="4" s="1"/>
  <c r="AA76" i="4"/>
  <c r="AB76" i="4" s="1"/>
  <c r="V76" i="4"/>
  <c r="W76" i="4" s="1"/>
  <c r="Q76" i="4"/>
  <c r="R76" i="4" s="1"/>
  <c r="L76" i="4"/>
  <c r="M76" i="4" s="1"/>
  <c r="G76" i="4"/>
  <c r="H76" i="4" s="1"/>
  <c r="D76" i="4"/>
  <c r="E76" i="4" s="1"/>
  <c r="AA75" i="4"/>
  <c r="AB75" i="4" s="1"/>
  <c r="V75" i="4"/>
  <c r="W75" i="4" s="1"/>
  <c r="Q75" i="4"/>
  <c r="R75" i="4" s="1"/>
  <c r="L75" i="4"/>
  <c r="M75" i="4" s="1"/>
  <c r="G75" i="4"/>
  <c r="H75" i="4" s="1"/>
  <c r="D75" i="4"/>
  <c r="E75" i="4" s="1"/>
  <c r="AA74" i="4"/>
  <c r="AB74" i="4" s="1"/>
  <c r="V74" i="4"/>
  <c r="W74" i="4" s="1"/>
  <c r="Q74" i="4"/>
  <c r="R74" i="4" s="1"/>
  <c r="L74" i="4"/>
  <c r="M74" i="4" s="1"/>
  <c r="G74" i="4"/>
  <c r="H74" i="4" s="1"/>
  <c r="D74" i="4"/>
  <c r="E74" i="4" s="1"/>
  <c r="AA73" i="4"/>
  <c r="AB73" i="4" s="1"/>
  <c r="V73" i="4"/>
  <c r="W73" i="4" s="1"/>
  <c r="Q73" i="4"/>
  <c r="R73" i="4" s="1"/>
  <c r="L73" i="4"/>
  <c r="M73" i="4" s="1"/>
  <c r="G73" i="4"/>
  <c r="H73" i="4" s="1"/>
  <c r="D73" i="4"/>
  <c r="E73" i="4" s="1"/>
  <c r="AA72" i="4"/>
  <c r="AB72" i="4" s="1"/>
  <c r="V72" i="4"/>
  <c r="W72" i="4" s="1"/>
  <c r="Q72" i="4"/>
  <c r="R72" i="4" s="1"/>
  <c r="L72" i="4"/>
  <c r="M72" i="4" s="1"/>
  <c r="G72" i="4"/>
  <c r="H72" i="4" s="1"/>
  <c r="D72" i="4"/>
  <c r="E72" i="4" s="1"/>
  <c r="AA71" i="4"/>
  <c r="AB71" i="4" s="1"/>
  <c r="V71" i="4"/>
  <c r="W71" i="4" s="1"/>
  <c r="Q71" i="4"/>
  <c r="R71" i="4" s="1"/>
  <c r="L71" i="4"/>
  <c r="M71" i="4" s="1"/>
  <c r="G71" i="4"/>
  <c r="H71" i="4" s="1"/>
  <c r="D71" i="4"/>
  <c r="E71" i="4" s="1"/>
  <c r="AA70" i="4"/>
  <c r="AB70" i="4" s="1"/>
  <c r="V70" i="4"/>
  <c r="W70" i="4" s="1"/>
  <c r="Q70" i="4"/>
  <c r="R70" i="4" s="1"/>
  <c r="L70" i="4"/>
  <c r="M70" i="4" s="1"/>
  <c r="G70" i="4"/>
  <c r="H70" i="4" s="1"/>
  <c r="D70" i="4"/>
  <c r="E70" i="4" s="1"/>
  <c r="AA69" i="4"/>
  <c r="AB69" i="4" s="1"/>
  <c r="V69" i="4"/>
  <c r="W69" i="4" s="1"/>
  <c r="Q69" i="4"/>
  <c r="R69" i="4" s="1"/>
  <c r="L69" i="4"/>
  <c r="M69" i="4" s="1"/>
  <c r="G69" i="4"/>
  <c r="H69" i="4" s="1"/>
  <c r="D69" i="4"/>
  <c r="E69" i="4" s="1"/>
  <c r="AA68" i="4"/>
  <c r="AB68" i="4" s="1"/>
  <c r="V68" i="4"/>
  <c r="W68" i="4" s="1"/>
  <c r="Q68" i="4"/>
  <c r="R68" i="4" s="1"/>
  <c r="L68" i="4"/>
  <c r="M68" i="4" s="1"/>
  <c r="G68" i="4"/>
  <c r="H68" i="4" s="1"/>
  <c r="D68" i="4"/>
  <c r="E68" i="4" s="1"/>
  <c r="AA67" i="4"/>
  <c r="AB67" i="4" s="1"/>
  <c r="V67" i="4"/>
  <c r="W67" i="4" s="1"/>
  <c r="Q67" i="4"/>
  <c r="R67" i="4" s="1"/>
  <c r="L67" i="4"/>
  <c r="M67" i="4" s="1"/>
  <c r="G67" i="4"/>
  <c r="H67" i="4" s="1"/>
  <c r="D67" i="4"/>
  <c r="E67" i="4" s="1"/>
  <c r="AA66" i="4"/>
  <c r="AB66" i="4" s="1"/>
  <c r="V66" i="4"/>
  <c r="W66" i="4" s="1"/>
  <c r="Q66" i="4"/>
  <c r="R66" i="4" s="1"/>
  <c r="L66" i="4"/>
  <c r="M66" i="4" s="1"/>
  <c r="G66" i="4"/>
  <c r="H66" i="4" s="1"/>
  <c r="D66" i="4"/>
  <c r="E66" i="4" s="1"/>
  <c r="AA65" i="4"/>
  <c r="AB65" i="4" s="1"/>
  <c r="V65" i="4"/>
  <c r="W65" i="4" s="1"/>
  <c r="Q65" i="4"/>
  <c r="R65" i="4" s="1"/>
  <c r="L65" i="4"/>
  <c r="M65" i="4" s="1"/>
  <c r="G65" i="4"/>
  <c r="H65" i="4" s="1"/>
  <c r="D65" i="4"/>
  <c r="E65" i="4" s="1"/>
  <c r="AA64" i="4"/>
  <c r="AB64" i="4" s="1"/>
  <c r="V64" i="4"/>
  <c r="W64" i="4" s="1"/>
  <c r="Q64" i="4"/>
  <c r="R64" i="4" s="1"/>
  <c r="L64" i="4"/>
  <c r="M64" i="4" s="1"/>
  <c r="G64" i="4"/>
  <c r="H64" i="4" s="1"/>
  <c r="D64" i="4"/>
  <c r="E64" i="4" s="1"/>
  <c r="AA63" i="4"/>
  <c r="AB63" i="4" s="1"/>
  <c r="V63" i="4"/>
  <c r="W63" i="4" s="1"/>
  <c r="Q63" i="4"/>
  <c r="R63" i="4" s="1"/>
  <c r="L63" i="4"/>
  <c r="M63" i="4" s="1"/>
  <c r="G63" i="4"/>
  <c r="H63" i="4" s="1"/>
  <c r="D63" i="4"/>
  <c r="E63" i="4" s="1"/>
  <c r="AA62" i="4"/>
  <c r="AB62" i="4" s="1"/>
  <c r="V62" i="4"/>
  <c r="W62" i="4" s="1"/>
  <c r="Q62" i="4"/>
  <c r="R62" i="4" s="1"/>
  <c r="L62" i="4"/>
  <c r="M62" i="4" s="1"/>
  <c r="G62" i="4"/>
  <c r="H62" i="4" s="1"/>
  <c r="D62" i="4"/>
  <c r="E62" i="4" s="1"/>
  <c r="AA61" i="4"/>
  <c r="AB61" i="4" s="1"/>
  <c r="V61" i="4"/>
  <c r="W61" i="4" s="1"/>
  <c r="Q61" i="4"/>
  <c r="R61" i="4" s="1"/>
  <c r="L61" i="4"/>
  <c r="M61" i="4" s="1"/>
  <c r="G61" i="4"/>
  <c r="H61" i="4" s="1"/>
  <c r="D61" i="4"/>
  <c r="E61" i="4" s="1"/>
  <c r="AA60" i="4"/>
  <c r="AB60" i="4" s="1"/>
  <c r="V60" i="4"/>
  <c r="W60" i="4" s="1"/>
  <c r="Q60" i="4"/>
  <c r="R60" i="4" s="1"/>
  <c r="L60" i="4"/>
  <c r="M60" i="4" s="1"/>
  <c r="G60" i="4"/>
  <c r="H60" i="4" s="1"/>
  <c r="D60" i="4"/>
  <c r="E60" i="4" s="1"/>
  <c r="AA59" i="4"/>
  <c r="AB59" i="4" s="1"/>
  <c r="V59" i="4"/>
  <c r="W59" i="4" s="1"/>
  <c r="Q59" i="4"/>
  <c r="R59" i="4" s="1"/>
  <c r="L59" i="4"/>
  <c r="M59" i="4" s="1"/>
  <c r="G59" i="4"/>
  <c r="H59" i="4" s="1"/>
  <c r="D59" i="4"/>
  <c r="E59" i="4" s="1"/>
  <c r="AA58" i="4"/>
  <c r="AB58" i="4" s="1"/>
  <c r="V58" i="4"/>
  <c r="W58" i="4" s="1"/>
  <c r="Q58" i="4"/>
  <c r="R58" i="4" s="1"/>
  <c r="L58" i="4"/>
  <c r="M58" i="4" s="1"/>
  <c r="G58" i="4"/>
  <c r="H58" i="4" s="1"/>
  <c r="D58" i="4"/>
  <c r="E58" i="4" s="1"/>
  <c r="AA57" i="4"/>
  <c r="AB57" i="4" s="1"/>
  <c r="V57" i="4"/>
  <c r="W57" i="4" s="1"/>
  <c r="Q57" i="4"/>
  <c r="R57" i="4" s="1"/>
  <c r="L57" i="4"/>
  <c r="M57" i="4" s="1"/>
  <c r="G57" i="4"/>
  <c r="H57" i="4" s="1"/>
  <c r="D57" i="4"/>
  <c r="E57" i="4" s="1"/>
  <c r="AA56" i="4"/>
  <c r="AB56" i="4" s="1"/>
  <c r="V56" i="4"/>
  <c r="W56" i="4" s="1"/>
  <c r="Q56" i="4"/>
  <c r="R56" i="4" s="1"/>
  <c r="L56" i="4"/>
  <c r="M56" i="4" s="1"/>
  <c r="G56" i="4"/>
  <c r="H56" i="4" s="1"/>
  <c r="D56" i="4"/>
  <c r="E56" i="4" s="1"/>
  <c r="AA55" i="4"/>
  <c r="AB55" i="4" s="1"/>
  <c r="V55" i="4"/>
  <c r="W55" i="4" s="1"/>
  <c r="Q55" i="4"/>
  <c r="R55" i="4" s="1"/>
  <c r="L55" i="4"/>
  <c r="M55" i="4" s="1"/>
  <c r="G55" i="4"/>
  <c r="H55" i="4" s="1"/>
  <c r="D55" i="4"/>
  <c r="E55" i="4" s="1"/>
  <c r="AA54" i="4"/>
  <c r="AB54" i="4" s="1"/>
  <c r="V54" i="4"/>
  <c r="W54" i="4" s="1"/>
  <c r="Q54" i="4"/>
  <c r="R54" i="4" s="1"/>
  <c r="L54" i="4"/>
  <c r="M54" i="4" s="1"/>
  <c r="G54" i="4"/>
  <c r="H54" i="4" s="1"/>
  <c r="D54" i="4"/>
  <c r="E54" i="4" s="1"/>
  <c r="AA53" i="4"/>
  <c r="AB53" i="4" s="1"/>
  <c r="V53" i="4"/>
  <c r="W53" i="4" s="1"/>
  <c r="Q53" i="4"/>
  <c r="R53" i="4" s="1"/>
  <c r="L53" i="4"/>
  <c r="M53" i="4" s="1"/>
  <c r="G53" i="4"/>
  <c r="H53" i="4" s="1"/>
  <c r="D53" i="4"/>
  <c r="E53" i="4" s="1"/>
  <c r="AA52" i="4"/>
  <c r="AB52" i="4" s="1"/>
  <c r="V52" i="4"/>
  <c r="W52" i="4" s="1"/>
  <c r="Q52" i="4"/>
  <c r="R52" i="4" s="1"/>
  <c r="L52" i="4"/>
  <c r="M52" i="4" s="1"/>
  <c r="G52" i="4"/>
  <c r="H52" i="4" s="1"/>
  <c r="D52" i="4"/>
  <c r="E52" i="4" s="1"/>
  <c r="AA51" i="4"/>
  <c r="AB51" i="4" s="1"/>
  <c r="V51" i="4"/>
  <c r="W51" i="4" s="1"/>
  <c r="Q51" i="4"/>
  <c r="R51" i="4" s="1"/>
  <c r="L51" i="4"/>
  <c r="M51" i="4" s="1"/>
  <c r="G51" i="4"/>
  <c r="H51" i="4" s="1"/>
  <c r="D51" i="4"/>
  <c r="E51" i="4" s="1"/>
  <c r="AA50" i="4"/>
  <c r="AB50" i="4" s="1"/>
  <c r="V50" i="4"/>
  <c r="W50" i="4" s="1"/>
  <c r="Q50" i="4"/>
  <c r="R50" i="4" s="1"/>
  <c r="L50" i="4"/>
  <c r="M50" i="4" s="1"/>
  <c r="G50" i="4"/>
  <c r="H50" i="4" s="1"/>
  <c r="D50" i="4"/>
  <c r="E50" i="4" s="1"/>
  <c r="AA49" i="4"/>
  <c r="AB49" i="4" s="1"/>
  <c r="V49" i="4"/>
  <c r="W49" i="4" s="1"/>
  <c r="Q49" i="4"/>
  <c r="R49" i="4" s="1"/>
  <c r="L49" i="4"/>
  <c r="M49" i="4" s="1"/>
  <c r="G49" i="4"/>
  <c r="H49" i="4" s="1"/>
  <c r="D49" i="4"/>
  <c r="E49" i="4" s="1"/>
  <c r="AA48" i="4"/>
  <c r="AB48" i="4" s="1"/>
  <c r="V48" i="4"/>
  <c r="W48" i="4" s="1"/>
  <c r="Q48" i="4"/>
  <c r="R48" i="4" s="1"/>
  <c r="L48" i="4"/>
  <c r="M48" i="4" s="1"/>
  <c r="G48" i="4"/>
  <c r="H48" i="4" s="1"/>
  <c r="D48" i="4"/>
  <c r="E48" i="4" s="1"/>
  <c r="AA47" i="4"/>
  <c r="AB47" i="4" s="1"/>
  <c r="V47" i="4"/>
  <c r="W47" i="4" s="1"/>
  <c r="Q47" i="4"/>
  <c r="R47" i="4" s="1"/>
  <c r="L47" i="4"/>
  <c r="M47" i="4" s="1"/>
  <c r="G47" i="4"/>
  <c r="H47" i="4" s="1"/>
  <c r="D47" i="4"/>
  <c r="E47" i="4" s="1"/>
  <c r="AA46" i="4"/>
  <c r="AB46" i="4" s="1"/>
  <c r="V46" i="4"/>
  <c r="W46" i="4" s="1"/>
  <c r="Q46" i="4"/>
  <c r="R46" i="4" s="1"/>
  <c r="L46" i="4"/>
  <c r="M46" i="4" s="1"/>
  <c r="G46" i="4"/>
  <c r="H46" i="4" s="1"/>
  <c r="D46" i="4"/>
  <c r="E46" i="4" s="1"/>
  <c r="AA45" i="4"/>
  <c r="AB45" i="4" s="1"/>
  <c r="V45" i="4"/>
  <c r="W45" i="4" s="1"/>
  <c r="Q45" i="4"/>
  <c r="R45" i="4" s="1"/>
  <c r="L45" i="4"/>
  <c r="M45" i="4" s="1"/>
  <c r="G45" i="4"/>
  <c r="H45" i="4" s="1"/>
  <c r="D45" i="4"/>
  <c r="E45" i="4" s="1"/>
  <c r="AA44" i="4"/>
  <c r="AB44" i="4" s="1"/>
  <c r="V44" i="4"/>
  <c r="W44" i="4" s="1"/>
  <c r="Q44" i="4"/>
  <c r="R44" i="4" s="1"/>
  <c r="L44" i="4"/>
  <c r="M44" i="4" s="1"/>
  <c r="G44" i="4"/>
  <c r="H44" i="4" s="1"/>
  <c r="D44" i="4"/>
  <c r="E44" i="4" s="1"/>
  <c r="AA43" i="4"/>
  <c r="AB43" i="4" s="1"/>
  <c r="V43" i="4"/>
  <c r="W43" i="4" s="1"/>
  <c r="Q43" i="4"/>
  <c r="R43" i="4" s="1"/>
  <c r="L43" i="4"/>
  <c r="M43" i="4" s="1"/>
  <c r="G43" i="4"/>
  <c r="H43" i="4" s="1"/>
  <c r="D43" i="4"/>
  <c r="E43" i="4" s="1"/>
  <c r="AA42" i="4"/>
  <c r="AB42" i="4" s="1"/>
  <c r="V42" i="4"/>
  <c r="W42" i="4" s="1"/>
  <c r="Q42" i="4"/>
  <c r="R42" i="4" s="1"/>
  <c r="L42" i="4"/>
  <c r="M42" i="4" s="1"/>
  <c r="G42" i="4"/>
  <c r="H42" i="4" s="1"/>
  <c r="D42" i="4"/>
  <c r="E42" i="4" s="1"/>
  <c r="AA41" i="4"/>
  <c r="AB41" i="4" s="1"/>
  <c r="V41" i="4"/>
  <c r="W41" i="4" s="1"/>
  <c r="Q41" i="4"/>
  <c r="R41" i="4" s="1"/>
  <c r="L41" i="4"/>
  <c r="M41" i="4" s="1"/>
  <c r="G41" i="4"/>
  <c r="H41" i="4" s="1"/>
  <c r="D41" i="4"/>
  <c r="E41" i="4" s="1"/>
  <c r="AA40" i="4"/>
  <c r="AB40" i="4" s="1"/>
  <c r="V40" i="4"/>
  <c r="W40" i="4" s="1"/>
  <c r="Q40" i="4"/>
  <c r="R40" i="4" s="1"/>
  <c r="L40" i="4"/>
  <c r="M40" i="4" s="1"/>
  <c r="G40" i="4"/>
  <c r="H40" i="4" s="1"/>
  <c r="D40" i="4"/>
  <c r="E40" i="4" s="1"/>
  <c r="AA39" i="4"/>
  <c r="AB39" i="4" s="1"/>
  <c r="V39" i="4"/>
  <c r="W39" i="4" s="1"/>
  <c r="Q39" i="4"/>
  <c r="R39" i="4" s="1"/>
  <c r="L39" i="4"/>
  <c r="M39" i="4" s="1"/>
  <c r="G39" i="4"/>
  <c r="H39" i="4" s="1"/>
  <c r="E39" i="4"/>
  <c r="K31" i="4"/>
  <c r="J31" i="4"/>
  <c r="I31" i="4"/>
  <c r="H31" i="4"/>
  <c r="O30" i="4"/>
  <c r="K29" i="4"/>
  <c r="J29" i="4"/>
  <c r="I29" i="4"/>
  <c r="H29" i="4"/>
  <c r="O28" i="4"/>
  <c r="O27" i="4"/>
  <c r="O26" i="4"/>
  <c r="O21" i="4"/>
  <c r="O12" i="4"/>
  <c r="O20" i="4"/>
  <c r="O11" i="4"/>
  <c r="O10" i="4"/>
  <c r="O9" i="4"/>
  <c r="O17" i="4"/>
  <c r="O8" i="4"/>
  <c r="D55" i="2"/>
  <c r="G12" i="4" l="1"/>
  <c r="G17" i="4"/>
  <c r="G15" i="4" s="1"/>
  <c r="I7" i="4"/>
  <c r="I13" i="4"/>
  <c r="I14" i="4" s="1"/>
  <c r="F36" i="2" s="1"/>
  <c r="G18" i="4"/>
  <c r="G13" i="4"/>
  <c r="H7" i="4"/>
  <c r="H13" i="4"/>
  <c r="H14" i="4" s="1"/>
  <c r="J14" i="4"/>
  <c r="J7" i="4"/>
  <c r="L18" i="4"/>
  <c r="F7" i="4"/>
  <c r="C39" i="2" s="1"/>
  <c r="C38" i="2" s="1"/>
  <c r="E49" i="2" s="1"/>
  <c r="E50" i="2" s="1"/>
  <c r="D19" i="2"/>
  <c r="D27" i="2" s="1"/>
  <c r="D11" i="2"/>
  <c r="G11" i="2"/>
  <c r="G19" i="2"/>
  <c r="G27" i="2" s="1"/>
  <c r="F11" i="2"/>
  <c r="F19" i="2"/>
  <c r="F27" i="2" s="1"/>
  <c r="E19" i="2"/>
  <c r="E27" i="2" s="1"/>
  <c r="E11" i="2"/>
  <c r="C19" i="2"/>
  <c r="C27" i="2" s="1"/>
  <c r="C11" i="2"/>
  <c r="H11" i="2"/>
  <c r="H19" i="2"/>
  <c r="H27" i="2" s="1"/>
  <c r="F35" i="2"/>
  <c r="H41" i="2" s="1"/>
  <c r="H53" i="2" s="1"/>
  <c r="G35" i="2"/>
  <c r="I41" i="2" s="1"/>
  <c r="I53" i="2" s="1"/>
  <c r="D35" i="2"/>
  <c r="F41" i="2" s="1"/>
  <c r="F53" i="2" s="1"/>
  <c r="E35" i="2"/>
  <c r="G41" i="2" s="1"/>
  <c r="G53" i="2" s="1"/>
  <c r="C35" i="2"/>
  <c r="D53" i="2" s="1"/>
  <c r="H35" i="2"/>
  <c r="J41" i="2" s="1"/>
  <c r="J53" i="2" s="1"/>
  <c r="J17" i="4"/>
  <c r="G5" i="2" s="1"/>
  <c r="G37" i="2" s="1"/>
  <c r="J8" i="4"/>
  <c r="K12" i="4"/>
  <c r="K8" i="4"/>
  <c r="I17" i="4"/>
  <c r="F5" i="2" s="1"/>
  <c r="K7" i="4"/>
  <c r="I8" i="4"/>
  <c r="J12" i="4"/>
  <c r="H17" i="4"/>
  <c r="F8" i="4"/>
  <c r="C6" i="2" s="1"/>
  <c r="C9" i="2" s="1"/>
  <c r="K17" i="4"/>
  <c r="H5" i="2" s="1"/>
  <c r="H37" i="2" s="1"/>
  <c r="H18" i="4"/>
  <c r="P9" i="4" s="1"/>
  <c r="G8" i="4"/>
  <c r="H12" i="4"/>
  <c r="K14" i="4"/>
  <c r="I18" i="4"/>
  <c r="J18" i="4"/>
  <c r="K18" i="4"/>
  <c r="G7" i="4"/>
  <c r="H8" i="4"/>
  <c r="I12" i="4"/>
  <c r="I39" i="4" l="1"/>
  <c r="J39" i="4" s="1"/>
  <c r="D5" i="2"/>
  <c r="D37" i="2" s="1"/>
  <c r="G19" i="4"/>
  <c r="G20" i="4" s="1"/>
  <c r="D56" i="2"/>
  <c r="F37" i="2"/>
  <c r="F38" i="2" s="1"/>
  <c r="F8" i="2"/>
  <c r="G14" i="4"/>
  <c r="E5" i="2"/>
  <c r="E37" i="2" s="1"/>
  <c r="E38" i="2" s="1"/>
  <c r="N39" i="4"/>
  <c r="O39" i="4" s="1"/>
  <c r="Q9" i="4"/>
  <c r="D14" i="2" s="1"/>
  <c r="G16" i="4"/>
  <c r="H15" i="4"/>
  <c r="H16" i="4" s="1"/>
  <c r="J15" i="4"/>
  <c r="K15" i="4"/>
  <c r="I15" i="4"/>
  <c r="I16" i="4" s="1"/>
  <c r="B20" i="2" a="1"/>
  <c r="B20" i="2" s="1"/>
  <c r="B28" i="2" s="1"/>
  <c r="B12" i="2" a="1"/>
  <c r="B12" i="2" s="1"/>
  <c r="K9" i="4"/>
  <c r="D57" i="2"/>
  <c r="H8" i="2"/>
  <c r="G8" i="2"/>
  <c r="C8" i="2"/>
  <c r="T20" i="4"/>
  <c r="G24" i="2" s="1"/>
  <c r="G6" i="2"/>
  <c r="G9" i="2" s="1"/>
  <c r="E8" i="2"/>
  <c r="S19" i="4"/>
  <c r="F23" i="2" s="1"/>
  <c r="F6" i="2"/>
  <c r="F9" i="2" s="1"/>
  <c r="U21" i="4"/>
  <c r="H25" i="2" s="1"/>
  <c r="H6" i="2"/>
  <c r="H9" i="2" s="1"/>
  <c r="R18" i="4"/>
  <c r="E22" i="2" s="1"/>
  <c r="E6" i="2"/>
  <c r="Q17" i="4"/>
  <c r="D21" i="2" s="1"/>
  <c r="D6" i="2"/>
  <c r="J19" i="4"/>
  <c r="J20" i="4" s="1"/>
  <c r="T12" i="4"/>
  <c r="G17" i="2" s="1"/>
  <c r="P11" i="4"/>
  <c r="C16" i="2" s="1"/>
  <c r="K19" i="4"/>
  <c r="K20" i="4" s="1"/>
  <c r="P12" i="4"/>
  <c r="C17" i="2" s="1"/>
  <c r="AC95" i="4"/>
  <c r="AD95" i="4" s="1"/>
  <c r="AC91" i="4"/>
  <c r="AD91" i="4" s="1"/>
  <c r="AC87" i="4"/>
  <c r="AD87" i="4" s="1"/>
  <c r="AC83" i="4"/>
  <c r="AD83" i="4" s="1"/>
  <c r="AC79" i="4"/>
  <c r="AD79" i="4" s="1"/>
  <c r="AC75" i="4"/>
  <c r="AD75" i="4" s="1"/>
  <c r="AC94" i="4"/>
  <c r="AD94" i="4" s="1"/>
  <c r="AC90" i="4"/>
  <c r="AD90" i="4" s="1"/>
  <c r="AC86" i="4"/>
  <c r="AD86" i="4" s="1"/>
  <c r="AC82" i="4"/>
  <c r="AD82" i="4" s="1"/>
  <c r="AC85" i="4"/>
  <c r="AD85" i="4" s="1"/>
  <c r="AC77" i="4"/>
  <c r="AD77" i="4" s="1"/>
  <c r="AC73" i="4"/>
  <c r="AD73" i="4" s="1"/>
  <c r="AC84" i="4"/>
  <c r="AD84" i="4" s="1"/>
  <c r="AC70" i="4"/>
  <c r="AD70" i="4" s="1"/>
  <c r="AC66" i="4"/>
  <c r="AD66" i="4" s="1"/>
  <c r="AC62" i="4"/>
  <c r="AD62" i="4" s="1"/>
  <c r="AC58" i="4"/>
  <c r="AD58" i="4" s="1"/>
  <c r="AC54" i="4"/>
  <c r="AD54" i="4" s="1"/>
  <c r="AC50" i="4"/>
  <c r="AD50" i="4" s="1"/>
  <c r="AC46" i="4"/>
  <c r="AD46" i="4" s="1"/>
  <c r="AC42" i="4"/>
  <c r="AD42" i="4" s="1"/>
  <c r="AC97" i="4"/>
  <c r="AD97" i="4" s="1"/>
  <c r="AC81" i="4"/>
  <c r="AD81" i="4" s="1"/>
  <c r="AC76" i="4"/>
  <c r="AD76" i="4" s="1"/>
  <c r="AC96" i="4"/>
  <c r="AD96" i="4" s="1"/>
  <c r="AC80" i="4"/>
  <c r="AD80" i="4" s="1"/>
  <c r="AC72" i="4"/>
  <c r="AD72" i="4" s="1"/>
  <c r="AC69" i="4"/>
  <c r="AD69" i="4" s="1"/>
  <c r="AC93" i="4"/>
  <c r="AD93" i="4" s="1"/>
  <c r="AC92" i="4"/>
  <c r="AD92" i="4" s="1"/>
  <c r="AC88" i="4"/>
  <c r="AD88" i="4" s="1"/>
  <c r="AC71" i="4"/>
  <c r="AD71" i="4" s="1"/>
  <c r="AC67" i="4"/>
  <c r="AD67" i="4" s="1"/>
  <c r="AC63" i="4"/>
  <c r="AD63" i="4" s="1"/>
  <c r="AC59" i="4"/>
  <c r="AD59" i="4" s="1"/>
  <c r="AC55" i="4"/>
  <c r="AD55" i="4" s="1"/>
  <c r="AC51" i="4"/>
  <c r="AD51" i="4" s="1"/>
  <c r="AC47" i="4"/>
  <c r="AD47" i="4" s="1"/>
  <c r="AC43" i="4"/>
  <c r="AD43" i="4" s="1"/>
  <c r="AC39" i="4"/>
  <c r="AC61" i="4"/>
  <c r="AD61" i="4" s="1"/>
  <c r="AC89" i="4"/>
  <c r="AD89" i="4" s="1"/>
  <c r="AC60" i="4"/>
  <c r="AD60" i="4" s="1"/>
  <c r="AC45" i="4"/>
  <c r="AD45" i="4" s="1"/>
  <c r="AC56" i="4"/>
  <c r="AD56" i="4" s="1"/>
  <c r="AC68" i="4"/>
  <c r="AD68" i="4" s="1"/>
  <c r="AC44" i="4"/>
  <c r="AD44" i="4" s="1"/>
  <c r="AC53" i="4"/>
  <c r="AD53" i="4" s="1"/>
  <c r="AC52" i="4"/>
  <c r="AD52" i="4" s="1"/>
  <c r="AC57" i="4"/>
  <c r="AD57" i="4" s="1"/>
  <c r="AC41" i="4"/>
  <c r="AD41" i="4" s="1"/>
  <c r="AC40" i="4"/>
  <c r="AD40" i="4" s="1"/>
  <c r="AC64" i="4"/>
  <c r="AD64" i="4" s="1"/>
  <c r="AC48" i="4"/>
  <c r="AD48" i="4" s="1"/>
  <c r="AC49" i="4"/>
  <c r="AD49" i="4" s="1"/>
  <c r="AC74" i="4"/>
  <c r="AD74" i="4" s="1"/>
  <c r="AC78" i="4"/>
  <c r="AD78" i="4" s="1"/>
  <c r="AC65" i="4"/>
  <c r="AD65" i="4" s="1"/>
  <c r="N97" i="4"/>
  <c r="O97" i="4" s="1"/>
  <c r="S97" i="4" s="1"/>
  <c r="T97" i="4" s="1"/>
  <c r="N93" i="4"/>
  <c r="O93" i="4" s="1"/>
  <c r="S93" i="4" s="1"/>
  <c r="T93" i="4" s="1"/>
  <c r="N89" i="4"/>
  <c r="O89" i="4" s="1"/>
  <c r="S89" i="4" s="1"/>
  <c r="T89" i="4" s="1"/>
  <c r="N85" i="4"/>
  <c r="O85" i="4" s="1"/>
  <c r="S85" i="4" s="1"/>
  <c r="T85" i="4" s="1"/>
  <c r="N81" i="4"/>
  <c r="O81" i="4" s="1"/>
  <c r="S81" i="4" s="1"/>
  <c r="T81" i="4" s="1"/>
  <c r="N77" i="4"/>
  <c r="O77" i="4" s="1"/>
  <c r="S77" i="4" s="1"/>
  <c r="T77" i="4" s="1"/>
  <c r="N96" i="4"/>
  <c r="O96" i="4" s="1"/>
  <c r="S96" i="4" s="1"/>
  <c r="T96" i="4" s="1"/>
  <c r="N92" i="4"/>
  <c r="O92" i="4" s="1"/>
  <c r="S92" i="4" s="1"/>
  <c r="T92" i="4" s="1"/>
  <c r="N88" i="4"/>
  <c r="O88" i="4" s="1"/>
  <c r="S88" i="4" s="1"/>
  <c r="T88" i="4" s="1"/>
  <c r="N84" i="4"/>
  <c r="O84" i="4" s="1"/>
  <c r="S84" i="4" s="1"/>
  <c r="T84" i="4" s="1"/>
  <c r="N86" i="4"/>
  <c r="O86" i="4" s="1"/>
  <c r="S86" i="4" s="1"/>
  <c r="T86" i="4" s="1"/>
  <c r="N73" i="4"/>
  <c r="O73" i="4" s="1"/>
  <c r="S73" i="4" s="1"/>
  <c r="T73" i="4" s="1"/>
  <c r="N83" i="4"/>
  <c r="O83" i="4" s="1"/>
  <c r="S83" i="4" s="1"/>
  <c r="T83" i="4" s="1"/>
  <c r="N68" i="4"/>
  <c r="O68" i="4" s="1"/>
  <c r="S68" i="4" s="1"/>
  <c r="T68" i="4" s="1"/>
  <c r="N64" i="4"/>
  <c r="O64" i="4" s="1"/>
  <c r="S64" i="4" s="1"/>
  <c r="T64" i="4" s="1"/>
  <c r="N60" i="4"/>
  <c r="O60" i="4" s="1"/>
  <c r="S60" i="4" s="1"/>
  <c r="T60" i="4" s="1"/>
  <c r="N56" i="4"/>
  <c r="O56" i="4" s="1"/>
  <c r="S56" i="4" s="1"/>
  <c r="T56" i="4" s="1"/>
  <c r="N52" i="4"/>
  <c r="O52" i="4" s="1"/>
  <c r="S52" i="4" s="1"/>
  <c r="T52" i="4" s="1"/>
  <c r="N48" i="4"/>
  <c r="O48" i="4" s="1"/>
  <c r="S48" i="4" s="1"/>
  <c r="T48" i="4" s="1"/>
  <c r="N44" i="4"/>
  <c r="O44" i="4" s="1"/>
  <c r="S44" i="4" s="1"/>
  <c r="T44" i="4" s="1"/>
  <c r="N40" i="4"/>
  <c r="O40" i="4" s="1"/>
  <c r="N82" i="4"/>
  <c r="O82" i="4" s="1"/>
  <c r="S82" i="4" s="1"/>
  <c r="T82" i="4" s="1"/>
  <c r="N80" i="4"/>
  <c r="O80" i="4" s="1"/>
  <c r="S80" i="4" s="1"/>
  <c r="T80" i="4" s="1"/>
  <c r="N76" i="4"/>
  <c r="O76" i="4" s="1"/>
  <c r="S76" i="4" s="1"/>
  <c r="T76" i="4" s="1"/>
  <c r="N95" i="4"/>
  <c r="O95" i="4" s="1"/>
  <c r="S95" i="4" s="1"/>
  <c r="T95" i="4" s="1"/>
  <c r="N72" i="4"/>
  <c r="O72" i="4" s="1"/>
  <c r="S72" i="4" s="1"/>
  <c r="T72" i="4" s="1"/>
  <c r="N71" i="4"/>
  <c r="O71" i="4" s="1"/>
  <c r="S71" i="4" s="1"/>
  <c r="T71" i="4" s="1"/>
  <c r="N94" i="4"/>
  <c r="O94" i="4" s="1"/>
  <c r="S94" i="4" s="1"/>
  <c r="T94" i="4" s="1"/>
  <c r="N91" i="4"/>
  <c r="O91" i="4" s="1"/>
  <c r="S91" i="4" s="1"/>
  <c r="T91" i="4" s="1"/>
  <c r="N87" i="4"/>
  <c r="O87" i="4" s="1"/>
  <c r="S87" i="4" s="1"/>
  <c r="T87" i="4" s="1"/>
  <c r="N78" i="4"/>
  <c r="O78" i="4" s="1"/>
  <c r="S78" i="4" s="1"/>
  <c r="T78" i="4" s="1"/>
  <c r="N74" i="4"/>
  <c r="O74" i="4" s="1"/>
  <c r="S74" i="4" s="1"/>
  <c r="T74" i="4" s="1"/>
  <c r="N69" i="4"/>
  <c r="O69" i="4" s="1"/>
  <c r="S69" i="4" s="1"/>
  <c r="T69" i="4" s="1"/>
  <c r="N65" i="4"/>
  <c r="O65" i="4" s="1"/>
  <c r="S65" i="4" s="1"/>
  <c r="T65" i="4" s="1"/>
  <c r="N61" i="4"/>
  <c r="O61" i="4" s="1"/>
  <c r="S61" i="4" s="1"/>
  <c r="T61" i="4" s="1"/>
  <c r="N57" i="4"/>
  <c r="O57" i="4" s="1"/>
  <c r="S57" i="4" s="1"/>
  <c r="T57" i="4" s="1"/>
  <c r="N53" i="4"/>
  <c r="O53" i="4" s="1"/>
  <c r="S53" i="4" s="1"/>
  <c r="T53" i="4" s="1"/>
  <c r="N49" i="4"/>
  <c r="O49" i="4" s="1"/>
  <c r="S49" i="4" s="1"/>
  <c r="T49" i="4" s="1"/>
  <c r="N45" i="4"/>
  <c r="O45" i="4" s="1"/>
  <c r="S45" i="4" s="1"/>
  <c r="T45" i="4" s="1"/>
  <c r="N41" i="4"/>
  <c r="O41" i="4" s="1"/>
  <c r="S41" i="4" s="1"/>
  <c r="T41" i="4" s="1"/>
  <c r="N62" i="4"/>
  <c r="O62" i="4" s="1"/>
  <c r="S62" i="4" s="1"/>
  <c r="T62" i="4" s="1"/>
  <c r="N46" i="4"/>
  <c r="O46" i="4" s="1"/>
  <c r="S46" i="4" s="1"/>
  <c r="T46" i="4" s="1"/>
  <c r="N90" i="4"/>
  <c r="O90" i="4" s="1"/>
  <c r="S90" i="4" s="1"/>
  <c r="T90" i="4" s="1"/>
  <c r="N59" i="4"/>
  <c r="O59" i="4" s="1"/>
  <c r="S59" i="4" s="1"/>
  <c r="T59" i="4" s="1"/>
  <c r="N51" i="4"/>
  <c r="O51" i="4" s="1"/>
  <c r="S51" i="4" s="1"/>
  <c r="T51" i="4" s="1"/>
  <c r="N42" i="4"/>
  <c r="O42" i="4" s="1"/>
  <c r="S42" i="4" s="1"/>
  <c r="T42" i="4" s="1"/>
  <c r="N55" i="4"/>
  <c r="O55" i="4" s="1"/>
  <c r="S55" i="4" s="1"/>
  <c r="T55" i="4" s="1"/>
  <c r="N50" i="4"/>
  <c r="O50" i="4" s="1"/>
  <c r="S50" i="4" s="1"/>
  <c r="T50" i="4" s="1"/>
  <c r="N67" i="4"/>
  <c r="O67" i="4" s="1"/>
  <c r="S67" i="4" s="1"/>
  <c r="T67" i="4" s="1"/>
  <c r="N75" i="4"/>
  <c r="O75" i="4" s="1"/>
  <c r="S75" i="4" s="1"/>
  <c r="T75" i="4" s="1"/>
  <c r="N58" i="4"/>
  <c r="O58" i="4" s="1"/>
  <c r="S58" i="4" s="1"/>
  <c r="T58" i="4" s="1"/>
  <c r="N54" i="4"/>
  <c r="O54" i="4" s="1"/>
  <c r="S54" i="4" s="1"/>
  <c r="T54" i="4" s="1"/>
  <c r="N70" i="4"/>
  <c r="O70" i="4" s="1"/>
  <c r="S70" i="4" s="1"/>
  <c r="T70" i="4" s="1"/>
  <c r="N79" i="4"/>
  <c r="O79" i="4" s="1"/>
  <c r="S79" i="4" s="1"/>
  <c r="T79" i="4" s="1"/>
  <c r="N63" i="4"/>
  <c r="O63" i="4" s="1"/>
  <c r="S63" i="4" s="1"/>
  <c r="T63" i="4" s="1"/>
  <c r="N47" i="4"/>
  <c r="O47" i="4" s="1"/>
  <c r="S47" i="4" s="1"/>
  <c r="T47" i="4" s="1"/>
  <c r="N43" i="4"/>
  <c r="O43" i="4" s="1"/>
  <c r="S43" i="4" s="1"/>
  <c r="T43" i="4" s="1"/>
  <c r="N66" i="4"/>
  <c r="O66" i="4" s="1"/>
  <c r="S66" i="4" s="1"/>
  <c r="T66" i="4" s="1"/>
  <c r="I95" i="4"/>
  <c r="J95" i="4" s="1"/>
  <c r="I91" i="4"/>
  <c r="J91" i="4" s="1"/>
  <c r="I87" i="4"/>
  <c r="J87" i="4" s="1"/>
  <c r="I83" i="4"/>
  <c r="J83" i="4" s="1"/>
  <c r="I79" i="4"/>
  <c r="J79" i="4" s="1"/>
  <c r="I75" i="4"/>
  <c r="J75" i="4" s="1"/>
  <c r="I94" i="4"/>
  <c r="J94" i="4" s="1"/>
  <c r="I90" i="4"/>
  <c r="J90" i="4" s="1"/>
  <c r="I86" i="4"/>
  <c r="J86" i="4" s="1"/>
  <c r="I82" i="4"/>
  <c r="J82" i="4" s="1"/>
  <c r="I89" i="4"/>
  <c r="J89" i="4" s="1"/>
  <c r="I88" i="4"/>
  <c r="J88" i="4" s="1"/>
  <c r="I78" i="4"/>
  <c r="J78" i="4" s="1"/>
  <c r="I74" i="4"/>
  <c r="J74" i="4" s="1"/>
  <c r="I70" i="4"/>
  <c r="J70" i="4" s="1"/>
  <c r="I66" i="4"/>
  <c r="J66" i="4" s="1"/>
  <c r="I62" i="4"/>
  <c r="J62" i="4" s="1"/>
  <c r="I58" i="4"/>
  <c r="J58" i="4" s="1"/>
  <c r="I54" i="4"/>
  <c r="J54" i="4" s="1"/>
  <c r="I50" i="4"/>
  <c r="J50" i="4" s="1"/>
  <c r="I46" i="4"/>
  <c r="J46" i="4" s="1"/>
  <c r="I42" i="4"/>
  <c r="J42" i="4" s="1"/>
  <c r="I85" i="4"/>
  <c r="J85" i="4" s="1"/>
  <c r="I77" i="4"/>
  <c r="J77" i="4" s="1"/>
  <c r="I84" i="4"/>
  <c r="J84" i="4" s="1"/>
  <c r="I73" i="4"/>
  <c r="J73" i="4" s="1"/>
  <c r="I69" i="4"/>
  <c r="J69" i="4" s="1"/>
  <c r="I97" i="4"/>
  <c r="J97" i="4" s="1"/>
  <c r="I96" i="4"/>
  <c r="J96" i="4" s="1"/>
  <c r="I92" i="4"/>
  <c r="J92" i="4" s="1"/>
  <c r="I72" i="4"/>
  <c r="J72" i="4" s="1"/>
  <c r="I71" i="4"/>
  <c r="J71" i="4" s="1"/>
  <c r="I67" i="4"/>
  <c r="J67" i="4" s="1"/>
  <c r="I63" i="4"/>
  <c r="J63" i="4" s="1"/>
  <c r="I59" i="4"/>
  <c r="J59" i="4" s="1"/>
  <c r="I55" i="4"/>
  <c r="J55" i="4" s="1"/>
  <c r="I51" i="4"/>
  <c r="J51" i="4" s="1"/>
  <c r="I47" i="4"/>
  <c r="J47" i="4" s="1"/>
  <c r="I43" i="4"/>
  <c r="J43" i="4" s="1"/>
  <c r="I65" i="4"/>
  <c r="J65" i="4" s="1"/>
  <c r="I52" i="4"/>
  <c r="J52" i="4" s="1"/>
  <c r="I49" i="4"/>
  <c r="J49" i="4" s="1"/>
  <c r="I64" i="4"/>
  <c r="J64" i="4" s="1"/>
  <c r="I48" i="4"/>
  <c r="J48" i="4" s="1"/>
  <c r="I45" i="4"/>
  <c r="J45" i="4" s="1"/>
  <c r="I80" i="4"/>
  <c r="J80" i="4" s="1"/>
  <c r="I68" i="4"/>
  <c r="J68" i="4" s="1"/>
  <c r="I41" i="4"/>
  <c r="J41" i="4" s="1"/>
  <c r="I93" i="4"/>
  <c r="J93" i="4" s="1"/>
  <c r="I61" i="4"/>
  <c r="J61" i="4" s="1"/>
  <c r="I60" i="4"/>
  <c r="J60" i="4" s="1"/>
  <c r="I57" i="4"/>
  <c r="J57" i="4" s="1"/>
  <c r="I76" i="4"/>
  <c r="J76" i="4" s="1"/>
  <c r="I56" i="4"/>
  <c r="J56" i="4" s="1"/>
  <c r="I81" i="4"/>
  <c r="J81" i="4" s="1"/>
  <c r="I53" i="4"/>
  <c r="J53" i="4" s="1"/>
  <c r="I40" i="4"/>
  <c r="J40" i="4" s="1"/>
  <c r="I44" i="4"/>
  <c r="J44" i="4" s="1"/>
  <c r="I19" i="4"/>
  <c r="I20" i="4" s="1"/>
  <c r="S12" i="4"/>
  <c r="F17" i="2" s="1"/>
  <c r="S11" i="4"/>
  <c r="F16" i="2" s="1"/>
  <c r="P10" i="4"/>
  <c r="C15" i="2" s="1"/>
  <c r="H9" i="4"/>
  <c r="I9" i="4"/>
  <c r="G9" i="4"/>
  <c r="F9" i="4"/>
  <c r="J9" i="4"/>
  <c r="Q12" i="4"/>
  <c r="D17" i="2" s="1"/>
  <c r="Q10" i="4"/>
  <c r="D15" i="2" s="1"/>
  <c r="P8" i="4"/>
  <c r="C13" i="2" s="1"/>
  <c r="Q11" i="4"/>
  <c r="D16" i="2" s="1"/>
  <c r="S39" i="4"/>
  <c r="T39" i="4" s="1"/>
  <c r="H19" i="4"/>
  <c r="H20" i="4" s="1"/>
  <c r="C14" i="2"/>
  <c r="R11" i="4"/>
  <c r="E16" i="2" s="1"/>
  <c r="R12" i="4"/>
  <c r="E17" i="2" s="1"/>
  <c r="R10" i="4"/>
  <c r="E15" i="2" s="1"/>
  <c r="P16" i="4"/>
  <c r="Q18" i="4" s="1"/>
  <c r="D22" i="2" s="1"/>
  <c r="F12" i="4"/>
  <c r="F11" i="4"/>
  <c r="X97" i="4"/>
  <c r="Y97" i="4" s="1"/>
  <c r="X93" i="4"/>
  <c r="Y93" i="4" s="1"/>
  <c r="X89" i="4"/>
  <c r="Y89" i="4" s="1"/>
  <c r="X85" i="4"/>
  <c r="Y85" i="4" s="1"/>
  <c r="X81" i="4"/>
  <c r="Y81" i="4" s="1"/>
  <c r="X77" i="4"/>
  <c r="Y77" i="4" s="1"/>
  <c r="X73" i="4"/>
  <c r="Y73" i="4" s="1"/>
  <c r="X96" i="4"/>
  <c r="Y96" i="4" s="1"/>
  <c r="X92" i="4"/>
  <c r="Y92" i="4" s="1"/>
  <c r="X88" i="4"/>
  <c r="Y88" i="4" s="1"/>
  <c r="X84" i="4"/>
  <c r="Y84" i="4" s="1"/>
  <c r="X80" i="4"/>
  <c r="Y80" i="4" s="1"/>
  <c r="X91" i="4"/>
  <c r="Y91" i="4" s="1"/>
  <c r="X90" i="4"/>
  <c r="Y90" i="4" s="1"/>
  <c r="X78" i="4"/>
  <c r="Y78" i="4" s="1"/>
  <c r="X74" i="4"/>
  <c r="Y74" i="4" s="1"/>
  <c r="X68" i="4"/>
  <c r="Y68" i="4" s="1"/>
  <c r="X64" i="4"/>
  <c r="Y64" i="4" s="1"/>
  <c r="X60" i="4"/>
  <c r="Y60" i="4" s="1"/>
  <c r="X56" i="4"/>
  <c r="Y56" i="4" s="1"/>
  <c r="X52" i="4"/>
  <c r="Y52" i="4" s="1"/>
  <c r="X48" i="4"/>
  <c r="Y48" i="4" s="1"/>
  <c r="X44" i="4"/>
  <c r="Y44" i="4" s="1"/>
  <c r="X40" i="4"/>
  <c r="Y40" i="4" s="1"/>
  <c r="X87" i="4"/>
  <c r="Y87" i="4" s="1"/>
  <c r="X86" i="4"/>
  <c r="Y86" i="4" s="1"/>
  <c r="X71" i="4"/>
  <c r="Y71" i="4" s="1"/>
  <c r="X83" i="4"/>
  <c r="Y83" i="4" s="1"/>
  <c r="X94" i="4"/>
  <c r="Y94" i="4" s="1"/>
  <c r="X79" i="4"/>
  <c r="Y79" i="4" s="1"/>
  <c r="X75" i="4"/>
  <c r="Y75" i="4" s="1"/>
  <c r="X69" i="4"/>
  <c r="Y69" i="4" s="1"/>
  <c r="X65" i="4"/>
  <c r="Y65" i="4" s="1"/>
  <c r="X61" i="4"/>
  <c r="Y61" i="4" s="1"/>
  <c r="X57" i="4"/>
  <c r="Y57" i="4" s="1"/>
  <c r="X53" i="4"/>
  <c r="Y53" i="4" s="1"/>
  <c r="X49" i="4"/>
  <c r="Y49" i="4" s="1"/>
  <c r="X45" i="4"/>
  <c r="Y45" i="4" s="1"/>
  <c r="X41" i="4"/>
  <c r="Y41" i="4" s="1"/>
  <c r="X66" i="4"/>
  <c r="Y66" i="4" s="1"/>
  <c r="X54" i="4"/>
  <c r="Y54" i="4" s="1"/>
  <c r="X43" i="4"/>
  <c r="Y43" i="4" s="1"/>
  <c r="X51" i="4"/>
  <c r="Y51" i="4" s="1"/>
  <c r="X82" i="4"/>
  <c r="Y82" i="4" s="1"/>
  <c r="X42" i="4"/>
  <c r="Y42" i="4" s="1"/>
  <c r="X63" i="4"/>
  <c r="Y63" i="4" s="1"/>
  <c r="X47" i="4"/>
  <c r="Y47" i="4" s="1"/>
  <c r="X39" i="4"/>
  <c r="Y39" i="4" s="1"/>
  <c r="X46" i="4"/>
  <c r="Y46" i="4" s="1"/>
  <c r="X59" i="4"/>
  <c r="Y59" i="4" s="1"/>
  <c r="X58" i="4"/>
  <c r="Y58" i="4" s="1"/>
  <c r="X70" i="4"/>
  <c r="Y70" i="4" s="1"/>
  <c r="X55" i="4"/>
  <c r="Y55" i="4" s="1"/>
  <c r="X95" i="4"/>
  <c r="Y95" i="4" s="1"/>
  <c r="X62" i="4"/>
  <c r="Y62" i="4" s="1"/>
  <c r="X76" i="4"/>
  <c r="Y76" i="4" s="1"/>
  <c r="X72" i="4"/>
  <c r="Y72" i="4" s="1"/>
  <c r="X67" i="4"/>
  <c r="Y67" i="4" s="1"/>
  <c r="X50" i="4"/>
  <c r="Y50" i="4" s="1"/>
  <c r="D9" i="2" l="1"/>
  <c r="D8" i="2"/>
  <c r="G10" i="4"/>
  <c r="D7" i="2" s="1"/>
  <c r="F42" i="2" s="1"/>
  <c r="F43" i="2" s="1"/>
  <c r="G11" i="4"/>
  <c r="E9" i="2"/>
  <c r="H10" i="4"/>
  <c r="E7" i="2" s="1"/>
  <c r="G42" i="2" s="1"/>
  <c r="G43" i="2" s="1"/>
  <c r="J16" i="4"/>
  <c r="G38" i="2" s="1"/>
  <c r="K16" i="4"/>
  <c r="H38" i="2" s="1"/>
  <c r="S40" i="4"/>
  <c r="T40" i="4" s="1"/>
  <c r="S29" i="4" s="1"/>
  <c r="F32" i="2" s="1"/>
  <c r="D38" i="2"/>
  <c r="D58" i="2"/>
  <c r="B30" i="2"/>
  <c r="B33" i="2"/>
  <c r="B31" i="2"/>
  <c r="B32" i="2"/>
  <c r="B29" i="2"/>
  <c r="R21" i="4"/>
  <c r="E25" i="2" s="1"/>
  <c r="Q21" i="4"/>
  <c r="D25" i="2" s="1"/>
  <c r="Q20" i="4"/>
  <c r="D24" i="2" s="1"/>
  <c r="P20" i="4"/>
  <c r="C24" i="2" s="1"/>
  <c r="S21" i="4"/>
  <c r="F25" i="2" s="1"/>
  <c r="Q19" i="4"/>
  <c r="D23" i="2" s="1"/>
  <c r="P17" i="4"/>
  <c r="C21" i="2" s="1"/>
  <c r="P21" i="4"/>
  <c r="C25" i="2" s="1"/>
  <c r="C20" i="2"/>
  <c r="R19" i="4"/>
  <c r="E23" i="2" s="1"/>
  <c r="P18" i="4"/>
  <c r="C22" i="2" s="1"/>
  <c r="R29" i="4"/>
  <c r="E32" i="2" s="1"/>
  <c r="R28" i="4"/>
  <c r="E31" i="2" s="1"/>
  <c r="H11" i="4"/>
  <c r="R20" i="4"/>
  <c r="E24" i="2" s="1"/>
  <c r="S20" i="4"/>
  <c r="F24" i="2" s="1"/>
  <c r="I10" i="4"/>
  <c r="F7" i="2" s="1"/>
  <c r="H42" i="2" s="1"/>
  <c r="H43" i="2" s="1"/>
  <c r="J11" i="4"/>
  <c r="P19" i="4"/>
  <c r="C23" i="2" s="1"/>
  <c r="T21" i="4"/>
  <c r="G25" i="2" s="1"/>
  <c r="J10" i="4"/>
  <c r="G7" i="2" s="1"/>
  <c r="I42" i="2" s="1"/>
  <c r="K11" i="4"/>
  <c r="Q29" i="4"/>
  <c r="D32" i="2" s="1"/>
  <c r="Q27" i="4"/>
  <c r="D30" i="2" s="1"/>
  <c r="AD39" i="4"/>
  <c r="I11" i="4" l="1"/>
  <c r="Q28" i="4"/>
  <c r="D31" i="2" s="1"/>
  <c r="I43" i="2"/>
  <c r="K10" i="4"/>
  <c r="H7" i="2" s="1"/>
  <c r="J42" i="2" s="1"/>
  <c r="J43" i="2" s="1"/>
  <c r="E43" i="2" s="1"/>
  <c r="Q30" i="4"/>
  <c r="D33" i="2" s="1"/>
  <c r="T30" i="4"/>
  <c r="G33" i="2" s="1"/>
  <c r="R30" i="4"/>
  <c r="E33" i="2" s="1"/>
  <c r="S30" i="4"/>
  <c r="F33" i="2" s="1"/>
  <c r="J44" i="2" l="1"/>
  <c r="J45" i="2" s="1"/>
  <c r="I44" i="2"/>
  <c r="F44" i="2"/>
  <c r="F54" i="2" s="1"/>
  <c r="G44" i="2"/>
  <c r="G45" i="2" s="1"/>
  <c r="H44" i="2"/>
  <c r="H45" i="2" s="1"/>
  <c r="E51" i="2" l="1"/>
  <c r="E46" i="2"/>
  <c r="E56" i="2"/>
  <c r="C56" i="2" s="1"/>
  <c r="F45" i="2"/>
  <c r="I45" i="2"/>
  <c r="E44" i="2"/>
  <c r="E55" i="2"/>
  <c r="C55" i="2" s="1"/>
  <c r="E47" i="2" l="1"/>
  <c r="E48" i="2" s="1"/>
  <c r="E57" i="2" l="1"/>
  <c r="E58" i="2" s="1"/>
  <c r="J54" i="2"/>
  <c r="H54" i="2"/>
  <c r="G54" i="2"/>
  <c r="I54" i="2"/>
  <c r="F32" i="4" l="1"/>
  <c r="J32" i="4"/>
  <c r="G32" i="4"/>
  <c r="H32" i="4"/>
  <c r="I32" i="4"/>
  <c r="K32" i="4"/>
  <c r="C57" i="2"/>
  <c r="D7" i="5" s="1"/>
  <c r="AF39" i="4" l="1"/>
  <c r="AE39" i="4" s="1"/>
  <c r="AF47" i="4"/>
  <c r="AF69" i="4"/>
  <c r="AF52" i="4"/>
  <c r="AF56" i="4"/>
  <c r="AF80" i="4"/>
  <c r="AF46" i="4"/>
  <c r="AF78" i="4"/>
  <c r="AF67" i="4"/>
  <c r="AF89" i="4"/>
  <c r="AF48" i="4"/>
  <c r="AF79" i="4"/>
  <c r="AF66" i="4"/>
  <c r="AF51" i="4"/>
  <c r="AF63" i="4"/>
  <c r="AF73" i="4"/>
  <c r="AF76" i="4"/>
  <c r="AF64" i="4"/>
  <c r="AF50" i="4"/>
  <c r="AF82" i="4"/>
  <c r="AF83" i="4"/>
  <c r="AF91" i="4"/>
  <c r="AF45" i="4"/>
  <c r="AF77" i="4"/>
  <c r="AF84" i="4"/>
  <c r="AF88" i="4"/>
  <c r="AF43" i="4"/>
  <c r="AF54" i="4"/>
  <c r="AF86" i="4"/>
  <c r="AF41" i="4"/>
  <c r="AF49" i="4"/>
  <c r="AF81" i="4"/>
  <c r="AF96" i="4"/>
  <c r="AF92" i="4"/>
  <c r="AF71" i="4"/>
  <c r="AF58" i="4"/>
  <c r="AF90" i="4"/>
  <c r="AF53" i="4"/>
  <c r="AF85" i="4"/>
  <c r="AF72" i="4"/>
  <c r="AF95" i="4"/>
  <c r="AF75" i="4"/>
  <c r="AF62" i="4"/>
  <c r="AF94" i="4"/>
  <c r="AF57" i="4"/>
  <c r="AF61" i="4"/>
  <c r="AF93" i="4"/>
  <c r="AF40" i="4"/>
  <c r="AF60" i="4"/>
  <c r="AF87" i="4"/>
  <c r="AF70" i="4"/>
  <c r="AF55" i="4"/>
  <c r="AF65" i="4"/>
  <c r="AF97" i="4"/>
  <c r="AF44" i="4"/>
  <c r="AF68" i="4"/>
  <c r="AF42" i="4"/>
  <c r="AF74" i="4"/>
  <c r="AF59" i="4"/>
  <c r="C7" i="5"/>
  <c r="C58" i="2"/>
  <c r="AE40" i="4" l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E6" i="5"/>
  <c r="F6" i="5" s="1"/>
  <c r="E22" i="5" s="1"/>
  <c r="C26" i="5"/>
  <c r="D21" i="5"/>
  <c r="D22" i="5"/>
  <c r="D14" i="5"/>
  <c r="D20" i="5"/>
  <c r="D17" i="5"/>
  <c r="D12" i="5"/>
  <c r="D13" i="5"/>
  <c r="D15" i="5"/>
  <c r="D16" i="5"/>
  <c r="D18" i="5"/>
  <c r="D19" i="5"/>
  <c r="E26" i="5" l="1"/>
  <c r="D26" i="5"/>
  <c r="AE66" i="4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E19" i="5"/>
  <c r="F19" i="5" s="1"/>
  <c r="E21" i="5"/>
  <c r="F21" i="5" s="1"/>
  <c r="E12" i="5"/>
  <c r="F12" i="5" s="1"/>
  <c r="E16" i="5"/>
  <c r="F16" i="5" s="1"/>
  <c r="E15" i="5"/>
  <c r="F15" i="5" s="1"/>
  <c r="E17" i="5"/>
  <c r="F17" i="5" s="1"/>
  <c r="E20" i="5"/>
  <c r="F20" i="5" s="1"/>
  <c r="E13" i="5"/>
  <c r="F13" i="5" s="1"/>
  <c r="E14" i="5"/>
  <c r="F14" i="5" s="1"/>
  <c r="F22" i="5"/>
  <c r="E18" i="5"/>
  <c r="F18" i="5" s="1"/>
  <c r="E24" i="5"/>
  <c r="F26" i="5" l="1"/>
  <c r="D7" i="6"/>
  <c r="D29" i="5"/>
  <c r="D31" i="5" s="1"/>
  <c r="D8" i="6"/>
  <c r="D24" i="5"/>
  <c r="F24" i="5" s="1"/>
  <c r="D15" i="6" l="1"/>
  <c r="D30" i="5"/>
  <c r="D33" i="5" s="1"/>
  <c r="D11" i="6"/>
  <c r="D14" i="6" s="1"/>
  <c r="D23" i="6" s="1"/>
  <c r="F23" i="6" s="1"/>
  <c r="D32" i="5"/>
  <c r="D34" i="5"/>
  <c r="D12" i="6" l="1"/>
  <c r="D13" i="6" s="1"/>
  <c r="D35" i="5"/>
  <c r="D18" i="6" l="1"/>
  <c r="E23" i="6" s="1"/>
  <c r="C2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<sst xmlns="http://schemas.openxmlformats.org/spreadsheetml/2006/main" count="320" uniqueCount="181">
  <si>
    <t>Panel A. Risk Parameters of Pf A (annualized)</t>
  </si>
  <si>
    <t>Beta</t>
  </si>
  <si>
    <t>SD of Excess Return</t>
  </si>
  <si>
    <t>SD of Residual (e), Firm specific Component</t>
  </si>
  <si>
    <t>SD of Systematic Component</t>
  </si>
  <si>
    <t>Correlation with the Market Index</t>
  </si>
  <si>
    <t>Panel B. Correlation Matrix</t>
  </si>
  <si>
    <t>Panel C. The Index Model Covariance Matrix</t>
  </si>
  <si>
    <t>Panel D. Correlation of Residuals in Pf A</t>
  </si>
  <si>
    <t xml:space="preserve">Panel E. Macro Forecast and Forecasts of Alpha </t>
  </si>
  <si>
    <t>Panel F. Active Portfolio</t>
  </si>
  <si>
    <t xml:space="preserve">Active Pf </t>
  </si>
  <si>
    <t>Residual Variance of each security</t>
  </si>
  <si>
    <t>Initial position of each security</t>
  </si>
  <si>
    <t>Scaled initial position of each security</t>
  </si>
  <si>
    <t>Squared scaled initial position of each security</t>
  </si>
  <si>
    <t>Alpha of the Active Pf</t>
  </si>
  <si>
    <t>Residual Variance of Active Pf</t>
  </si>
  <si>
    <t>Active Pf information ratio (APIR)</t>
  </si>
  <si>
    <t>Index Pf information ratio (IPIR)</t>
  </si>
  <si>
    <t>Initial position in Active Pf (APIR/IPIR)</t>
  </si>
  <si>
    <t>Beta of the Active Pf</t>
  </si>
  <si>
    <t>Panel G. Optimal Risky Portfolios</t>
  </si>
  <si>
    <t>Overall Risky Pf</t>
  </si>
  <si>
    <t>Risk Premium</t>
  </si>
  <si>
    <t>Standard Deviation</t>
  </si>
  <si>
    <t>Sharpe Ratio</t>
  </si>
  <si>
    <t>Data. Security Index Model</t>
  </si>
  <si>
    <t>Panel 1. Risk &amp; Return Parameters in the Security Index Model</t>
  </si>
  <si>
    <t>Panel 2. Correlation and Covariance Matrixs in the Security Index Model</t>
  </si>
  <si>
    <t>Estimates annualized</t>
  </si>
  <si>
    <t>T-bill</t>
  </si>
  <si>
    <t>SPDR</t>
  </si>
  <si>
    <t>Correl (via Index)</t>
  </si>
  <si>
    <t>Covariance (via Index)</t>
  </si>
  <si>
    <t>SD of Residuals (e)</t>
  </si>
  <si>
    <t>SD of Systematic component</t>
  </si>
  <si>
    <t>Covariance</t>
  </si>
  <si>
    <t xml:space="preserve">Beta </t>
  </si>
  <si>
    <t>Correlation with Index</t>
  </si>
  <si>
    <t>R Squared (Market Determination)</t>
  </si>
  <si>
    <t>1-R Squared (Firms Specific)</t>
  </si>
  <si>
    <t>Correl of Residuals</t>
  </si>
  <si>
    <t>EPS (TTM)</t>
  </si>
  <si>
    <t>PE Ratio (TTM)</t>
  </si>
  <si>
    <t>1y Forward Dividend ($)</t>
  </si>
  <si>
    <t>1y Forward Dividend Yield (%)</t>
  </si>
  <si>
    <t>Panel 3. Price information. monthly rate of return and excess returns</t>
  </si>
  <si>
    <t>60 months</t>
  </si>
  <si>
    <t>Dates</t>
  </si>
  <si>
    <t>Prices</t>
  </si>
  <si>
    <t>Monthly
rate</t>
  </si>
  <si>
    <t>Exces 
return</t>
  </si>
  <si>
    <t>Mkt Prem. Systematic component</t>
  </si>
  <si>
    <t>Residuals. Unsystematic component</t>
  </si>
  <si>
    <t>Asset Classes Allocation Analysis: Optimal Complete Pf Model</t>
  </si>
  <si>
    <t>Capital Allocation &gt; Asset Classes Allocation &gt; Security Selection</t>
  </si>
  <si>
    <t>Securities</t>
  </si>
  <si>
    <t>Expected Return</t>
  </si>
  <si>
    <t>Corr. Coefficient B,E</t>
  </si>
  <si>
    <t>Covariance B,E</t>
  </si>
  <si>
    <t>T-Bill</t>
  </si>
  <si>
    <t>Risky Asset Portfolio: Weights</t>
  </si>
  <si>
    <t>Reward to Variability</t>
  </si>
  <si>
    <t>Bond weight</t>
  </si>
  <si>
    <t>Equity weight</t>
  </si>
  <si>
    <t>(Sharpe ratio)</t>
  </si>
  <si>
    <t>short-not allowed</t>
  </si>
  <si>
    <t>B. Optimal Risky Portfolio. Maximum of Sharpe ratio</t>
  </si>
  <si>
    <t>Max. of Sharpe Ratio</t>
  </si>
  <si>
    <t>Weight y: Optimal Risky Portfolio</t>
  </si>
  <si>
    <t>Weight (1-y): Risk-Free Asset</t>
  </si>
  <si>
    <t>Bond weight in the Optimal Complete Pf</t>
  </si>
  <si>
    <t>Equity weight in the Optimal Complete Pf</t>
  </si>
  <si>
    <t>E(rc): expected return of the Complete pf</t>
  </si>
  <si>
    <t>𝜎 c: SD of Complete pf</t>
  </si>
  <si>
    <t>Sharpe Ratio (Max. Slope of CAL)</t>
  </si>
  <si>
    <t xml:space="preserve"> </t>
  </si>
  <si>
    <t>Capital Allocation. Optimal Captial Allocation using Maixum Utility</t>
  </si>
  <si>
    <t>Risky Pf (P) only</t>
  </si>
  <si>
    <t>rf: rate of return of risk-free asset</t>
  </si>
  <si>
    <t>E(Rp): expected return of risky pf</t>
  </si>
  <si>
    <r>
      <rPr>
        <b/>
        <sz val="12"/>
        <rFont val="Times New Roman"/>
        <family val="1"/>
      </rPr>
      <t>𝜎 p</t>
    </r>
    <r>
      <rPr>
        <sz val="12"/>
        <rFont val="Times New Roman"/>
        <family val="1"/>
      </rPr>
      <t>: SD of risky pf</t>
    </r>
  </si>
  <si>
    <t>Complete Pf (C). Risk free + Risky Pf</t>
  </si>
  <si>
    <t>y: weight of risky pf</t>
  </si>
  <si>
    <t>1-y: weight of risk free asset</t>
  </si>
  <si>
    <t>Equity Pf (E)</t>
  </si>
  <si>
    <t>Bond Pf (B)</t>
  </si>
  <si>
    <t>Equity Pf</t>
  </si>
  <si>
    <t>Active Pf Weights* (Index model)</t>
  </si>
  <si>
    <t xml:space="preserve">Risk Tolerance Score </t>
  </si>
  <si>
    <t xml:space="preserve">Utility at the risk aversion level </t>
  </si>
  <si>
    <t>C. Optimal Complete Portfolio with U w/ Risk-Free Asset</t>
  </si>
  <si>
    <t>Risk Aversion Index (A: 1~20)*</t>
  </si>
  <si>
    <t xml:space="preserve">Expected excess return </t>
  </si>
  <si>
    <t>Alpha (Non-market risk premium in the index model)</t>
  </si>
  <si>
    <r>
      <t>s</t>
    </r>
    <r>
      <rPr>
        <vertAlign val="superscript"/>
        <sz val="12"/>
        <rFont val="Verdana"/>
        <family val="2"/>
      </rPr>
      <t>2</t>
    </r>
    <r>
      <rPr>
        <sz val="12"/>
        <rFont val="Verdana"/>
        <family val="2"/>
      </rPr>
      <t>(</t>
    </r>
    <r>
      <rPr>
        <i/>
        <sz val="12"/>
        <rFont val="Aptos Narrow"/>
        <family val="2"/>
        <scheme val="minor"/>
      </rPr>
      <t>e</t>
    </r>
    <r>
      <rPr>
        <sz val="12"/>
        <rFont val="Verdana"/>
        <family val="2"/>
      </rPr>
      <t>)</t>
    </r>
  </si>
  <si>
    <r>
      <rPr>
        <i/>
        <sz val="12"/>
        <rFont val="Aptos Narrow"/>
        <family val="2"/>
        <scheme val="minor"/>
      </rPr>
      <t>w</t>
    </r>
    <r>
      <rPr>
        <i/>
        <vertAlign val="subscript"/>
        <sz val="12"/>
        <rFont val="Aptos Narrow"/>
        <family val="2"/>
        <scheme val="minor"/>
      </rPr>
      <t>i</t>
    </r>
    <r>
      <rPr>
        <sz val="12"/>
        <rFont val="Symbol"/>
        <family val="1"/>
        <charset val="2"/>
      </rPr>
      <t>(</t>
    </r>
    <r>
      <rPr>
        <sz val="12"/>
        <rFont val="Aptos Narrow"/>
        <family val="2"/>
        <scheme val="minor"/>
      </rPr>
      <t>0</t>
    </r>
    <r>
      <rPr>
        <sz val="12"/>
        <rFont val="Symbol"/>
        <family val="1"/>
        <charset val="2"/>
      </rPr>
      <t>) = a</t>
    </r>
    <r>
      <rPr>
        <i/>
        <vertAlign val="subscript"/>
        <sz val="12"/>
        <rFont val="Aptos Narrow"/>
        <family val="2"/>
        <scheme val="minor"/>
      </rPr>
      <t>i</t>
    </r>
    <r>
      <rPr>
        <sz val="12"/>
        <rFont val="Symbol"/>
        <family val="1"/>
        <charset val="2"/>
      </rPr>
      <t>/s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Symbol"/>
        <family val="1"/>
        <charset val="2"/>
      </rPr>
      <t>(</t>
    </r>
    <r>
      <rPr>
        <i/>
        <sz val="12"/>
        <rFont val="Aptos Narrow"/>
        <family val="2"/>
        <scheme val="minor"/>
      </rPr>
      <t>e</t>
    </r>
    <r>
      <rPr>
        <sz val="12"/>
        <rFont val="Symbol"/>
        <family val="1"/>
        <charset val="2"/>
      </rPr>
      <t>)</t>
    </r>
  </si>
  <si>
    <r>
      <t>w</t>
    </r>
    <r>
      <rPr>
        <i/>
        <vertAlign val="subscript"/>
        <sz val="12"/>
        <rFont val="Aptos Narrow"/>
        <family val="2"/>
        <scheme val="minor"/>
      </rPr>
      <t>i</t>
    </r>
  </si>
  <si>
    <r>
      <t>[</t>
    </r>
    <r>
      <rPr>
        <i/>
        <sz val="12"/>
        <rFont val="Aptos Narrow"/>
        <family val="2"/>
        <scheme val="minor"/>
      </rPr>
      <t>w</t>
    </r>
    <r>
      <rPr>
        <i/>
        <vertAlign val="subscript"/>
        <sz val="12"/>
        <rFont val="Aptos Narrow"/>
        <family val="2"/>
        <scheme val="minor"/>
      </rPr>
      <t>i</t>
    </r>
    <r>
      <rPr>
        <sz val="12"/>
        <rFont val="Aptos Narrow"/>
        <family val="2"/>
        <scheme val="minor"/>
      </rPr>
      <t>(0)]</t>
    </r>
    <r>
      <rPr>
        <vertAlign val="superscript"/>
        <sz val="12"/>
        <rFont val="Aptos Narrow"/>
        <family val="2"/>
        <scheme val="minor"/>
      </rPr>
      <t>2</t>
    </r>
  </si>
  <si>
    <r>
      <t>a</t>
    </r>
    <r>
      <rPr>
        <i/>
        <vertAlign val="subscript"/>
        <sz val="12"/>
        <rFont val="Aptos Narrow"/>
        <family val="2"/>
        <scheme val="minor"/>
      </rPr>
      <t>A</t>
    </r>
    <r>
      <rPr>
        <sz val="12"/>
        <rFont val="Symbol"/>
        <family val="1"/>
        <charset val="2"/>
      </rPr>
      <t xml:space="preserve"> </t>
    </r>
  </si>
  <si>
    <r>
      <t>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Verdana"/>
        <family val="2"/>
      </rPr>
      <t>(</t>
    </r>
    <r>
      <rPr>
        <i/>
        <sz val="12"/>
        <rFont val="Aptos Narrow"/>
        <family val="2"/>
        <scheme val="minor"/>
      </rPr>
      <t>e</t>
    </r>
    <r>
      <rPr>
        <i/>
        <vertAlign val="subscript"/>
        <sz val="12"/>
        <rFont val="Verdana"/>
        <family val="2"/>
      </rPr>
      <t>A</t>
    </r>
    <r>
      <rPr>
        <sz val="12"/>
        <rFont val="Verdana"/>
        <family val="2"/>
      </rPr>
      <t>)</t>
    </r>
  </si>
  <si>
    <r>
      <t>a</t>
    </r>
    <r>
      <rPr>
        <sz val="9"/>
        <rFont val="Symbol"/>
        <charset val="2"/>
      </rPr>
      <t>A</t>
    </r>
    <r>
      <rPr>
        <sz val="12"/>
        <rFont val="Symbol"/>
        <family val="1"/>
        <charset val="2"/>
      </rPr>
      <t xml:space="preserve">  / 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Verdana"/>
        <family val="2"/>
      </rPr>
      <t>(</t>
    </r>
    <r>
      <rPr>
        <i/>
        <sz val="12"/>
        <rFont val="Aptos Narrow"/>
        <family val="2"/>
        <scheme val="minor"/>
      </rPr>
      <t>e</t>
    </r>
    <r>
      <rPr>
        <i/>
        <vertAlign val="subscript"/>
        <sz val="12"/>
        <rFont val="Verdana"/>
        <family val="2"/>
      </rPr>
      <t>A</t>
    </r>
    <r>
      <rPr>
        <sz val="12"/>
        <rFont val="Verdana"/>
        <family val="2"/>
      </rPr>
      <t>)</t>
    </r>
  </si>
  <si>
    <r>
      <t>E(R</t>
    </r>
    <r>
      <rPr>
        <i/>
        <vertAlign val="subscript"/>
        <sz val="12"/>
        <color theme="1"/>
        <rFont val="Aptos Narrow"/>
        <family val="2"/>
        <scheme val="minor"/>
      </rPr>
      <t>M</t>
    </r>
    <r>
      <rPr>
        <i/>
        <sz val="12"/>
        <color theme="1"/>
        <rFont val="Aptos Narrow"/>
        <family val="2"/>
        <scheme val="minor"/>
      </rPr>
      <t>)</t>
    </r>
    <r>
      <rPr>
        <sz val="12"/>
        <color theme="1"/>
        <rFont val="TimesNewRomanPSMT"/>
        <family val="2"/>
      </rPr>
      <t>/</t>
    </r>
    <r>
      <rPr>
        <sz val="12"/>
        <color theme="1"/>
        <rFont val="Symbol"/>
        <family val="1"/>
        <charset val="2"/>
      </rPr>
      <t>s</t>
    </r>
    <r>
      <rPr>
        <i/>
        <vertAlign val="superscript"/>
        <sz val="12"/>
        <color theme="1"/>
        <rFont val="Aptos Narrow"/>
        <family val="2"/>
        <scheme val="minor"/>
      </rPr>
      <t>2</t>
    </r>
    <r>
      <rPr>
        <sz val="12"/>
        <color theme="1"/>
        <rFont val="TimesNewRomanPSMT"/>
        <family val="2"/>
      </rPr>
      <t>(</t>
    </r>
    <r>
      <rPr>
        <i/>
        <sz val="12"/>
        <color theme="1"/>
        <rFont val="Aptos Narrow"/>
        <family val="2"/>
        <scheme val="minor"/>
      </rPr>
      <t>M</t>
    </r>
    <r>
      <rPr>
        <sz val="12"/>
        <color theme="1"/>
        <rFont val="TimesNewRomanPSMT"/>
        <family val="2"/>
      </rPr>
      <t>)</t>
    </r>
  </si>
  <si>
    <r>
      <rPr>
        <i/>
        <sz val="12"/>
        <rFont val="Times New Roman"/>
        <family val="1"/>
      </rPr>
      <t>w</t>
    </r>
    <r>
      <rPr>
        <i/>
        <vertAlign val="subscript"/>
        <sz val="12"/>
        <rFont val="Times New Roman"/>
        <family val="1"/>
      </rPr>
      <t>A</t>
    </r>
    <r>
      <rPr>
        <sz val="12"/>
        <rFont val="Times New Roman"/>
        <family val="1"/>
      </rPr>
      <t>(0)</t>
    </r>
  </si>
  <si>
    <r>
      <t>b</t>
    </r>
    <r>
      <rPr>
        <i/>
        <vertAlign val="subscript"/>
        <sz val="12"/>
        <rFont val="Aptos Narrow"/>
        <family val="2"/>
        <scheme val="minor"/>
      </rPr>
      <t>A</t>
    </r>
  </si>
  <si>
    <t>w*(Optimal Pf): Short not allowed</t>
  </si>
  <si>
    <t>Min. Standard Deviation</t>
  </si>
  <si>
    <t>E(rc): expected return of the Overall Complete pf</t>
  </si>
  <si>
    <t>𝜎 c: SD of Overall Complete pf</t>
  </si>
  <si>
    <t xml:space="preserve">Index Portfolio Model. SPDR + Active Portfolio (Large Growth) </t>
  </si>
  <si>
    <t>*Bear (1~5), Normal (1~10), Bull (1~20)</t>
  </si>
  <si>
    <t>Adjusted Alpha</t>
  </si>
  <si>
    <t xml:space="preserve">Adjusted Market risk premium = </t>
  </si>
  <si>
    <t>Bond Pf (LQD)</t>
  </si>
  <si>
    <t>LQD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</si>
  <si>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</si>
  <si>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</si>
  <si>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</si>
  <si>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</si>
  <si>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</si>
  <si>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</si>
  <si>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</si>
  <si>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</si>
  <si>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</si>
  <si>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</si>
  <si>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</si>
  <si>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</si>
  <si>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</si>
  <si>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</si>
  <si>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</si>
  <si>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</si>
  <si>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Coefficients</t>
  </si>
  <si>
    <t>t Stat</t>
  </si>
  <si>
    <t>P-value</t>
  </si>
  <si>
    <t>X Variable 1</t>
  </si>
  <si>
    <t>Alpha in CAPM (10 yrs market premium)</t>
  </si>
  <si>
    <r>
      <t xml:space="preserve">Total Equity Risk Premium </t>
    </r>
    <r>
      <rPr>
        <b/>
        <i/>
        <sz val="12"/>
        <color theme="1"/>
        <rFont val="Times New Roman"/>
        <family val="1"/>
      </rPr>
      <t>E(R)</t>
    </r>
  </si>
  <si>
    <t>Adjusted Alpha (a x avg. Market PE / Stock PE)</t>
  </si>
  <si>
    <t>Adjusted Alpha in CAPM  (a x avg. Market PE / Stock PE)</t>
  </si>
  <si>
    <t>E(rc) on CAL</t>
  </si>
  <si>
    <t>𝜎 c</t>
  </si>
  <si>
    <t>E(rc) on Indiff.</t>
  </si>
  <si>
    <t>W of risky pf: y</t>
  </si>
  <si>
    <t>Utiliity</t>
  </si>
  <si>
    <t>Max. U</t>
  </si>
  <si>
    <t>Slope: Capital Allocation Line ( Sharpe)</t>
  </si>
  <si>
    <t xml:space="preserve">A. Minimum Variance Portfolio of Risky Assets </t>
  </si>
  <si>
    <t>Benchmark
 Exces 
return</t>
  </si>
  <si>
    <t>Adjusted Price of Equity Pf
(Back data)</t>
  </si>
  <si>
    <t>Active Pf Exces 
return 
(Back data)</t>
  </si>
  <si>
    <t>Efficient Frontier meets CAL with Optimal Risky Pf</t>
  </si>
  <si>
    <t>1y Target return `</t>
  </si>
  <si>
    <t>1y Target Est. (Consensus)</t>
  </si>
  <si>
    <t>Small / Medium / Large</t>
  </si>
  <si>
    <t>Value / Blend / Growth</t>
  </si>
  <si>
    <t>Growth</t>
  </si>
  <si>
    <t>Large</t>
  </si>
  <si>
    <t>Large Growth</t>
  </si>
  <si>
    <t>Stock Info.</t>
  </si>
  <si>
    <t>Pf Style.</t>
  </si>
  <si>
    <t>Sector (industry)</t>
  </si>
  <si>
    <t>Themes</t>
  </si>
  <si>
    <t>Current Stock Price (as of April 1)</t>
  </si>
  <si>
    <t>PM</t>
  </si>
  <si>
    <t>PG</t>
  </si>
  <si>
    <t>Procter &amp; Gamble (PG)</t>
  </si>
  <si>
    <t>Philip Morris (PM)</t>
  </si>
  <si>
    <t>Consumer</t>
  </si>
  <si>
    <t>Tabacco</t>
  </si>
  <si>
    <t>HD</t>
  </si>
  <si>
    <t>The Home Depot (HD)</t>
  </si>
  <si>
    <t>Global Consumer Discretionary (RXI ETF)</t>
  </si>
  <si>
    <t>RXI</t>
  </si>
  <si>
    <t>Consumer Disc</t>
  </si>
  <si>
    <t>Home Retail</t>
  </si>
  <si>
    <t>Ford (F)</t>
  </si>
  <si>
    <t>Automotive</t>
  </si>
  <si>
    <t>Internet Retail</t>
  </si>
  <si>
    <t>LULU</t>
  </si>
  <si>
    <t>LULULEMON ATHLETICA (LULU)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</si>
</sst>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000"/>
    <numFmt numFmtId="166" formatCode="_(* #,##0.0000_);_(* \(#,##0.0000\);_(* &quot;-&quot;??_);_(@_)"/>
    <numFmt numFmtId="167" formatCode="_(* #,##0.000000_);_(* \(#,##0.000000\);_(* &quot;-&quot;??_);_(@_)"/>
    <numFmt numFmtId="168" formatCode="_(* #,##0.00000_);_(* \(#,##0.00000\);_(* &quot;-&quot;??_);_(@_)"/>
    <numFmt numFmtId="169" formatCode="0.0"/>
    <numFmt numFmtId="170" formatCode="0.00000"/>
  </numFmts>
  <fonts count="56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Times New Roman"/>
      <family val="1"/>
    </font>
    <font>
      <i/>
      <sz val="12"/>
      <color rgb="FFC00000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i/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i/>
      <sz val="12"/>
      <color theme="1"/>
      <name val="Times New Roman"/>
      <family val="1"/>
    </font>
    <font>
      <sz val="12"/>
      <name val="Symbol"/>
      <family val="1"/>
      <charset val="2"/>
    </font>
    <font>
      <i/>
      <sz val="12"/>
      <name val="Aptos Narrow"/>
      <family val="2"/>
      <scheme val="minor"/>
    </font>
    <font>
      <sz val="12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rgb="FFC00000"/>
      <name val="Times New Roman"/>
      <family val="1"/>
    </font>
    <font>
      <b/>
      <sz val="26"/>
      <color theme="1"/>
      <name val="Times New Roman"/>
      <family val="1"/>
    </font>
    <font>
      <sz val="12"/>
      <color theme="0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24"/>
      <color theme="3"/>
      <name val="Times New Roman"/>
      <family val="1"/>
    </font>
    <font>
      <sz val="8"/>
      <name val="Cambria"/>
      <family val="1"/>
    </font>
    <font>
      <sz val="10"/>
      <name val="Arial"/>
      <family val="2"/>
    </font>
    <font>
      <b/>
      <sz val="24"/>
      <color theme="4" tint="-0.49998474074526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theme="0"/>
      <name val="Times New Roman"/>
      <family val="1"/>
    </font>
    <font>
      <sz val="8"/>
      <name val="Times New Roman"/>
      <family val="1"/>
    </font>
    <font>
      <b/>
      <sz val="10"/>
      <color rgb="FFC00000"/>
      <name val="Times New Roman"/>
      <family val="1"/>
    </font>
    <font>
      <b/>
      <sz val="12"/>
      <color theme="5" tint="-0.249977111117893"/>
      <name val="Times New Roman"/>
      <family val="1"/>
    </font>
    <font>
      <vertAlign val="superscript"/>
      <sz val="12"/>
      <name val="Verdana"/>
      <family val="2"/>
    </font>
    <font>
      <sz val="12"/>
      <name val="Verdana"/>
      <family val="2"/>
    </font>
    <font>
      <i/>
      <vertAlign val="subscript"/>
      <sz val="12"/>
      <name val="Aptos Narrow"/>
      <family val="2"/>
      <scheme val="minor"/>
    </font>
    <font>
      <vertAlign val="superscript"/>
      <sz val="12"/>
      <name val="Symbol"/>
      <family val="1"/>
      <charset val="2"/>
    </font>
    <font>
      <vertAlign val="superscript"/>
      <sz val="12"/>
      <name val="Aptos Narrow"/>
      <family val="2"/>
      <scheme val="minor"/>
    </font>
    <font>
      <i/>
      <vertAlign val="subscript"/>
      <sz val="12"/>
      <name val="Verdana"/>
      <family val="2"/>
    </font>
    <font>
      <sz val="9"/>
      <name val="Symbol"/>
      <charset val="2"/>
    </font>
    <font>
      <i/>
      <vertAlign val="subscript"/>
      <sz val="12"/>
      <color theme="1"/>
      <name val="Aptos Narrow"/>
      <family val="2"/>
      <scheme val="minor"/>
    </font>
    <font>
      <sz val="12"/>
      <color theme="1"/>
      <name val="Symbol"/>
      <family val="1"/>
      <charset val="2"/>
    </font>
    <font>
      <i/>
      <vertAlign val="superscript"/>
      <sz val="12"/>
      <color theme="1"/>
      <name val="Aptos Narrow"/>
      <family val="2"/>
      <scheme val="minor"/>
    </font>
    <font>
      <i/>
      <sz val="12"/>
      <name val="Times New Roman"/>
      <family val="1"/>
    </font>
    <font>
      <i/>
      <vertAlign val="subscript"/>
      <sz val="12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NewRomanPSMT"/>
      <family val="2"/>
    </font>
    <font>
      <b/>
      <sz val="20"/>
      <color theme="4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</cellStyleXfs>
  <cellXfs count="249">
    <xf numFmtId="0" fontId="0" fillId="0" borderId="0" xfId="0"/>
    <xf numFmtId="43" fontId="4" fillId="0" borderId="0" xfId="3" applyFont="1" applyBorder="1" applyAlignment="1">
      <alignment vertical="center"/>
    </xf>
    <xf numFmtId="43" fontId="5" fillId="0" borderId="0" xfId="3" applyFont="1" applyBorder="1" applyAlignment="1">
      <alignment vertical="center"/>
    </xf>
    <xf numFmtId="43" fontId="4" fillId="0" borderId="0" xfId="3" applyFont="1" applyAlignment="1">
      <alignment vertical="center"/>
    </xf>
    <xf numFmtId="0" fontId="7" fillId="0" borderId="0" xfId="4" applyFont="1" applyAlignment="1">
      <alignment vertical="center"/>
    </xf>
    <xf numFmtId="0" fontId="8" fillId="0" borderId="1" xfId="4" applyFont="1" applyBorder="1" applyAlignment="1">
      <alignment vertical="center"/>
    </xf>
    <xf numFmtId="0" fontId="7" fillId="0" borderId="1" xfId="4" applyFont="1" applyBorder="1" applyAlignment="1">
      <alignment vertical="center"/>
    </xf>
    <xf numFmtId="0" fontId="8" fillId="0" borderId="3" xfId="4" applyFont="1" applyBorder="1" applyAlignment="1">
      <alignment horizontal="left" vertical="center" wrapText="1"/>
    </xf>
    <xf numFmtId="164" fontId="7" fillId="0" borderId="0" xfId="4" applyNumberFormat="1" applyFont="1" applyAlignment="1">
      <alignment horizontal="right" vertical="center"/>
    </xf>
    <xf numFmtId="164" fontId="7" fillId="2" borderId="0" xfId="4" applyNumberFormat="1" applyFont="1" applyFill="1" applyAlignment="1">
      <alignment horizontal="right" vertical="center"/>
    </xf>
    <xf numFmtId="0" fontId="8" fillId="0" borderId="0" xfId="4" applyFont="1" applyAlignment="1">
      <alignment horizontal="left" vertical="center" wrapText="1"/>
    </xf>
    <xf numFmtId="164" fontId="7" fillId="0" borderId="1" xfId="4" applyNumberFormat="1" applyFont="1" applyBorder="1" applyAlignment="1">
      <alignment horizontal="right" vertical="center"/>
    </xf>
    <xf numFmtId="0" fontId="8" fillId="0" borderId="3" xfId="5" applyFont="1" applyBorder="1" applyAlignment="1">
      <alignment horizontal="left" vertical="center"/>
    </xf>
    <xf numFmtId="0" fontId="10" fillId="0" borderId="0" xfId="4" applyFont="1" applyAlignment="1">
      <alignment horizontal="center" vertical="center"/>
    </xf>
    <xf numFmtId="0" fontId="8" fillId="0" borderId="3" xfId="4" applyFont="1" applyBorder="1" applyAlignment="1">
      <alignment vertical="center"/>
    </xf>
    <xf numFmtId="0" fontId="11" fillId="0" borderId="0" xfId="4" applyFont="1" applyAlignment="1">
      <alignment vertical="center"/>
    </xf>
    <xf numFmtId="0" fontId="8" fillId="0" borderId="4" xfId="4" applyFont="1" applyBorder="1" applyAlignment="1">
      <alignment vertical="center"/>
    </xf>
    <xf numFmtId="0" fontId="8" fillId="0" borderId="0" xfId="4" applyFont="1" applyAlignment="1">
      <alignment horizontal="left" vertical="center"/>
    </xf>
    <xf numFmtId="165" fontId="7" fillId="0" borderId="0" xfId="4" applyNumberFormat="1" applyFont="1" applyAlignment="1">
      <alignment vertical="center"/>
    </xf>
    <xf numFmtId="0" fontId="13" fillId="0" borderId="3" xfId="5" applyFont="1" applyBorder="1" applyAlignment="1">
      <alignment vertical="center"/>
    </xf>
    <xf numFmtId="0" fontId="7" fillId="0" borderId="9" xfId="4" applyFont="1" applyBorder="1" applyAlignment="1">
      <alignment vertical="center"/>
    </xf>
    <xf numFmtId="0" fontId="7" fillId="0" borderId="3" xfId="4" applyFont="1" applyBorder="1" applyAlignment="1">
      <alignment horizontal="right" vertical="center"/>
    </xf>
    <xf numFmtId="0" fontId="14" fillId="0" borderId="3" xfId="5" applyFont="1" applyBorder="1" applyAlignment="1">
      <alignment vertical="center"/>
    </xf>
    <xf numFmtId="0" fontId="15" fillId="0" borderId="4" xfId="5" applyFont="1" applyBorder="1" applyAlignment="1">
      <alignment vertical="center"/>
    </xf>
    <xf numFmtId="0" fontId="7" fillId="0" borderId="10" xfId="4" applyFont="1" applyBorder="1" applyAlignment="1">
      <alignment vertical="center"/>
    </xf>
    <xf numFmtId="164" fontId="7" fillId="0" borderId="4" xfId="4" applyNumberFormat="1" applyFont="1" applyBorder="1" applyAlignment="1">
      <alignment vertical="center"/>
    </xf>
    <xf numFmtId="0" fontId="16" fillId="0" borderId="3" xfId="5" applyFont="1" applyBorder="1" applyAlignment="1">
      <alignment vertical="center"/>
    </xf>
    <xf numFmtId="0" fontId="4" fillId="0" borderId="3" xfId="5" applyFont="1" applyBorder="1" applyAlignment="1">
      <alignment vertical="center"/>
    </xf>
    <xf numFmtId="0" fontId="8" fillId="0" borderId="0" xfId="4" applyFont="1" applyAlignment="1">
      <alignment vertical="center"/>
    </xf>
    <xf numFmtId="164" fontId="7" fillId="0" borderId="0" xfId="4" applyNumberFormat="1" applyFont="1" applyAlignment="1">
      <alignment vertical="center"/>
    </xf>
    <xf numFmtId="0" fontId="7" fillId="0" borderId="1" xfId="4" applyFont="1" applyBorder="1" applyAlignment="1">
      <alignment horizontal="right" vertical="center"/>
    </xf>
    <xf numFmtId="0" fontId="17" fillId="0" borderId="1" xfId="5" applyFont="1" applyBorder="1" applyAlignment="1">
      <alignment vertical="center"/>
    </xf>
    <xf numFmtId="0" fontId="7" fillId="0" borderId="0" xfId="4" applyFont="1" applyAlignment="1">
      <alignment horizontal="right" vertical="center"/>
    </xf>
    <xf numFmtId="164" fontId="7" fillId="0" borderId="0" xfId="4" applyNumberFormat="1" applyFont="1" applyAlignment="1">
      <alignment horizontal="left" vertical="center"/>
    </xf>
    <xf numFmtId="0" fontId="18" fillId="0" borderId="0" xfId="6" applyFont="1" applyAlignment="1">
      <alignment vertical="center"/>
    </xf>
    <xf numFmtId="0" fontId="7" fillId="0" borderId="0" xfId="6" applyFont="1" applyAlignment="1">
      <alignment vertical="center"/>
    </xf>
    <xf numFmtId="0" fontId="19" fillId="0" borderId="0" xfId="6" applyFont="1" applyAlignment="1">
      <alignment vertical="center"/>
    </xf>
    <xf numFmtId="0" fontId="20" fillId="0" borderId="0" xfId="6" applyFont="1" applyAlignment="1">
      <alignment vertical="center"/>
    </xf>
    <xf numFmtId="0" fontId="6" fillId="0" borderId="0" xfId="5" applyFont="1" applyAlignment="1">
      <alignment vertical="center"/>
    </xf>
    <xf numFmtId="0" fontId="21" fillId="0" borderId="0" xfId="5" applyFont="1" applyAlignment="1">
      <alignment vertical="center"/>
    </xf>
    <xf numFmtId="0" fontId="22" fillId="0" borderId="0" xfId="5" applyFont="1" applyAlignment="1">
      <alignment horizontal="right" vertical="center"/>
    </xf>
    <xf numFmtId="0" fontId="7" fillId="0" borderId="1" xfId="6" applyFont="1" applyBorder="1" applyAlignment="1">
      <alignment vertical="center"/>
    </xf>
    <xf numFmtId="0" fontId="19" fillId="0" borderId="1" xfId="6" applyFont="1" applyBorder="1" applyAlignment="1">
      <alignment vertical="center"/>
    </xf>
    <xf numFmtId="0" fontId="23" fillId="3" borderId="1" xfId="6" applyFont="1" applyFill="1" applyBorder="1" applyAlignment="1">
      <alignment vertical="center"/>
    </xf>
    <xf numFmtId="0" fontId="9" fillId="3" borderId="1" xfId="6" applyFont="1" applyFill="1" applyBorder="1" applyAlignment="1">
      <alignment vertical="center"/>
    </xf>
    <xf numFmtId="0" fontId="9" fillId="3" borderId="4" xfId="6" applyFont="1" applyFill="1" applyBorder="1" applyAlignment="1">
      <alignment vertical="center"/>
    </xf>
    <xf numFmtId="0" fontId="9" fillId="3" borderId="1" xfId="6" applyFont="1" applyFill="1" applyBorder="1" applyAlignment="1">
      <alignment horizontal="right" vertical="center"/>
    </xf>
    <xf numFmtId="0" fontId="9" fillId="3" borderId="1" xfId="6" applyFont="1" applyFill="1" applyBorder="1" applyAlignment="1">
      <alignment horizontal="right" vertical="center" wrapText="1"/>
    </xf>
    <xf numFmtId="0" fontId="19" fillId="3" borderId="0" xfId="6" applyFont="1" applyFill="1" applyAlignment="1">
      <alignment vertical="center"/>
    </xf>
    <xf numFmtId="0" fontId="23" fillId="3" borderId="4" xfId="6" applyFont="1" applyFill="1" applyBorder="1" applyAlignment="1">
      <alignment horizontal="right" vertical="center"/>
    </xf>
    <xf numFmtId="0" fontId="8" fillId="0" borderId="0" xfId="6" applyFont="1" applyAlignment="1">
      <alignment vertical="center"/>
    </xf>
    <xf numFmtId="0" fontId="8" fillId="0" borderId="11" xfId="6" applyFont="1" applyBorder="1" applyAlignment="1">
      <alignment vertical="center"/>
    </xf>
    <xf numFmtId="164" fontId="7" fillId="2" borderId="0" xfId="3" applyNumberFormat="1" applyFont="1" applyFill="1" applyBorder="1" applyAlignment="1">
      <alignment vertical="center"/>
    </xf>
    <xf numFmtId="166" fontId="7" fillId="2" borderId="0" xfId="3" applyNumberFormat="1" applyFont="1" applyFill="1" applyAlignment="1">
      <alignment vertical="center"/>
    </xf>
    <xf numFmtId="166" fontId="8" fillId="0" borderId="0" xfId="3" applyNumberFormat="1" applyFont="1" applyFill="1" applyBorder="1" applyAlignment="1">
      <alignment horizontal="right" vertical="center" wrapText="1"/>
    </xf>
    <xf numFmtId="0" fontId="7" fillId="0" borderId="3" xfId="6" applyFont="1" applyBorder="1" applyAlignment="1">
      <alignment vertical="center"/>
    </xf>
    <xf numFmtId="166" fontId="7" fillId="2" borderId="0" xfId="3" applyNumberFormat="1" applyFont="1" applyFill="1" applyBorder="1" applyAlignment="1">
      <alignment vertical="center"/>
    </xf>
    <xf numFmtId="166" fontId="7" fillId="0" borderId="0" xfId="3" applyNumberFormat="1" applyFont="1" applyFill="1" applyBorder="1" applyAlignment="1">
      <alignment vertical="center"/>
    </xf>
    <xf numFmtId="0" fontId="8" fillId="0" borderId="1" xfId="6" applyFont="1" applyBorder="1" applyAlignment="1">
      <alignment vertical="center"/>
    </xf>
    <xf numFmtId="0" fontId="7" fillId="0" borderId="4" xfId="6" applyFont="1" applyBorder="1" applyAlignment="1">
      <alignment vertical="center"/>
    </xf>
    <xf numFmtId="164" fontId="7" fillId="0" borderId="1" xfId="3" applyNumberFormat="1" applyFont="1" applyBorder="1" applyAlignment="1">
      <alignment vertical="center"/>
    </xf>
    <xf numFmtId="164" fontId="7" fillId="2" borderId="1" xfId="3" applyNumberFormat="1" applyFont="1" applyFill="1" applyBorder="1" applyAlignment="1">
      <alignment vertical="center"/>
    </xf>
    <xf numFmtId="43" fontId="7" fillId="0" borderId="0" xfId="3" applyFont="1" applyAlignment="1">
      <alignment vertical="center"/>
    </xf>
    <xf numFmtId="166" fontId="7" fillId="0" borderId="0" xfId="3" applyNumberFormat="1" applyFont="1" applyAlignment="1">
      <alignment vertical="center"/>
    </xf>
    <xf numFmtId="164" fontId="7" fillId="0" borderId="0" xfId="3" applyNumberFormat="1" applyFont="1" applyBorder="1" applyAlignment="1">
      <alignment vertical="center"/>
    </xf>
    <xf numFmtId="164" fontId="7" fillId="2" borderId="0" xfId="3" applyNumberFormat="1" applyFont="1" applyFill="1" applyBorder="1" applyAlignment="1">
      <alignment horizontal="right" vertical="center"/>
    </xf>
    <xf numFmtId="166" fontId="7" fillId="2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right" vertical="center"/>
    </xf>
    <xf numFmtId="43" fontId="8" fillId="0" borderId="0" xfId="3" applyFont="1" applyFill="1" applyBorder="1" applyAlignment="1">
      <alignment horizontal="right" vertical="center"/>
    </xf>
    <xf numFmtId="167" fontId="7" fillId="0" borderId="0" xfId="3" applyNumberFormat="1" applyFont="1" applyFill="1" applyBorder="1" applyAlignment="1">
      <alignment vertical="center"/>
    </xf>
    <xf numFmtId="0" fontId="24" fillId="0" borderId="1" xfId="6" applyFont="1" applyBorder="1" applyAlignment="1">
      <alignment vertical="center"/>
    </xf>
    <xf numFmtId="0" fontId="24" fillId="0" borderId="4" xfId="6" applyFont="1" applyBorder="1" applyAlignment="1">
      <alignment vertical="center"/>
    </xf>
    <xf numFmtId="0" fontId="7" fillId="0" borderId="12" xfId="6" applyFont="1" applyBorder="1" applyAlignment="1">
      <alignment vertical="center"/>
    </xf>
    <xf numFmtId="0" fontId="24" fillId="0" borderId="0" xfId="6" applyFont="1" applyAlignment="1">
      <alignment vertical="center"/>
    </xf>
    <xf numFmtId="168" fontId="7" fillId="0" borderId="0" xfId="6" applyNumberFormat="1" applyFont="1" applyAlignment="1">
      <alignment vertical="center"/>
    </xf>
    <xf numFmtId="0" fontId="23" fillId="3" borderId="3" xfId="6" applyFont="1" applyFill="1" applyBorder="1" applyAlignment="1">
      <alignment horizontal="right" vertical="center"/>
    </xf>
    <xf numFmtId="0" fontId="25" fillId="0" borderId="4" xfId="6" applyFont="1" applyBorder="1" applyAlignment="1">
      <alignment horizontal="right" vertical="center" wrapText="1"/>
    </xf>
    <xf numFmtId="0" fontId="26" fillId="0" borderId="6" xfId="6" applyFont="1" applyBorder="1" applyAlignment="1">
      <alignment horizontal="right" vertical="center" wrapText="1"/>
    </xf>
    <xf numFmtId="0" fontId="26" fillId="0" borderId="1" xfId="6" applyFont="1" applyBorder="1" applyAlignment="1">
      <alignment horizontal="right" vertical="center" wrapText="1"/>
    </xf>
    <xf numFmtId="0" fontId="26" fillId="0" borderId="4" xfId="6" applyFont="1" applyBorder="1" applyAlignment="1">
      <alignment horizontal="right" vertical="center" wrapText="1"/>
    </xf>
    <xf numFmtId="0" fontId="7" fillId="0" borderId="0" xfId="6" applyFont="1" applyAlignment="1">
      <alignment vertical="center" wrapText="1"/>
    </xf>
    <xf numFmtId="2" fontId="7" fillId="0" borderId="13" xfId="5" applyNumberFormat="1" applyFont="1" applyBorder="1" applyAlignment="1">
      <alignment vertical="center"/>
    </xf>
    <xf numFmtId="0" fontId="27" fillId="0" borderId="0" xfId="6" applyFont="1" applyAlignment="1">
      <alignment vertical="center"/>
    </xf>
    <xf numFmtId="0" fontId="27" fillId="0" borderId="3" xfId="6" applyFont="1" applyBorder="1" applyAlignment="1">
      <alignment vertical="center"/>
    </xf>
    <xf numFmtId="10" fontId="27" fillId="2" borderId="0" xfId="8" applyNumberFormat="1" applyFont="1" applyFill="1" applyBorder="1" applyAlignment="1">
      <alignment vertical="center"/>
    </xf>
    <xf numFmtId="10" fontId="27" fillId="2" borderId="3" xfId="8" applyNumberFormat="1" applyFont="1" applyFill="1" applyBorder="1" applyAlignment="1">
      <alignment vertical="center"/>
    </xf>
    <xf numFmtId="0" fontId="7" fillId="0" borderId="0" xfId="5" applyFont="1" applyAlignment="1">
      <alignment vertical="center"/>
    </xf>
    <xf numFmtId="164" fontId="7" fillId="2" borderId="0" xfId="5" applyNumberFormat="1" applyFont="1" applyFill="1" applyAlignment="1">
      <alignment horizontal="right" vertical="center"/>
    </xf>
    <xf numFmtId="166" fontId="8" fillId="2" borderId="0" xfId="5" applyNumberFormat="1" applyFont="1" applyFill="1" applyAlignment="1">
      <alignment horizontal="right" vertical="center"/>
    </xf>
    <xf numFmtId="166" fontId="7" fillId="2" borderId="0" xfId="5" applyNumberFormat="1" applyFont="1" applyFill="1" applyAlignment="1">
      <alignment horizontal="right" vertical="center"/>
    </xf>
    <xf numFmtId="164" fontId="8" fillId="2" borderId="0" xfId="4" applyNumberFormat="1" applyFont="1" applyFill="1" applyAlignment="1">
      <alignment vertical="center"/>
    </xf>
    <xf numFmtId="164" fontId="7" fillId="2" borderId="0" xfId="4" applyNumberFormat="1" applyFont="1" applyFill="1" applyAlignment="1">
      <alignment vertical="center"/>
    </xf>
    <xf numFmtId="164" fontId="7" fillId="2" borderId="1" xfId="4" applyNumberFormat="1" applyFont="1" applyFill="1" applyBorder="1" applyAlignment="1">
      <alignment vertical="center"/>
    </xf>
    <xf numFmtId="164" fontId="7" fillId="2" borderId="3" xfId="4" applyNumberFormat="1" applyFont="1" applyFill="1" applyBorder="1" applyAlignment="1">
      <alignment vertical="center"/>
    </xf>
    <xf numFmtId="164" fontId="8" fillId="2" borderId="10" xfId="4" applyNumberFormat="1" applyFont="1" applyFill="1" applyBorder="1" applyAlignment="1">
      <alignment vertical="center"/>
    </xf>
    <xf numFmtId="164" fontId="17" fillId="2" borderId="4" xfId="4" applyNumberFormat="1" applyFont="1" applyFill="1" applyBorder="1" applyAlignment="1">
      <alignment vertical="center"/>
    </xf>
    <xf numFmtId="164" fontId="8" fillId="2" borderId="9" xfId="4" applyNumberFormat="1" applyFont="1" applyFill="1" applyBorder="1" applyAlignment="1">
      <alignment horizontal="right" vertical="center"/>
    </xf>
    <xf numFmtId="164" fontId="8" fillId="2" borderId="9" xfId="4" applyNumberFormat="1" applyFont="1" applyFill="1" applyBorder="1" applyAlignment="1">
      <alignment vertical="center"/>
    </xf>
    <xf numFmtId="164" fontId="8" fillId="2" borderId="3" xfId="4" applyNumberFormat="1" applyFont="1" applyFill="1" applyBorder="1" applyAlignment="1">
      <alignment vertical="center"/>
    </xf>
    <xf numFmtId="164" fontId="8" fillId="2" borderId="1" xfId="4" applyNumberFormat="1" applyFont="1" applyFill="1" applyBorder="1" applyAlignment="1">
      <alignment vertical="center"/>
    </xf>
    <xf numFmtId="0" fontId="28" fillId="0" borderId="0" xfId="2" applyFont="1" applyAlignment="1">
      <alignment vertical="center"/>
    </xf>
    <xf numFmtId="164" fontId="7" fillId="2" borderId="0" xfId="9" applyNumberFormat="1" applyFont="1" applyFill="1" applyBorder="1" applyAlignment="1">
      <alignment vertical="center"/>
    </xf>
    <xf numFmtId="164" fontId="7" fillId="2" borderId="1" xfId="9" applyNumberFormat="1" applyFont="1" applyFill="1" applyBorder="1" applyAlignment="1">
      <alignment vertical="center"/>
    </xf>
    <xf numFmtId="0" fontId="9" fillId="0" borderId="0" xfId="6" applyFont="1" applyAlignment="1">
      <alignment horizontal="right" vertical="center" wrapText="1"/>
    </xf>
    <xf numFmtId="164" fontId="7" fillId="0" borderId="0" xfId="5" applyNumberFormat="1" applyFont="1" applyAlignment="1">
      <alignment horizontal="right" vertical="center"/>
    </xf>
    <xf numFmtId="0" fontId="9" fillId="0" borderId="0" xfId="5" applyFont="1" applyAlignment="1">
      <alignment horizontal="right" vertical="center"/>
    </xf>
    <xf numFmtId="166" fontId="7" fillId="0" borderId="0" xfId="5" applyNumberFormat="1" applyFont="1" applyAlignment="1">
      <alignment horizontal="right" vertical="center"/>
    </xf>
    <xf numFmtId="0" fontId="9" fillId="0" borderId="0" xfId="4" applyFont="1" applyAlignment="1">
      <alignment horizontal="right" vertical="center"/>
    </xf>
    <xf numFmtId="0" fontId="31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32" fillId="0" borderId="0" xfId="10" applyFont="1" applyAlignment="1">
      <alignment vertical="center"/>
    </xf>
    <xf numFmtId="0" fontId="33" fillId="0" borderId="0" xfId="10" applyFont="1" applyAlignment="1">
      <alignment vertical="center"/>
    </xf>
    <xf numFmtId="0" fontId="34" fillId="0" borderId="0" xfId="10" applyFont="1" applyAlignment="1">
      <alignment horizontal="right" vertical="center"/>
    </xf>
    <xf numFmtId="0" fontId="4" fillId="0" borderId="0" xfId="10" applyFont="1" applyAlignment="1">
      <alignment horizontal="right" vertical="center"/>
    </xf>
    <xf numFmtId="0" fontId="9" fillId="3" borderId="1" xfId="10" applyFont="1" applyFill="1" applyBorder="1" applyAlignment="1">
      <alignment horizontal="right" vertical="center"/>
    </xf>
    <xf numFmtId="164" fontId="4" fillId="0" borderId="0" xfId="10" applyNumberFormat="1" applyFont="1" applyAlignment="1">
      <alignment vertical="center"/>
    </xf>
    <xf numFmtId="0" fontId="34" fillId="0" borderId="1" xfId="10" applyFont="1" applyBorder="1" applyAlignment="1">
      <alignment vertical="center"/>
    </xf>
    <xf numFmtId="0" fontId="4" fillId="0" borderId="1" xfId="10" applyFont="1" applyBorder="1" applyAlignment="1">
      <alignment vertical="center"/>
    </xf>
    <xf numFmtId="0" fontId="4" fillId="0" borderId="1" xfId="10" applyFont="1" applyBorder="1" applyAlignment="1">
      <alignment horizontal="right" vertical="center"/>
    </xf>
    <xf numFmtId="0" fontId="9" fillId="3" borderId="0" xfId="10" applyFont="1" applyFill="1" applyAlignment="1">
      <alignment horizontal="right" vertical="center"/>
    </xf>
    <xf numFmtId="0" fontId="9" fillId="3" borderId="4" xfId="10" applyFont="1" applyFill="1" applyBorder="1" applyAlignment="1">
      <alignment horizontal="right" vertical="center"/>
    </xf>
    <xf numFmtId="169" fontId="4" fillId="0" borderId="0" xfId="10" applyNumberFormat="1" applyFont="1" applyAlignment="1">
      <alignment horizontal="right" vertical="center"/>
    </xf>
    <xf numFmtId="0" fontId="9" fillId="3" borderId="0" xfId="10" applyFont="1" applyFill="1" applyAlignment="1">
      <alignment vertical="center"/>
    </xf>
    <xf numFmtId="0" fontId="19" fillId="3" borderId="3" xfId="10" applyFont="1" applyFill="1" applyBorder="1" applyAlignment="1">
      <alignment vertical="center"/>
    </xf>
    <xf numFmtId="0" fontId="35" fillId="0" borderId="0" xfId="10" applyFont="1" applyAlignment="1">
      <alignment vertical="center"/>
    </xf>
    <xf numFmtId="0" fontId="4" fillId="0" borderId="0" xfId="10" applyFont="1" applyAlignment="1">
      <alignment horizontal="left" vertical="center"/>
    </xf>
    <xf numFmtId="170" fontId="4" fillId="0" borderId="0" xfId="10" applyNumberFormat="1" applyFont="1" applyAlignment="1">
      <alignment vertical="center"/>
    </xf>
    <xf numFmtId="0" fontId="36" fillId="0" borderId="0" xfId="10" applyFont="1" applyAlignment="1">
      <alignment vertical="center"/>
    </xf>
    <xf numFmtId="0" fontId="9" fillId="3" borderId="1" xfId="10" applyFont="1" applyFill="1" applyBorder="1" applyAlignment="1">
      <alignment vertical="center"/>
    </xf>
    <xf numFmtId="0" fontId="19" fillId="3" borderId="4" xfId="10" applyFont="1" applyFill="1" applyBorder="1" applyAlignment="1">
      <alignment vertical="center"/>
    </xf>
    <xf numFmtId="0" fontId="37" fillId="3" borderId="1" xfId="10" applyFont="1" applyFill="1" applyBorder="1" applyAlignment="1">
      <alignment horizontal="right" vertical="center"/>
    </xf>
    <xf numFmtId="2" fontId="17" fillId="0" borderId="0" xfId="10" applyNumberFormat="1" applyFont="1" applyAlignment="1">
      <alignment vertical="center"/>
    </xf>
    <xf numFmtId="2" fontId="4" fillId="0" borderId="0" xfId="10" applyNumberFormat="1" applyFont="1" applyAlignment="1">
      <alignment horizontal="right" vertical="center"/>
    </xf>
    <xf numFmtId="170" fontId="17" fillId="0" borderId="0" xfId="10" applyNumberFormat="1" applyFont="1" applyAlignment="1">
      <alignment vertical="center"/>
    </xf>
    <xf numFmtId="10" fontId="4" fillId="4" borderId="0" xfId="7" applyNumberFormat="1" applyFont="1" applyFill="1" applyAlignment="1">
      <alignment vertical="center"/>
    </xf>
    <xf numFmtId="0" fontId="4" fillId="0" borderId="1" xfId="10" applyFont="1" applyBorder="1" applyAlignment="1">
      <alignment horizontal="left" vertical="center"/>
    </xf>
    <xf numFmtId="10" fontId="4" fillId="4" borderId="1" xfId="7" applyNumberFormat="1" applyFont="1" applyFill="1" applyBorder="1" applyAlignment="1">
      <alignment vertical="center"/>
    </xf>
    <xf numFmtId="10" fontId="4" fillId="2" borderId="0" xfId="7" applyNumberFormat="1" applyFont="1" applyFill="1" applyAlignment="1">
      <alignment vertical="center"/>
    </xf>
    <xf numFmtId="10" fontId="4" fillId="2" borderId="1" xfId="7" applyNumberFormat="1" applyFont="1" applyFill="1" applyBorder="1" applyAlignment="1">
      <alignment vertical="center"/>
    </xf>
    <xf numFmtId="0" fontId="38" fillId="0" borderId="0" xfId="10" applyFont="1" applyAlignment="1">
      <alignment horizontal="right" vertical="center"/>
    </xf>
    <xf numFmtId="10" fontId="4" fillId="2" borderId="0" xfId="10" applyNumberFormat="1" applyFont="1" applyFill="1" applyAlignment="1">
      <alignment vertical="center"/>
    </xf>
    <xf numFmtId="164" fontId="4" fillId="2" borderId="0" xfId="10" applyNumberFormat="1" applyFont="1" applyFill="1" applyAlignment="1">
      <alignment vertical="center"/>
    </xf>
    <xf numFmtId="0" fontId="4" fillId="2" borderId="0" xfId="10" applyFont="1" applyFill="1" applyAlignment="1">
      <alignment vertical="center"/>
    </xf>
    <xf numFmtId="2" fontId="17" fillId="2" borderId="0" xfId="10" applyNumberFormat="1" applyFont="1" applyFill="1" applyAlignment="1">
      <alignment horizontal="right" vertical="center"/>
    </xf>
    <xf numFmtId="2" fontId="4" fillId="2" borderId="3" xfId="10" applyNumberFormat="1" applyFont="1" applyFill="1" applyBorder="1" applyAlignment="1">
      <alignment horizontal="right" vertical="center"/>
    </xf>
    <xf numFmtId="2" fontId="17" fillId="2" borderId="0" xfId="10" applyNumberFormat="1" applyFont="1" applyFill="1" applyAlignment="1">
      <alignment vertical="center"/>
    </xf>
    <xf numFmtId="2" fontId="4" fillId="2" borderId="3" xfId="10" applyNumberFormat="1" applyFont="1" applyFill="1" applyBorder="1" applyAlignment="1">
      <alignment vertical="center"/>
    </xf>
    <xf numFmtId="10" fontId="4" fillId="2" borderId="0" xfId="1" applyNumberFormat="1" applyFont="1" applyFill="1" applyAlignment="1">
      <alignment vertical="center"/>
    </xf>
    <xf numFmtId="9" fontId="4" fillId="2" borderId="0" xfId="10" applyNumberFormat="1" applyFont="1" applyFill="1" applyAlignment="1">
      <alignment vertical="center"/>
    </xf>
    <xf numFmtId="164" fontId="8" fillId="2" borderId="7" xfId="4" applyNumberFormat="1" applyFont="1" applyFill="1" applyBorder="1" applyAlignment="1">
      <alignment horizontal="right" vertical="center"/>
    </xf>
    <xf numFmtId="0" fontId="39" fillId="0" borderId="4" xfId="6" applyFont="1" applyBorder="1" applyAlignment="1">
      <alignment horizontal="right" vertical="center" wrapText="1"/>
    </xf>
    <xf numFmtId="0" fontId="40" fillId="0" borderId="11" xfId="6" applyFont="1" applyBorder="1" applyAlignment="1">
      <alignment vertical="center"/>
    </xf>
    <xf numFmtId="0" fontId="40" fillId="0" borderId="12" xfId="6" applyFont="1" applyBorder="1" applyAlignment="1">
      <alignment vertical="center"/>
    </xf>
    <xf numFmtId="164" fontId="8" fillId="2" borderId="0" xfId="3" applyNumberFormat="1" applyFont="1" applyFill="1" applyBorder="1" applyAlignment="1">
      <alignment vertical="center"/>
    </xf>
    <xf numFmtId="164" fontId="8" fillId="2" borderId="0" xfId="3" applyNumberFormat="1" applyFont="1" applyFill="1" applyBorder="1" applyAlignment="1">
      <alignment horizontal="right" vertical="center" wrapText="1"/>
    </xf>
    <xf numFmtId="164" fontId="17" fillId="2" borderId="0" xfId="10" applyNumberFormat="1" applyFont="1" applyFill="1" applyAlignment="1">
      <alignment vertical="center"/>
    </xf>
    <xf numFmtId="164" fontId="4" fillId="4" borderId="0" xfId="10" applyNumberFormat="1" applyFont="1" applyFill="1" applyAlignment="1">
      <alignment vertical="center"/>
    </xf>
    <xf numFmtId="0" fontId="9" fillId="3" borderId="1" xfId="10" applyFont="1" applyFill="1" applyBorder="1" applyAlignment="1">
      <alignment horizontal="left" vertical="center"/>
    </xf>
    <xf numFmtId="0" fontId="34" fillId="0" borderId="0" xfId="10" applyFont="1" applyAlignment="1">
      <alignment horizontal="left" vertical="center"/>
    </xf>
    <xf numFmtId="0" fontId="8" fillId="0" borderId="3" xfId="3" applyNumberFormat="1" applyFont="1" applyFill="1" applyBorder="1" applyAlignment="1">
      <alignment horizontal="right" vertical="center" wrapText="1"/>
    </xf>
    <xf numFmtId="0" fontId="8" fillId="0" borderId="3" xfId="3" applyNumberFormat="1" applyFont="1" applyFill="1" applyBorder="1" applyAlignment="1">
      <alignment horizontal="right" vertical="center"/>
    </xf>
    <xf numFmtId="2" fontId="4" fillId="0" borderId="0" xfId="10" applyNumberFormat="1" applyFont="1" applyAlignment="1">
      <alignment vertical="center"/>
    </xf>
    <xf numFmtId="10" fontId="4" fillId="2" borderId="1" xfId="10" applyNumberFormat="1" applyFont="1" applyFill="1" applyBorder="1" applyAlignment="1">
      <alignment vertical="center"/>
    </xf>
    <xf numFmtId="0" fontId="53" fillId="0" borderId="0" xfId="10" applyFont="1" applyAlignment="1">
      <alignment horizontal="left" vertical="center"/>
    </xf>
    <xf numFmtId="0" fontId="8" fillId="0" borderId="1" xfId="6" applyFont="1" applyBorder="1" applyAlignment="1">
      <alignment horizontal="right" vertical="center"/>
    </xf>
    <xf numFmtId="166" fontId="8" fillId="0" borderId="1" xfId="6" applyNumberFormat="1" applyFont="1" applyBorder="1" applyAlignment="1">
      <alignment horizontal="right" vertical="center"/>
    </xf>
    <xf numFmtId="0" fontId="19" fillId="5" borderId="1" xfId="6" applyFont="1" applyFill="1" applyBorder="1" applyAlignment="1">
      <alignment vertical="center"/>
    </xf>
    <xf numFmtId="0" fontId="23" fillId="5" borderId="4" xfId="6" applyFont="1" applyFill="1" applyBorder="1" applyAlignment="1">
      <alignment horizontal="right" vertical="center"/>
    </xf>
    <xf numFmtId="0" fontId="9" fillId="5" borderId="1" xfId="6" applyFont="1" applyFill="1" applyBorder="1" applyAlignment="1">
      <alignment vertical="center"/>
    </xf>
    <xf numFmtId="0" fontId="54" fillId="0" borderId="0" xfId="0" applyFont="1" applyAlignment="1">
      <alignment horizontal="center"/>
    </xf>
    <xf numFmtId="164" fontId="7" fillId="2" borderId="0" xfId="6" applyNumberFormat="1" applyFont="1" applyFill="1" applyAlignment="1">
      <alignment vertical="center"/>
    </xf>
    <xf numFmtId="164" fontId="7" fillId="2" borderId="1" xfId="6" applyNumberFormat="1" applyFont="1" applyFill="1" applyBorder="1" applyAlignment="1">
      <alignment vertical="center"/>
    </xf>
    <xf numFmtId="0" fontId="9" fillId="3" borderId="1" xfId="4" applyFont="1" applyFill="1" applyBorder="1" applyAlignment="1">
      <alignment horizontal="left" vertical="center"/>
    </xf>
    <xf numFmtId="0" fontId="9" fillId="3" borderId="10" xfId="4" applyFont="1" applyFill="1" applyBorder="1" applyAlignment="1">
      <alignment horizontal="right" vertical="center"/>
    </xf>
    <xf numFmtId="0" fontId="9" fillId="3" borderId="4" xfId="4" applyFont="1" applyFill="1" applyBorder="1" applyAlignment="1">
      <alignment horizontal="right" vertical="center"/>
    </xf>
    <xf numFmtId="0" fontId="9" fillId="3" borderId="1" xfId="4" applyFont="1" applyFill="1" applyBorder="1" applyAlignment="1">
      <alignment horizontal="right" vertical="center"/>
    </xf>
    <xf numFmtId="0" fontId="9" fillId="3" borderId="2" xfId="4" applyFont="1" applyFill="1" applyBorder="1" applyAlignment="1">
      <alignment horizontal="left" vertical="center"/>
    </xf>
    <xf numFmtId="0" fontId="9" fillId="3" borderId="8" xfId="4" applyFont="1" applyFill="1" applyBorder="1" applyAlignment="1">
      <alignment horizontal="right" vertical="center"/>
    </xf>
    <xf numFmtId="0" fontId="9" fillId="3" borderId="2" xfId="4" applyFont="1" applyFill="1" applyBorder="1" applyAlignment="1">
      <alignment horizontal="right" vertical="center"/>
    </xf>
    <xf numFmtId="0" fontId="9" fillId="3" borderId="2" xfId="4" applyFont="1" applyFill="1" applyBorder="1" applyAlignment="1">
      <alignment vertical="center" wrapText="1"/>
    </xf>
    <xf numFmtId="0" fontId="9" fillId="3" borderId="1" xfId="5" applyFont="1" applyFill="1" applyBorder="1" applyAlignment="1">
      <alignment horizontal="right" vertical="center"/>
    </xf>
    <xf numFmtId="0" fontId="9" fillId="3" borderId="4" xfId="4" applyFont="1" applyFill="1" applyBorder="1" applyAlignment="1">
      <alignment horizontal="left" vertical="center"/>
    </xf>
    <xf numFmtId="0" fontId="9" fillId="3" borderId="2" xfId="4" applyFont="1" applyFill="1" applyBorder="1" applyAlignment="1">
      <alignment horizontal="left" vertical="center" wrapText="1"/>
    </xf>
    <xf numFmtId="0" fontId="55" fillId="0" borderId="0" xfId="10" applyFont="1" applyAlignment="1">
      <alignment vertical="center"/>
    </xf>
    <xf numFmtId="166" fontId="4" fillId="2" borderId="1" xfId="11" applyNumberFormat="1" applyFont="1" applyFill="1" applyBorder="1" applyAlignment="1">
      <alignment vertical="center"/>
    </xf>
    <xf numFmtId="10" fontId="4" fillId="0" borderId="0" xfId="10" applyNumberFormat="1" applyFont="1" applyAlignment="1">
      <alignment horizontal="right" vertical="center"/>
    </xf>
    <xf numFmtId="0" fontId="4" fillId="2" borderId="0" xfId="10" applyFont="1" applyFill="1" applyAlignment="1">
      <alignment horizontal="right" vertical="center"/>
    </xf>
    <xf numFmtId="10" fontId="4" fillId="2" borderId="0" xfId="12" applyNumberFormat="1" applyFont="1" applyFill="1" applyAlignment="1">
      <alignment horizontal="right" vertical="center"/>
    </xf>
    <xf numFmtId="10" fontId="4" fillId="2" borderId="0" xfId="10" applyNumberFormat="1" applyFont="1" applyFill="1" applyAlignment="1">
      <alignment horizontal="right" vertical="center"/>
    </xf>
    <xf numFmtId="169" fontId="4" fillId="2" borderId="0" xfId="10" applyNumberFormat="1" applyFont="1" applyFill="1" applyAlignment="1">
      <alignment horizontal="right" vertical="center"/>
    </xf>
    <xf numFmtId="0" fontId="9" fillId="3" borderId="5" xfId="10" applyFont="1" applyFill="1" applyBorder="1" applyAlignment="1">
      <alignment horizontal="left" vertical="center"/>
    </xf>
    <xf numFmtId="0" fontId="19" fillId="3" borderId="5" xfId="10" applyFont="1" applyFill="1" applyBorder="1" applyAlignment="1">
      <alignment vertical="center"/>
    </xf>
    <xf numFmtId="0" fontId="19" fillId="3" borderId="1" xfId="10" applyFont="1" applyFill="1" applyBorder="1" applyAlignment="1">
      <alignment vertical="center"/>
    </xf>
    <xf numFmtId="169" fontId="4" fillId="2" borderId="3" xfId="10" applyNumberFormat="1" applyFont="1" applyFill="1" applyBorder="1" applyAlignment="1">
      <alignment horizontal="right" vertical="center"/>
    </xf>
    <xf numFmtId="169" fontId="34" fillId="2" borderId="1" xfId="10" applyNumberFormat="1" applyFont="1" applyFill="1" applyBorder="1" applyAlignment="1">
      <alignment horizontal="right" vertical="center"/>
    </xf>
    <xf numFmtId="169" fontId="34" fillId="2" borderId="4" xfId="10" applyNumberFormat="1" applyFont="1" applyFill="1" applyBorder="1" applyAlignment="1">
      <alignment horizontal="right" vertical="center"/>
    </xf>
    <xf numFmtId="164" fontId="34" fillId="2" borderId="6" xfId="10" applyNumberFormat="1" applyFont="1" applyFill="1" applyBorder="1" applyAlignment="1">
      <alignment vertical="center"/>
    </xf>
    <xf numFmtId="164" fontId="34" fillId="2" borderId="1" xfId="10" applyNumberFormat="1" applyFont="1" applyFill="1" applyBorder="1" applyAlignment="1">
      <alignment vertical="center"/>
    </xf>
    <xf numFmtId="10" fontId="9" fillId="3" borderId="0" xfId="12" applyNumberFormat="1" applyFont="1" applyFill="1" applyAlignment="1">
      <alignment horizontal="right" vertical="center"/>
    </xf>
    <xf numFmtId="2" fontId="0" fillId="0" borderId="0" xfId="0" applyNumberFormat="1"/>
    <xf numFmtId="2" fontId="7" fillId="2" borderId="0" xfId="6" applyNumberFormat="1" applyFont="1" applyFill="1" applyAlignment="1">
      <alignment vertical="center"/>
    </xf>
    <xf numFmtId="2" fontId="7" fillId="0" borderId="0" xfId="6" applyNumberFormat="1" applyFont="1" applyAlignment="1">
      <alignment vertical="center"/>
    </xf>
    <xf numFmtId="0" fontId="39" fillId="0" borderId="6" xfId="6" applyFont="1" applyBorder="1" applyAlignment="1">
      <alignment horizontal="right" vertical="center" wrapText="1"/>
    </xf>
    <xf numFmtId="164" fontId="7" fillId="0" borderId="0" xfId="3" applyNumberFormat="1" applyFont="1" applyFill="1" applyAlignment="1">
      <alignment vertical="center"/>
    </xf>
    <xf numFmtId="164" fontId="8" fillId="2" borderId="0" xfId="9" applyNumberFormat="1" applyFont="1" applyFill="1" applyBorder="1" applyAlignment="1">
      <alignment vertical="center"/>
    </xf>
    <xf numFmtId="166" fontId="7" fillId="2" borderId="13" xfId="3" applyNumberFormat="1" applyFont="1" applyFill="1" applyBorder="1" applyAlignment="1">
      <alignment vertical="center"/>
    </xf>
    <xf numFmtId="164" fontId="7" fillId="0" borderId="3" xfId="3" applyNumberFormat="1" applyFont="1" applyFill="1" applyBorder="1" applyAlignment="1">
      <alignment vertical="center"/>
    </xf>
    <xf numFmtId="0" fontId="19" fillId="3" borderId="0" xfId="10" applyFont="1" applyFill="1" applyAlignment="1">
      <alignment vertical="center"/>
    </xf>
    <xf numFmtId="10" fontId="4" fillId="2" borderId="1" xfId="1" applyNumberFormat="1" applyFont="1" applyFill="1" applyBorder="1" applyAlignment="1">
      <alignment vertical="center"/>
    </xf>
    <xf numFmtId="164" fontId="7" fillId="2" borderId="0" xfId="3" applyNumberFormat="1" applyFont="1" applyFill="1" applyAlignment="1">
      <alignment vertical="center"/>
    </xf>
    <xf numFmtId="10" fontId="7" fillId="2" borderId="0" xfId="7" applyNumberFormat="1" applyFont="1" applyFill="1" applyAlignment="1">
      <alignment vertical="center"/>
    </xf>
    <xf numFmtId="0" fontId="7" fillId="2" borderId="0" xfId="6" applyFont="1" applyFill="1" applyAlignment="1">
      <alignment vertical="center"/>
    </xf>
    <xf numFmtId="10" fontId="7" fillId="2" borderId="1" xfId="7" applyNumberFormat="1" applyFont="1" applyFill="1" applyBorder="1" applyAlignment="1">
      <alignment vertical="center"/>
    </xf>
    <xf numFmtId="164" fontId="7" fillId="2" borderId="0" xfId="9" applyNumberFormat="1" applyFont="1" applyFill="1" applyAlignment="1">
      <alignment vertical="center"/>
    </xf>
    <xf numFmtId="0" fontId="8" fillId="0" borderId="0" xfId="3" applyNumberFormat="1" applyFont="1" applyFill="1" applyBorder="1" applyAlignment="1">
      <alignment horizontal="right" vertical="center"/>
    </xf>
    <xf numFmtId="0" fontId="9" fillId="3" borderId="0" xfId="6" applyFont="1" applyFill="1" applyAlignment="1">
      <alignment vertical="center"/>
    </xf>
    <xf numFmtId="164" fontId="9" fillId="3" borderId="0" xfId="6" applyNumberFormat="1" applyFont="1" applyFill="1" applyAlignment="1">
      <alignment vertical="center"/>
    </xf>
    <xf numFmtId="0" fontId="7" fillId="2" borderId="0" xfId="6" applyFont="1" applyFill="1" applyAlignment="1">
      <alignment horizontal="right" vertical="center"/>
    </xf>
    <xf numFmtId="0" fontId="7" fillId="2" borderId="1" xfId="6" applyFont="1" applyFill="1" applyBorder="1" applyAlignment="1">
      <alignment horizontal="right" vertical="center"/>
    </xf>
    <xf numFmtId="0" fontId="8" fillId="0" borderId="12" xfId="6" applyFont="1" applyBorder="1" applyAlignment="1">
      <alignment vertical="center"/>
    </xf>
    <xf numFmtId="0" fontId="8" fillId="0" borderId="3" xfId="6" applyFont="1" applyBorder="1" applyAlignment="1">
      <alignment vertical="center"/>
    </xf>
    <xf numFmtId="0" fontId="8" fillId="0" borderId="4" xfId="6" applyFont="1" applyBorder="1" applyAlignment="1">
      <alignment vertical="center"/>
    </xf>
    <xf numFmtId="0" fontId="7" fillId="2" borderId="1" xfId="6" applyFont="1" applyFill="1" applyBorder="1" applyAlignment="1">
      <alignment vertical="center"/>
    </xf>
    <xf numFmtId="2" fontId="27" fillId="0" borderId="0" xfId="0" applyNumberFormat="1" applyFont="1"/>
    <xf numFmtId="14" fontId="27" fillId="0" borderId="0" xfId="0" applyNumberFormat="1" applyFont="1"/>
    <xf numFmtId="0" fontId="0" fillId="0" borderId="14" xfId="0" applyBorder="1"/>
    <xf numFmtId="0" fontId="0" fillId="0" borderId="13" xfId="0" applyBorder="1"/>
    <xf numFmtId="0" fontId="9" fillId="3" borderId="11" xfId="10" applyFont="1" applyFill="1" applyBorder="1" applyAlignment="1">
      <alignment horizontal="left" vertical="center"/>
    </xf>
    <xf numFmtId="0" fontId="9" fillId="3" borderId="12" xfId="10" applyFont="1" applyFill="1" applyBorder="1" applyAlignment="1">
      <alignment horizontal="left" vertical="center"/>
    </xf>
    <xf numFmtId="164" fontId="4" fillId="2" borderId="11" xfId="10" applyNumberFormat="1" applyFont="1" applyFill="1" applyBorder="1" applyAlignment="1">
      <alignment horizontal="right" vertical="center"/>
    </xf>
    <xf numFmtId="164" fontId="4" fillId="2" borderId="0" xfId="10" applyNumberFormat="1" applyFont="1" applyFill="1" applyAlignment="1">
      <alignment horizontal="right" vertical="center"/>
    </xf>
    <xf numFmtId="0" fontId="7" fillId="2" borderId="11" xfId="6" applyFont="1" applyFill="1" applyBorder="1" applyAlignment="1">
      <alignment horizontal="center" vertical="center"/>
    </xf>
    <xf numFmtId="0" fontId="7" fillId="2" borderId="0" xfId="6" applyFont="1" applyFill="1" applyAlignment="1">
      <alignment horizontal="center" vertical="center"/>
    </xf>
    <xf numFmtId="0" fontId="7" fillId="2" borderId="1" xfId="6" applyFont="1" applyFill="1" applyBorder="1" applyAlignment="1">
      <alignment horizontal="center" vertical="center"/>
    </xf>
    <xf numFmtId="0" fontId="23" fillId="3" borderId="0" xfId="6" applyFont="1" applyFill="1" applyAlignment="1">
      <alignment horizontal="center" vertical="center"/>
    </xf>
    <xf numFmtId="0" fontId="23" fillId="3" borderId="13" xfId="6" applyFont="1" applyFill="1" applyBorder="1" applyAlignment="1">
      <alignment horizontal="center" vertical="center"/>
    </xf>
    <xf numFmtId="0" fontId="23" fillId="3" borderId="3" xfId="6" applyFont="1" applyFill="1" applyBorder="1" applyAlignment="1">
      <alignment horizontal="center" vertical="center"/>
    </xf>
    <xf numFmtId="164" fontId="8" fillId="2" borderId="1" xfId="6" applyNumberFormat="1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54" fillId="0" borderId="15" xfId="0" applyFont="1" applyFill="1" applyBorder="1" applyAlignment="1">
      <alignment horizontal="center"/>
    </xf>
    <xf numFmtId="0" fontId="54" fillId="0" borderId="15" xfId="0" applyFont="1" applyFill="1" applyBorder="1" applyAlignment="1">
      <alignment horizontal="centerContinuous"/>
    </xf>
    <xf numFmtId="0" fontId="0" fillId="0" borderId="0" xfId="0" applyBorder="1"/>
    <xf numFmtId="0" fontId="54" fillId="0" borderId="0" xfId="0" applyFont="1" applyFill="1" applyBorder="1" applyAlignment="1">
      <alignment horizontal="center"/>
    </xf>
    <xf numFmtId="0" fontId="54" fillId="0" borderId="17" xfId="0" applyFont="1" applyFill="1" applyBorder="1" applyAlignment="1">
      <alignment horizontal="centerContinuous"/>
    </xf>
    <xf numFmtId="0" fontId="0" fillId="0" borderId="13" xfId="0" applyFill="1" applyBorder="1" applyAlignment="1"/>
    <xf numFmtId="0" fontId="0" fillId="0" borderId="16" xfId="0" applyFill="1" applyBorder="1" applyAlignment="1"/>
    <xf numFmtId="0" fontId="54" fillId="0" borderId="17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Continuous"/>
    </xf>
  </cellXfs>
  <cellStyles count="13">
    <cellStyle name="Comma 2" xfId="3" xr:uid="{CA4B55AE-85A8-9445-99F2-5509E4D36443}"/>
    <cellStyle name="Comma 2 2" xfId="9" xr:uid="{AEC27C95-8E87-2141-82EE-2182DC75BDEE}"/>
    <cellStyle name="Comma 2 3" xfId="11" xr:uid="{E38E7190-657B-6545-92F1-E773E59E4B26}"/>
    <cellStyle name="Normal" xfId="0" builtinId="0"/>
    <cellStyle name="Normal 2" xfId="5" xr:uid="{B7F830F6-D879-744C-BE9C-129021E61313}"/>
    <cellStyle name="Normal 2 2" xfId="4" xr:uid="{3DDB658F-2A25-EC49-AABD-01454B1BB7D1}"/>
    <cellStyle name="Normal 2 3" xfId="10" xr:uid="{057A12BF-F8E0-324C-948A-CE1343C618F4}"/>
    <cellStyle name="Normal 3 2" xfId="2" xr:uid="{C1EC3574-1656-DF4A-A48B-E8FDEBE7DC0F}"/>
    <cellStyle name="Normal 3 3" xfId="6" xr:uid="{F74E6FDA-0421-5B4F-AA62-D437B51944A1}"/>
    <cellStyle name="Percent" xfId="1" builtinId="5"/>
    <cellStyle name="Percent 2" xfId="7" xr:uid="{695A5F60-1151-BB44-83A2-F0F8AE50C120}"/>
    <cellStyle name="Percent 2 2" xfId="8" xr:uid="{0D68C26E-58D2-5B41-9FC5-F66BB2AC9080}"/>
    <cellStyle name="Percent 2 3" xfId="12" xr:uid="{6D24EDF7-DC67-8845-8D04-46A5F330A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421832505267506E-2"/>
          <c:y val="0.17881106001120942"/>
          <c:w val="0.59577788070608817"/>
          <c:h val="0.7736324786324786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038-7A44-AC25-67BE3C6708C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252-C94F-83C3-2BB98C9896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'Capital Allocation'!$B$11:$B$12</c:f>
              <c:strCache>
                <c:ptCount val="2"/>
                <c:pt idx="0">
                  <c:v>y: weight of risky pf</c:v>
                </c:pt>
                <c:pt idx="1">
                  <c:v>1-y: weight of risk free asset</c:v>
                </c:pt>
              </c:strCache>
            </c:strRef>
          </c:cat>
          <c:val>
            <c:numRef>
              <c:f>'Capital Allocation'!$D$11:$D$12</c:f>
              <c:numCache>
                <c:formatCode>0.00%</c:formatCode>
                <c:ptCount val="2"/>
                <c:pt idx="0">
                  <c:v>0.42449861977534786</c:v>
                </c:pt>
                <c:pt idx="1">
                  <c:v>0.57550138022465214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2-C94F-83C3-2BB98C98963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03949343276042"/>
          <c:y val="0.25939739987006105"/>
          <c:w val="0.24073656928824783"/>
          <c:h val="0.5630550514409979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Max.</a:t>
            </a:r>
            <a:r>
              <a:rPr lang="en-US" baseline="0"/>
              <a:t> </a:t>
            </a:r>
            <a:r>
              <a:rPr lang="en-US"/>
              <a:t>Utiliity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'Capital Allocation'!$E$22</c:f>
              <c:strCache>
                <c:ptCount val="1"/>
                <c:pt idx="0">
                  <c:v>Utiliity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'Capital Allocation'!$B$24:$B$33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 formatCode="0.0">
                  <c:v>1</c:v>
                </c:pt>
              </c:numCache>
            </c:numRef>
          </c:xVal>
          <c:yVal>
            <c:numRef>
              <c:f>'Capital Allocation'!$E$24:$E$33</c:f>
              <c:numCache>
                <c:formatCode>0.00%</c:formatCode>
                <c:ptCount val="10"/>
                <c:pt idx="0">
                  <c:v>5.9247489293727702E-2</c:v>
                </c:pt>
                <c:pt idx="1">
                  <c:v>6.6025679955787536E-2</c:v>
                </c:pt>
                <c:pt idx="2">
                  <c:v>7.0334571986179498E-2</c:v>
                </c:pt>
                <c:pt idx="3">
                  <c:v>7.2174165384903621E-2</c:v>
                </c:pt>
                <c:pt idx="4">
                  <c:v>7.1544460151959866E-2</c:v>
                </c:pt>
                <c:pt idx="5">
                  <c:v>6.8445456287348244E-2</c:v>
                </c:pt>
                <c:pt idx="6">
                  <c:v>6.2877153791068771E-2</c:v>
                </c:pt>
                <c:pt idx="7">
                  <c:v>5.4839552663121419E-2</c:v>
                </c:pt>
                <c:pt idx="8">
                  <c:v>4.4332652903506228E-2</c:v>
                </c:pt>
                <c:pt idx="9">
                  <c:v>3.1356454512223145E-2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13-F942-AAFA-DC10E22F1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634319"/>
        <c:axId val="1404941903"/>
      </c:scatterChart>
      <c:valAx>
        <c:axId val="140463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41903"/>
        <c:crosses val="autoZero"/>
        <c:crossBetween val="midCat"/>
      </c:valAx>
      <c:valAx>
        <c:axId val="14049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3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Your Indiff meets Your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'Capital Allocation'!$F$22</c:f>
              <c:strCache>
                <c:ptCount val="1"/>
                <c:pt idx="0">
                  <c:v>E(rc) on Indiff.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'Capital Allocation'!$D$24:$D$33</c:f>
              <c:numCache>
                <c:formatCode>0.00%</c:formatCode>
                <c:ptCount val="10"/>
                <c:pt idx="0">
                  <c:v>1.851912911794729E-2</c:v>
                </c:pt>
                <c:pt idx="1">
                  <c:v>3.7038258235894579E-2</c:v>
                </c:pt>
                <c:pt idx="2">
                  <c:v>5.5557387353841865E-2</c:v>
                </c:pt>
                <c:pt idx="3">
                  <c:v>7.4076516471789158E-2</c:v>
                </c:pt>
                <c:pt idx="4">
                  <c:v>9.2595645589736444E-2</c:v>
                </c:pt>
                <c:pt idx="5">
                  <c:v>0.11111477470768373</c:v>
                </c:pt>
                <c:pt idx="6">
                  <c:v>0.129633903825631</c:v>
                </c:pt>
                <c:pt idx="7">
                  <c:v>0.14815303294357832</c:v>
                </c:pt>
                <c:pt idx="8">
                  <c:v>0.1666721620615256</c:v>
                </c:pt>
                <c:pt idx="9">
                  <c:v>0.18519129117947289</c:v>
                </c:pt>
              </c:numCache>
            </c:numRef>
          </c:cat>
          <c:val>
            <c:numRef>
              <c:f>'Capital Allocation'!$F$24:$F$33</c:f>
              <c:numCache>
                <c:formatCode>0.00%</c:formatCode>
                <c:ptCount val="10"/>
                <c:pt idx="0">
                  <c:v>6.8056275412028841E-2</c:v>
                </c:pt>
                <c:pt idx="1">
                  <c:v>7.1760223359530639E-2</c:v>
                </c:pt>
                <c:pt idx="2">
                  <c:v>7.7933469938700289E-2</c:v>
                </c:pt>
                <c:pt idx="3">
                  <c:v>8.6576015149537805E-2</c:v>
                </c:pt>
                <c:pt idx="4">
                  <c:v>9.7687858992043186E-2</c:v>
                </c:pt>
                <c:pt idx="5">
                  <c:v>0.11126900146621643</c:v>
                </c:pt>
                <c:pt idx="6">
                  <c:v>0.12731944257205752</c:v>
                </c:pt>
                <c:pt idx="7">
                  <c:v>0.1458391823095665</c:v>
                </c:pt>
                <c:pt idx="8">
                  <c:v>0.16682822067874331</c:v>
                </c:pt>
                <c:pt idx="9">
                  <c:v>0.19028655767958802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D8A-D949-BC77-83495A19F7CF}"/>
            </c:ext>
          </c:extLst>
        </c:ser>
        <c:ser>
          <c:idx val="1"/>
          <c:order val="1"/>
          <c:tx>
            <c:strRef>
              <c:f>'Capital Allocation'!$D$22</c:f>
              <c:strCache>
                <c:ptCount val="1"/>
                <c:pt idx="0">
                  <c:v>𝜎 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'Capital Allocation'!$D$24:$D$33</c:f>
              <c:numCache>
                <c:formatCode>0.00%</c:formatCode>
                <c:ptCount val="10"/>
                <c:pt idx="0">
                  <c:v>1.851912911794729E-2</c:v>
                </c:pt>
                <c:pt idx="1">
                  <c:v>3.7038258235894579E-2</c:v>
                </c:pt>
                <c:pt idx="2">
                  <c:v>5.5557387353841865E-2</c:v>
                </c:pt>
                <c:pt idx="3">
                  <c:v>7.4076516471789158E-2</c:v>
                </c:pt>
                <c:pt idx="4">
                  <c:v>9.2595645589736444E-2</c:v>
                </c:pt>
                <c:pt idx="5">
                  <c:v>0.11111477470768373</c:v>
                </c:pt>
                <c:pt idx="6">
                  <c:v>0.129633903825631</c:v>
                </c:pt>
                <c:pt idx="7">
                  <c:v>0.14815303294357832</c:v>
                </c:pt>
                <c:pt idx="8">
                  <c:v>0.1666721620615256</c:v>
                </c:pt>
                <c:pt idx="9">
                  <c:v>0.18519129117947289</c:v>
                </c:pt>
              </c:numCache>
            </c:numRef>
          </c:cat>
          <c:val>
            <c:numRef>
              <c:f>'Capital Allocation'!$C$24:$C$33</c:f>
              <c:numCache>
                <c:formatCode>0.00%</c:formatCode>
                <c:ptCount val="10"/>
                <c:pt idx="0">
                  <c:v>6.0482138609561635E-2</c:v>
                </c:pt>
                <c:pt idx="1">
                  <c:v>7.0964277219123267E-2</c:v>
                </c:pt>
                <c:pt idx="2">
                  <c:v>8.1446415828684879E-2</c:v>
                </c:pt>
                <c:pt idx="3">
                  <c:v>9.1928554438246518E-2</c:v>
                </c:pt>
                <c:pt idx="4">
                  <c:v>0.10241069304780814</c:v>
                </c:pt>
                <c:pt idx="5">
                  <c:v>0.11289283165736977</c:v>
                </c:pt>
                <c:pt idx="6">
                  <c:v>0.12337497026693138</c:v>
                </c:pt>
                <c:pt idx="7">
                  <c:v>0.13385710887649302</c:v>
                </c:pt>
                <c:pt idx="8">
                  <c:v>0.14433924748605464</c:v>
                </c:pt>
                <c:pt idx="9">
                  <c:v>0.15482138609561627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A-D949-BC77-83495A19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74014719"/>
        <c:axId val="1348506064"/>
      </c:lineChart>
      <c:catAx>
        <c:axId val="27401471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506064"/>
        <c:crosses val="autoZero"/>
        <c:auto val="1"/>
        <c:lblAlgn val="ctr"/>
        <c:lblOffset val="100"/>
        <c:noMultiLvlLbl val="0"/>
      </c:catAx>
      <c:valAx>
        <c:axId val="13485060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147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Optimal</a:t>
            </a:r>
            <a:r>
              <a:rPr lang="en-US" sz="1200" baseline="0"/>
              <a:t> Complete Portfolio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796420895243435E-2"/>
          <c:y val="0.16398924942056645"/>
          <c:w val="0.58841200588730025"/>
          <c:h val="0.7760612077537031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5AC6-334D-86E9-273A97DE9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EDB-7B41-B7CE-B8186F5C0C98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AC6-334D-86E9-273A97DE93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'Asset Classes Allocation'!$B$30:$B$32</c:f>
              <c:strCache>
                <c:ptCount val="3"/>
                <c:pt idx="0">
                  <c:v>Weight (1-y): Risk-Free Asset</c:v>
                </c:pt>
                <c:pt idx="1">
                  <c:v>Bond weight in the Optimal Complete Pf</c:v>
                </c:pt>
                <c:pt idx="2">
                  <c:v>Equity weight in the Optimal Complete Pf</c:v>
                </c:pt>
              </c:strCache>
            </c:strRef>
          </c:cat>
          <c:val>
            <c:numRef>
              <c:f>'Asset Classes Allocation'!$D$30:$D$32</c:f>
              <c:numCache>
                <c:formatCode>0.00%</c:formatCode>
                <c:ptCount val="3"/>
                <c:pt idx="0">
                  <c:v>0.5767163001057577</c:v>
                </c:pt>
                <c:pt idx="1">
                  <c:v>1.5757907503418326E-2</c:v>
                </c:pt>
                <c:pt idx="2">
                  <c:v>0.40752579239082398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6-334D-86E9-273A97DE93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Optimal Risky Portfolio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'Asset Classes Allocation'!$E$12:$E$22</c:f>
              <c:numCache>
                <c:formatCode>0.0000</c:formatCode>
                <c:ptCount val="11"/>
                <c:pt idx="0">
                  <c:v>0.10650266702262463</c:v>
                </c:pt>
                <c:pt idx="1">
                  <c:v>0.10837221105809292</c:v>
                </c:pt>
                <c:pt idx="2">
                  <c:v>0.11227546887756429</c:v>
                </c:pt>
                <c:pt idx="3">
                  <c:v>0.11801081488195589</c:v>
                </c:pt>
                <c:pt idx="4">
                  <c:v>0.12532697507679225</c:v>
                </c:pt>
                <c:pt idx="5">
                  <c:v>0.13396520320614544</c:v>
                </c:pt>
                <c:pt idx="6">
                  <c:v>0.14368725550165562</c:v>
                </c:pt>
                <c:pt idx="7">
                  <c:v>0.15428838534543543</c:v>
                </c:pt>
                <c:pt idx="8">
                  <c:v>0.16559985219430112</c:v>
                </c:pt>
                <c:pt idx="9">
                  <c:v>0.17748589514780172</c:v>
                </c:pt>
                <c:pt idx="10">
                  <c:v>0.18983861999453072</c:v>
                </c:pt>
              </c:numCache>
            </c:numRef>
          </c:xVal>
          <c:yVal>
            <c:numRef>
              <c:f>'Asset Classes Allocation'!$D$12:$D$22</c:f>
              <c:numCache>
                <c:formatCode>0.0000</c:formatCode>
                <c:ptCount val="11"/>
                <c:pt idx="0">
                  <c:v>8.7391590847841968E-2</c:v>
                </c:pt>
                <c:pt idx="1">
                  <c:v>9.4395302943742126E-2</c:v>
                </c:pt>
                <c:pt idx="2">
                  <c:v>0.10139901503964228</c:v>
                </c:pt>
                <c:pt idx="3">
                  <c:v>0.10840272713554243</c:v>
                </c:pt>
                <c:pt idx="4">
                  <c:v>0.1154064392314426</c:v>
                </c:pt>
                <c:pt idx="5">
                  <c:v>0.12241015132734276</c:v>
                </c:pt>
                <c:pt idx="6">
                  <c:v>0.1294138634232429</c:v>
                </c:pt>
                <c:pt idx="7">
                  <c:v>0.13641757551914305</c:v>
                </c:pt>
                <c:pt idx="8">
                  <c:v>0.14342128761504325</c:v>
                </c:pt>
                <c:pt idx="9">
                  <c:v>0.15042499971094339</c:v>
                </c:pt>
                <c:pt idx="10">
                  <c:v>0.15742871180684354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B-D94D-9D61-E2B322686B04}"/>
            </c:ext>
          </c:extLst>
        </c:ser>
        <c:ser>
          <c:idx val="1"/>
          <c:order val="1"/>
          <c:tx>
            <c:v>Minimum Variance Pf</c:v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Classes Allocation'!$D$8,'Asset Classes Allocation'!$E$24)</c:f>
              <c:numCache>
                <c:formatCode>0.0000</c:formatCode>
                <c:ptCount val="2"/>
                <c:pt idx="0" formatCode="0.00%">
                  <c:v>0</c:v>
                </c:pt>
                <c:pt idx="1">
                  <c:v>0.10635151811167354</c:v>
                </c:pt>
              </c:numCache>
            </c:numRef>
          </c:xVal>
          <c:yVal>
            <c:numRef>
              <c:f>('Asset Classes Allocation'!$C$8,'Asset Classes Allocation'!$D$24)</c:f>
              <c:numCache>
                <c:formatCode>0.0000</c:formatCode>
                <c:ptCount val="2"/>
                <c:pt idx="0" formatCode="0.00%">
                  <c:v>5.0299999999999997E-2</c:v>
                </c:pt>
                <c:pt idx="1">
                  <c:v>8.4770805215401993E-2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B-D94D-9D61-E2B322686B04}"/>
            </c:ext>
          </c:extLst>
        </c:ser>
        <c:ser>
          <c:idx val="2"/>
          <c:order val="2"/>
          <c:tx>
            <c:v>Optimal Risky Pf</c:v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Classes Allocation'!$D$8,'Asset Classes Allocation'!$E$26)</c:f>
              <c:numCache>
                <c:formatCode>0.0000</c:formatCode>
                <c:ptCount val="2"/>
                <c:pt idx="0" formatCode="0.00%">
                  <c:v>0</c:v>
                </c:pt>
                <c:pt idx="1">
                  <c:v>0.18519129117947289</c:v>
                </c:pt>
              </c:numCache>
            </c:numRef>
          </c:xVal>
          <c:yVal>
            <c:numRef>
              <c:f>('Asset Classes Allocation'!$C$8,'Asset Classes Allocation'!$D$26)</c:f>
              <c:numCache>
                <c:formatCode>0.0000</c:formatCode>
                <c:ptCount val="2"/>
                <c:pt idx="0" formatCode="0.00%">
                  <c:v>5.0299999999999997E-2</c:v>
                </c:pt>
                <c:pt idx="1">
                  <c:v>0.15482138609561627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B-D94D-9D61-E2B322686B04}"/>
            </c:ext>
          </c:extLst>
        </c:ser>
        <c:ser>
          <c:idx val="3"/>
          <c:order val="3"/>
          <c:tx>
            <c:v>Indifference Curve</c:v>
          </c:tx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'Capital Allocation'!$D$24:$D$33</c:f>
              <c:numCache>
                <c:formatCode>0.00%</c:formatCode>
                <c:ptCount val="10"/>
                <c:pt idx="0">
                  <c:v>1.851912911794729E-2</c:v>
                </c:pt>
                <c:pt idx="1">
                  <c:v>3.7038258235894579E-2</c:v>
                </c:pt>
                <c:pt idx="2">
                  <c:v>5.5557387353841865E-2</c:v>
                </c:pt>
                <c:pt idx="3">
                  <c:v>7.4076516471789158E-2</c:v>
                </c:pt>
                <c:pt idx="4">
                  <c:v>9.2595645589736444E-2</c:v>
                </c:pt>
                <c:pt idx="5">
                  <c:v>0.11111477470768373</c:v>
                </c:pt>
                <c:pt idx="6">
                  <c:v>0.129633903825631</c:v>
                </c:pt>
                <c:pt idx="7">
                  <c:v>0.14815303294357832</c:v>
                </c:pt>
                <c:pt idx="8">
                  <c:v>0.1666721620615256</c:v>
                </c:pt>
                <c:pt idx="9">
                  <c:v>0.18519129117947289</c:v>
                </c:pt>
              </c:numCache>
            </c:numRef>
          </c:xVal>
          <c:yVal>
            <c:numRef>
              <c:f>'Capital Allocation'!$F$24:$F$33</c:f>
              <c:numCache>
                <c:formatCode>0.00%</c:formatCode>
                <c:ptCount val="10"/>
                <c:pt idx="0">
                  <c:v>6.8056275412028841E-2</c:v>
                </c:pt>
                <c:pt idx="1">
                  <c:v>7.1760223359530639E-2</c:v>
                </c:pt>
                <c:pt idx="2">
                  <c:v>7.7933469938700289E-2</c:v>
                </c:pt>
                <c:pt idx="3">
                  <c:v>8.6576015149537805E-2</c:v>
                </c:pt>
                <c:pt idx="4">
                  <c:v>9.7687858992043186E-2</c:v>
                </c:pt>
                <c:pt idx="5">
                  <c:v>0.11126900146621643</c:v>
                </c:pt>
                <c:pt idx="6">
                  <c:v>0.12731944257205752</c:v>
                </c:pt>
                <c:pt idx="7">
                  <c:v>0.1458391823095665</c:v>
                </c:pt>
                <c:pt idx="8">
                  <c:v>0.16682822067874331</c:v>
                </c:pt>
                <c:pt idx="9">
                  <c:v>0.19028655767958802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EB-3D4A-8E68-7C5BB44CB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13072"/>
        <c:axId val="457112208"/>
      </c:scatterChart>
      <c:valAx>
        <c:axId val="3244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12208"/>
        <c:crosses val="autoZero"/>
        <c:crossBetween val="midCat"/>
      </c:valAx>
      <c:valAx>
        <c:axId val="457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130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Portfolio: Large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EB0-5C4E-BD2E-C016549E7C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EB0-5C4E-BD2E-C016549E7C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EB0-5C4E-BD2E-C016549E7C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EB0-5C4E-BD2E-C016549E7C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EB0-5C4E-BD2E-C016549E7C9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'Security Allocation'!$F$53:$J$53</c:f>
              <c:strCache>
                <c:ptCount val="5"/>
                <c:pt idx="0">
                  <c:v>LULU</c:v>
                </c:pt>
                <c:pt idx="1">
                  <c:v>PG</c:v>
                </c:pt>
                <c:pt idx="2">
                  <c:v>F</c:v>
                </c:pt>
                <c:pt idx="3">
                  <c:v>PM</c:v>
                </c:pt>
                <c:pt idx="4">
                  <c:v>HD</c:v>
                </c:pt>
              </c:strCache>
            </c:strRef>
          </c:cat>
          <c:val>
            <c:numRef>
              <c:f>'Security Allocation'!$F$54:$J$54</c:f>
              <c:numCache>
                <c:formatCode>0.0000</c:formatCode>
                <c:ptCount val="5"/>
                <c:pt idx="0">
                  <c:v>0.14609887079854753</c:v>
                </c:pt>
                <c:pt idx="1">
                  <c:v>0.2924963360833131</c:v>
                </c:pt>
                <c:pt idx="2">
                  <c:v>7.4802923113150843E-2</c:v>
                </c:pt>
                <c:pt idx="3">
                  <c:v>8.4351973806310945E-2</c:v>
                </c:pt>
                <c:pt idx="4">
                  <c:v>0.40224989619867751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B-314F-AB19-E3D4CA4BF7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5430053628954"/>
          <c:y val="0.27611335745194016"/>
          <c:w val="0.14874414801981645"/>
          <c:h val="0.4617879690714336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Excess Return of the</a:t>
            </a:r>
            <a:r>
              <a:rPr 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Benchmark Index </a:t>
            </a:r>
            <a:r>
              <a:rPr lang="en-US" sz="1600" b="1"/>
              <a:t> vs. the Securities in the</a:t>
            </a:r>
            <a:r>
              <a:rPr lang="en-US" sz="1600" b="1" baseline="0"/>
              <a:t> </a:t>
            </a:r>
            <a:r>
              <a:rPr lang="en-US" sz="1600" b="1"/>
              <a:t>Active Pf </a:t>
            </a:r>
            <a:r>
              <a:rPr lang="en-US" sz="1600" b="1" baseline="0"/>
              <a:t>(</a:t>
            </a:r>
            <a:r>
              <a:rPr lang="en-US" sz="1600" b="1"/>
              <a:t>59 months, 2019</a:t>
            </a:r>
            <a:r>
              <a:rPr lang="en-US" sz="1600" b="1" baseline="0"/>
              <a:t> - 2024)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SPDR SPY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Securities'!$E$39:$E$97</c:f>
              <c:numCache>
                <c:formatCode>0.00%</c:formatCode>
                <c:ptCount val="59"/>
                <c:pt idx="0">
                  <c:v>-7.8105206527837881E-2</c:v>
                </c:pt>
                <c:pt idx="1">
                  <c:v>6.3369968469963053E-2</c:v>
                </c:pt>
                <c:pt idx="2">
                  <c:v>9.6945275126504686E-3</c:v>
                </c:pt>
                <c:pt idx="3">
                  <c:v>-1.9317822175717276E-2</c:v>
                </c:pt>
                <c:pt idx="4">
                  <c:v>1.8675351061748263E-2</c:v>
                </c:pt>
                <c:pt idx="5">
                  <c:v>1.8247328222852726E-2</c:v>
                </c:pt>
                <c:pt idx="6">
                  <c:v>4.1301967504289543E-3</c:v>
                </c:pt>
                <c:pt idx="7">
                  <c:v>1.4741821297800033E-2</c:v>
                </c:pt>
                <c:pt idx="8">
                  <c:v>-2.3039722893382814E-2</c:v>
                </c:pt>
                <c:pt idx="9">
                  <c:v>-7.958050875608054E-2</c:v>
                </c:pt>
                <c:pt idx="10">
                  <c:v>-0.17122509226232949</c:v>
                </c:pt>
                <c:pt idx="11">
                  <c:v>0.13999427226278263</c:v>
                </c:pt>
                <c:pt idx="12">
                  <c:v>6.9995299927195262E-2</c:v>
                </c:pt>
                <c:pt idx="13">
                  <c:v>1.7997959306538174E-2</c:v>
                </c:pt>
                <c:pt idx="14">
                  <c:v>4.4959152264973198E-2</c:v>
                </c:pt>
                <c:pt idx="15">
                  <c:v>9.2553806671783187E-2</c:v>
                </c:pt>
                <c:pt idx="16">
                  <c:v>-1.3225596008710278E-2</c:v>
                </c:pt>
                <c:pt idx="17">
                  <c:v>-1.6273153108525468E-2</c:v>
                </c:pt>
                <c:pt idx="18">
                  <c:v>0.11517235867836655</c:v>
                </c:pt>
                <c:pt idx="19">
                  <c:v>3.8301478357491689E-2</c:v>
                </c:pt>
                <c:pt idx="20">
                  <c:v>-7.5956415836960292E-4</c:v>
                </c:pt>
                <c:pt idx="21">
                  <c:v>9.4355968462228983E-3</c:v>
                </c:pt>
                <c:pt idx="22">
                  <c:v>2.9735476710886315E-2</c:v>
                </c:pt>
                <c:pt idx="23">
                  <c:v>3.5675957989912341E-2</c:v>
                </c:pt>
                <c:pt idx="24">
                  <c:v>-9.3230111474262474E-3</c:v>
                </c:pt>
                <c:pt idx="25">
                  <c:v>1.217132512569356E-2</c:v>
                </c:pt>
                <c:pt idx="26">
                  <c:v>-1.1869507723497114E-2</c:v>
                </c:pt>
                <c:pt idx="27">
                  <c:v>-8.913025658918456E-3</c:v>
                </c:pt>
                <c:pt idx="28">
                  <c:v>-2.595408540308038E-2</c:v>
                </c:pt>
                <c:pt idx="29">
                  <c:v>8.4976119546614479E-2</c:v>
                </c:pt>
                <c:pt idx="30">
                  <c:v>-1.8995789853172147E-2</c:v>
                </c:pt>
                <c:pt idx="31">
                  <c:v>8.6317735967162239E-3</c:v>
                </c:pt>
                <c:pt idx="32">
                  <c:v>-7.1696276292649255E-2</c:v>
                </c:pt>
                <c:pt idx="33">
                  <c:v>-6.5635790128407992E-2</c:v>
                </c:pt>
                <c:pt idx="34">
                  <c:v>-2.7824422522986954E-3</c:v>
                </c:pt>
                <c:pt idx="35">
                  <c:v>-0.10110209136059441</c:v>
                </c:pt>
                <c:pt idx="36">
                  <c:v>-2.0412104702463314E-2</c:v>
                </c:pt>
                <c:pt idx="37">
                  <c:v>-8.98710060269758E-2</c:v>
                </c:pt>
                <c:pt idx="38">
                  <c:v>0.1145471907616568</c:v>
                </c:pt>
                <c:pt idx="39">
                  <c:v>-4.8170899071059495E-2</c:v>
                </c:pt>
                <c:pt idx="40">
                  <c:v>-0.10115204898749393</c:v>
                </c:pt>
                <c:pt idx="41">
                  <c:v>1.841281282693023E-2</c:v>
                </c:pt>
                <c:pt idx="42">
                  <c:v>9.047419457240051E-2</c:v>
                </c:pt>
                <c:pt idx="43">
                  <c:v>-8.2476558341248743E-2</c:v>
                </c:pt>
                <c:pt idx="44">
                  <c:v>0.15001502905859412</c:v>
                </c:pt>
                <c:pt idx="45">
                  <c:v>-4.3094423942813112E-2</c:v>
                </c:pt>
                <c:pt idx="46">
                  <c:v>3.9521093044573227E-2</c:v>
                </c:pt>
                <c:pt idx="47">
                  <c:v>-1.3353273379492398E-2</c:v>
                </c:pt>
                <c:pt idx="48">
                  <c:v>-9.8230027908321089E-3</c:v>
                </c:pt>
                <c:pt idx="49">
                  <c:v>9.1452675894061627E-2</c:v>
                </c:pt>
                <c:pt idx="50">
                  <c:v>3.1944753211067642E-2</c:v>
                </c:pt>
                <c:pt idx="51">
                  <c:v>-4.571884875278838E-2</c:v>
                </c:pt>
                <c:pt idx="52">
                  <c:v>-5.6442052881158514E-2</c:v>
                </c:pt>
                <c:pt idx="53">
                  <c:v>-5.8162755608756014E-2</c:v>
                </c:pt>
                <c:pt idx="54">
                  <c:v>8.8992679967642527E-2</c:v>
                </c:pt>
                <c:pt idx="55">
                  <c:v>4.5224404148722794E-2</c:v>
                </c:pt>
                <c:pt idx="56">
                  <c:v>-2.9958169220493287E-2</c:v>
                </c:pt>
                <c:pt idx="57">
                  <c:v>7.076778620177053E-2</c:v>
                </c:pt>
                <c:pt idx="58">
                  <c:v>7.62129755480127E-3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C-DA49-B2A3-B16BDA065A4C}"/>
            </c:ext>
          </c:extLst>
        </c:ser>
        <c:ser>
          <c:idx val="1"/>
          <c:order val="1"/>
          <c:tx>
            <c:v>JD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Securities'!$H$39:$H$97</c:f>
              <c:numCache>
                <c:formatCode>0.00%</c:formatCode>
                <c:ptCount val="59"/>
                <c:pt idx="0">
                  <c:v>-6.5206748231222925E-2</c:v>
                </c:pt>
                <c:pt idx="1">
                  <c:v>8.409875759302092E-2</c:v>
                </c:pt>
                <c:pt idx="2">
                  <c:v>5.6182278049955167E-2</c:v>
                </c:pt>
                <c:pt idx="3">
                  <c:v>-3.7788391426658866E-2</c:v>
                </c:pt>
                <c:pt idx="4">
                  <c:v>3.8370747830137539E-2</c:v>
                </c:pt>
                <c:pt idx="5">
                  <c:v>5.6785869618470805E-2</c:v>
                </c:pt>
                <c:pt idx="6">
                  <c:v>0.10066953458929444</c:v>
                </c:pt>
                <c:pt idx="7">
                  <c:v>2.2304837152762696E-2</c:v>
                </c:pt>
                <c:pt idx="8">
                  <c:v>2.9131599473302055E-2</c:v>
                </c:pt>
                <c:pt idx="9">
                  <c:v>-9.6008346944943493E-2</c:v>
                </c:pt>
                <c:pt idx="10">
                  <c:v>-0.13233664844036638</c:v>
                </c:pt>
                <c:pt idx="11">
                  <c:v>0.17481119517976654</c:v>
                </c:pt>
                <c:pt idx="12">
                  <c:v>0.33865785620517025</c:v>
                </c:pt>
                <c:pt idx="13">
                  <c:v>3.5495116945060509E-2</c:v>
                </c:pt>
                <c:pt idx="14">
                  <c:v>3.9332533085770713E-2</c:v>
                </c:pt>
                <c:pt idx="15">
                  <c:v>0.14962146523312306</c:v>
                </c:pt>
                <c:pt idx="16">
                  <c:v>-0.1274381766296537</c:v>
                </c:pt>
                <c:pt idx="17">
                  <c:v>-3.4795504760661913E-2</c:v>
                </c:pt>
                <c:pt idx="18">
                  <c:v>0.15531846695608645</c:v>
                </c:pt>
                <c:pt idx="19">
                  <c:v>-6.4129006464793983E-2</c:v>
                </c:pt>
                <c:pt idx="20">
                  <c:v>-5.9790339354649349E-2</c:v>
                </c:pt>
                <c:pt idx="21">
                  <c:v>-5.5913707442053887E-2</c:v>
                </c:pt>
                <c:pt idx="22">
                  <c:v>-2.013751533074833E-2</c:v>
                </c:pt>
                <c:pt idx="23">
                  <c:v>8.8925606451443137E-2</c:v>
                </c:pt>
                <c:pt idx="24">
                  <c:v>-4.0401242227573866E-2</c:v>
                </c:pt>
                <c:pt idx="25">
                  <c:v>0.12529180856801495</c:v>
                </c:pt>
                <c:pt idx="26">
                  <c:v>9.2254649204647807E-2</c:v>
                </c:pt>
                <c:pt idx="27">
                  <c:v>-4.1916666666666665E-3</c:v>
                </c:pt>
                <c:pt idx="28">
                  <c:v>7.128519386354764E-3</c:v>
                </c:pt>
                <c:pt idx="29">
                  <c:v>0.14730325841873207</c:v>
                </c:pt>
                <c:pt idx="30">
                  <c:v>-2.9083848703700583E-2</c:v>
                </c:pt>
                <c:pt idx="31">
                  <c:v>-0.14274493672187435</c:v>
                </c:pt>
                <c:pt idx="32">
                  <c:v>-0.15156681095456623</c:v>
                </c:pt>
                <c:pt idx="33">
                  <c:v>-4.5598688436590609E-2</c:v>
                </c:pt>
                <c:pt idx="34">
                  <c:v>0.13736615266472155</c:v>
                </c:pt>
                <c:pt idx="35">
                  <c:v>-3.3214489766491287E-2</c:v>
                </c:pt>
                <c:pt idx="36">
                  <c:v>-0.178852586855865</c:v>
                </c:pt>
                <c:pt idx="37">
                  <c:v>-7.2796732992095839E-2</c:v>
                </c:pt>
                <c:pt idx="38">
                  <c:v>0.13483488072850683</c:v>
                </c:pt>
                <c:pt idx="39">
                  <c:v>-3.8168088231948907E-2</c:v>
                </c:pt>
                <c:pt idx="40">
                  <c:v>-7.2200713246481987E-2</c:v>
                </c:pt>
                <c:pt idx="41">
                  <c:v>0.1728007906018442</c:v>
                </c:pt>
                <c:pt idx="42">
                  <c:v>0.15162521759557515</c:v>
                </c:pt>
                <c:pt idx="43">
                  <c:v>-0.16177362169063111</c:v>
                </c:pt>
                <c:pt idx="44">
                  <c:v>-4.6329127773204817E-2</c:v>
                </c:pt>
                <c:pt idx="45">
                  <c:v>3.3683143102628925E-3</c:v>
                </c:pt>
                <c:pt idx="46">
                  <c:v>0.17365434842339736</c:v>
                </c:pt>
                <c:pt idx="47">
                  <c:v>3.9027507153486837E-2</c:v>
                </c:pt>
                <c:pt idx="48">
                  <c:v>-0.13053073145326807</c:v>
                </c:pt>
                <c:pt idx="49">
                  <c:v>0.13610902318391874</c:v>
                </c:pt>
                <c:pt idx="50">
                  <c:v>-4.1124090708940138E-3</c:v>
                </c:pt>
                <c:pt idx="51">
                  <c:v>3.0204724166615175E-3</c:v>
                </c:pt>
                <c:pt idx="52">
                  <c:v>7.2178042610605946E-3</c:v>
                </c:pt>
                <c:pt idx="53">
                  <c:v>1.6217623305427791E-2</c:v>
                </c:pt>
                <c:pt idx="54">
                  <c:v>0.13131706442361471</c:v>
                </c:pt>
                <c:pt idx="55">
                  <c:v>0.14014589540148639</c:v>
                </c:pt>
                <c:pt idx="56">
                  <c:v>-0.11659363226032644</c:v>
                </c:pt>
                <c:pt idx="57">
                  <c:v>2.5048976749920387E-2</c:v>
                </c:pt>
                <c:pt idx="58">
                  <c:v>-0.16784321702014501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C-DA49-B2A3-B16BDA065A4C}"/>
            </c:ext>
          </c:extLst>
        </c:ser>
        <c:ser>
          <c:idx val="2"/>
          <c:order val="2"/>
          <c:tx>
            <c:v>PG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Securities'!$M$39:$M$97</c:f>
              <c:numCache>
                <c:formatCode>0.00%</c:formatCode>
                <c:ptCount val="59"/>
                <c:pt idx="0">
                  <c:v>-3.0896313483577648E-2</c:v>
                </c:pt>
                <c:pt idx="1">
                  <c:v>6.130257729857129E-2</c:v>
                </c:pt>
                <c:pt idx="2">
                  <c:v>7.2324248056589921E-2</c:v>
                </c:pt>
                <c:pt idx="3">
                  <c:v>2.0957685143019027E-2</c:v>
                </c:pt>
                <c:pt idx="4">
                  <c:v>3.0325486428789111E-2</c:v>
                </c:pt>
                <c:pt idx="5">
                  <c:v>-3.1463259031226549E-3</c:v>
                </c:pt>
                <c:pt idx="6">
                  <c:v>-1.7606805354308881E-2</c:v>
                </c:pt>
                <c:pt idx="7">
                  <c:v>1.9075550454689488E-2</c:v>
                </c:pt>
                <c:pt idx="8">
                  <c:v>-6.4333981672277281E-3</c:v>
                </c:pt>
                <c:pt idx="9">
                  <c:v>-9.0191368050773615E-2</c:v>
                </c:pt>
                <c:pt idx="10">
                  <c:v>-3.2717691727143297E-2</c:v>
                </c:pt>
                <c:pt idx="11">
                  <c:v>6.7353921537166947E-2</c:v>
                </c:pt>
                <c:pt idx="12">
                  <c:v>-1.4176803858778692E-2</c:v>
                </c:pt>
                <c:pt idx="13">
                  <c:v>2.7295623487596437E-2</c:v>
                </c:pt>
                <c:pt idx="14">
                  <c:v>9.2404293622649833E-2</c:v>
                </c:pt>
                <c:pt idx="15">
                  <c:v>5.7453515276000219E-2</c:v>
                </c:pt>
                <c:pt idx="16">
                  <c:v>5.7984524225444464E-4</c:v>
                </c:pt>
                <c:pt idx="17">
                  <c:v>-1.7789783021734135E-2</c:v>
                </c:pt>
                <c:pt idx="18">
                  <c:v>1.4342597529289385E-2</c:v>
                </c:pt>
                <c:pt idx="19">
                  <c:v>-2.2473314274210239E-3</c:v>
                </c:pt>
                <c:pt idx="20">
                  <c:v>-8.2745683323078481E-2</c:v>
                </c:pt>
                <c:pt idx="21">
                  <c:v>-3.4882562405919984E-2</c:v>
                </c:pt>
                <c:pt idx="22">
                  <c:v>9.2141054019063182E-2</c:v>
                </c:pt>
                <c:pt idx="23">
                  <c:v>-1.9033334775817885E-2</c:v>
                </c:pt>
                <c:pt idx="24">
                  <c:v>1.2993058247007177E-2</c:v>
                </c:pt>
                <c:pt idx="25">
                  <c:v>-3.5984835803382804E-3</c:v>
                </c:pt>
                <c:pt idx="26">
                  <c:v>4.9910519785185833E-2</c:v>
                </c:pt>
                <c:pt idx="27">
                  <c:v>3.2296333222826927E-3</c:v>
                </c:pt>
                <c:pt idx="28">
                  <c:v>-2.2380993935535904E-2</c:v>
                </c:pt>
                <c:pt idx="29">
                  <c:v>1.8626580344181781E-2</c:v>
                </c:pt>
                <c:pt idx="30">
                  <c:v>1.3196237840030694E-2</c:v>
                </c:pt>
                <c:pt idx="31">
                  <c:v>0.12722346897852913</c:v>
                </c:pt>
                <c:pt idx="32">
                  <c:v>-2.3326123877565458E-2</c:v>
                </c:pt>
                <c:pt idx="33">
                  <c:v>-2.7365729983075588E-2</c:v>
                </c:pt>
                <c:pt idx="34">
                  <c:v>-2.4013527113867245E-2</c:v>
                </c:pt>
                <c:pt idx="35">
                  <c:v>4.6528387198687834E-2</c:v>
                </c:pt>
                <c:pt idx="36">
                  <c:v>-7.7940343261590342E-2</c:v>
                </c:pt>
                <c:pt idx="37">
                  <c:v>-3.1849303432687173E-2</c:v>
                </c:pt>
                <c:pt idx="38">
                  <c:v>-3.8130031265925582E-2</c:v>
                </c:pt>
                <c:pt idx="39">
                  <c:v>-4.7280952725431043E-3</c:v>
                </c:pt>
                <c:pt idx="40">
                  <c:v>-8.8938671912359893E-2</c:v>
                </c:pt>
                <c:pt idx="41">
                  <c:v>6.2501401205269522E-2</c:v>
                </c:pt>
                <c:pt idx="42">
                  <c:v>0.11126535293233546</c:v>
                </c:pt>
                <c:pt idx="43">
                  <c:v>1.189826372684603E-2</c:v>
                </c:pt>
                <c:pt idx="44">
                  <c:v>-6.4761594515146806E-2</c:v>
                </c:pt>
                <c:pt idx="45">
                  <c:v>-3.1982225557269553E-2</c:v>
                </c:pt>
                <c:pt idx="46">
                  <c:v>7.6718561519978731E-2</c:v>
                </c:pt>
                <c:pt idx="47">
                  <c:v>4.7526688265885506E-2</c:v>
                </c:pt>
                <c:pt idx="48">
                  <c:v>-8.7244681172164842E-2</c:v>
                </c:pt>
                <c:pt idx="49">
                  <c:v>6.0650329633125707E-2</c:v>
                </c:pt>
                <c:pt idx="50">
                  <c:v>2.5859806584362415E-2</c:v>
                </c:pt>
                <c:pt idx="51">
                  <c:v>-1.0510028379950815E-2</c:v>
                </c:pt>
                <c:pt idx="52">
                  <c:v>-5.9135231048879702E-2</c:v>
                </c:pt>
                <c:pt idx="53">
                  <c:v>2.4397422827772946E-2</c:v>
                </c:pt>
                <c:pt idx="54">
                  <c:v>2.5528774823718663E-2</c:v>
                </c:pt>
                <c:pt idx="55">
                  <c:v>-4.9658109945982368E-2</c:v>
                </c:pt>
                <c:pt idx="56">
                  <c:v>6.8143548668065643E-2</c:v>
                </c:pt>
                <c:pt idx="57">
                  <c:v>1.3650952849582215E-2</c:v>
                </c:pt>
                <c:pt idx="58">
                  <c:v>1.6633789218252797E-2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C-DA49-B2A3-B16BDA065A4C}"/>
            </c:ext>
          </c:extLst>
        </c:ser>
        <c:ser>
          <c:idx val="3"/>
          <c:order val="3"/>
          <c:tx>
            <c:v>BABA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Securities'!$R$39:$R$97</c:f>
              <c:numCache>
                <c:formatCode>0.00%</c:formatCode>
                <c:ptCount val="59"/>
                <c:pt idx="0">
                  <c:v>-7.8572133778162592E-2</c:v>
                </c:pt>
                <c:pt idx="1">
                  <c:v>7.0388499003583391E-2</c:v>
                </c:pt>
                <c:pt idx="2">
                  <c:v>-7.2617963652745601E-2</c:v>
                </c:pt>
                <c:pt idx="3">
                  <c:v>-2.7605783981514993E-2</c:v>
                </c:pt>
                <c:pt idx="4">
                  <c:v>-5.2820164800407472E-3</c:v>
                </c:pt>
                <c:pt idx="5">
                  <c:v>-6.6418482639379842E-2</c:v>
                </c:pt>
                <c:pt idx="6">
                  <c:v>6.7832191532208361E-2</c:v>
                </c:pt>
                <c:pt idx="7">
                  <c:v>2.2298555398382918E-2</c:v>
                </c:pt>
                <c:pt idx="8">
                  <c:v>-5.5804736903483712E-2</c:v>
                </c:pt>
                <c:pt idx="9">
                  <c:v>-0.20165568276259913</c:v>
                </c:pt>
                <c:pt idx="10">
                  <c:v>-0.31022611514530868</c:v>
                </c:pt>
                <c:pt idx="11">
                  <c:v>4.9638647402628397E-2</c:v>
                </c:pt>
                <c:pt idx="12">
                  <c:v>0.11761566394381011</c:v>
                </c:pt>
                <c:pt idx="13">
                  <c:v>6.0606951427024588E-2</c:v>
                </c:pt>
                <c:pt idx="14">
                  <c:v>8.2979326388500071E-2</c:v>
                </c:pt>
                <c:pt idx="15">
                  <c:v>2.757846632239162E-2</c:v>
                </c:pt>
                <c:pt idx="16">
                  <c:v>-2.7652008352272623E-2</c:v>
                </c:pt>
                <c:pt idx="17">
                  <c:v>0.15646886468749402</c:v>
                </c:pt>
                <c:pt idx="18">
                  <c:v>0.17045252805565028</c:v>
                </c:pt>
                <c:pt idx="19">
                  <c:v>-3.6129901522078914E-2</c:v>
                </c:pt>
                <c:pt idx="20">
                  <c:v>0.19376063818952152</c:v>
                </c:pt>
                <c:pt idx="21">
                  <c:v>0.10691922075706987</c:v>
                </c:pt>
                <c:pt idx="22">
                  <c:v>4.2816848509439939E-2</c:v>
                </c:pt>
                <c:pt idx="23">
                  <c:v>-6.2150784886493352E-2</c:v>
                </c:pt>
                <c:pt idx="24">
                  <c:v>0.25490719621657804</c:v>
                </c:pt>
                <c:pt idx="25">
                  <c:v>1.8519736062209729E-2</c:v>
                </c:pt>
                <c:pt idx="26">
                  <c:v>-6.5429804324520904E-2</c:v>
                </c:pt>
                <c:pt idx="27">
                  <c:v>-7.0141388143565922E-2</c:v>
                </c:pt>
                <c:pt idx="28">
                  <c:v>8.2531391087876146E-2</c:v>
                </c:pt>
                <c:pt idx="29">
                  <c:v>0.20202257149705752</c:v>
                </c:pt>
                <c:pt idx="30">
                  <c:v>0.11934513684242602</c:v>
                </c:pt>
                <c:pt idx="31">
                  <c:v>8.359264094215739E-2</c:v>
                </c:pt>
                <c:pt idx="32">
                  <c:v>-2.6820533870389369E-2</c:v>
                </c:pt>
                <c:pt idx="33">
                  <c:v>-0.1347197702240622</c:v>
                </c:pt>
                <c:pt idx="34">
                  <c:v>-4.120751524656048E-2</c:v>
                </c:pt>
                <c:pt idx="35">
                  <c:v>-0.16681734133065582</c:v>
                </c:pt>
                <c:pt idx="36">
                  <c:v>-3.166203993816992E-2</c:v>
                </c:pt>
                <c:pt idx="37">
                  <c:v>-0.19059526752218134</c:v>
                </c:pt>
                <c:pt idx="38">
                  <c:v>0.31566459809851394</c:v>
                </c:pt>
                <c:pt idx="39">
                  <c:v>3.3248781883955678E-2</c:v>
                </c:pt>
                <c:pt idx="40">
                  <c:v>-0.26195392185918415</c:v>
                </c:pt>
                <c:pt idx="41">
                  <c:v>0.18955824118955303</c:v>
                </c:pt>
                <c:pt idx="42">
                  <c:v>3.5449266093047369E-2</c:v>
                </c:pt>
                <c:pt idx="43">
                  <c:v>-0.15875507508955497</c:v>
                </c:pt>
                <c:pt idx="44">
                  <c:v>0.15745922039747443</c:v>
                </c:pt>
                <c:pt idx="45">
                  <c:v>-0.1107793705188171</c:v>
                </c:pt>
                <c:pt idx="46">
                  <c:v>0.10552887430306039</c:v>
                </c:pt>
                <c:pt idx="47">
                  <c:v>-6.1334538333575342E-2</c:v>
                </c:pt>
                <c:pt idx="48">
                  <c:v>1.8525076289782543E-2</c:v>
                </c:pt>
                <c:pt idx="49">
                  <c:v>0.25664155405629024</c:v>
                </c:pt>
                <c:pt idx="50">
                  <c:v>-0.13109186513245916</c:v>
                </c:pt>
                <c:pt idx="51">
                  <c:v>-7.5952483047666622E-2</c:v>
                </c:pt>
                <c:pt idx="52">
                  <c:v>1.9715988365935837E-2</c:v>
                </c:pt>
                <c:pt idx="53">
                  <c:v>-0.21916752911613543</c:v>
                </c:pt>
                <c:pt idx="54">
                  <c:v>6.452423605078221E-2</c:v>
                </c:pt>
                <c:pt idx="55">
                  <c:v>0.18391735366579134</c:v>
                </c:pt>
                <c:pt idx="56">
                  <c:v>-4.274775729053977E-2</c:v>
                </c:pt>
                <c:pt idx="57">
                  <c:v>5.7241798077240544E-2</c:v>
                </c:pt>
                <c:pt idx="58">
                  <c:v>9.2137257767788958E-2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1C-DA49-B2A3-B16BDA065A4C}"/>
            </c:ext>
          </c:extLst>
        </c:ser>
        <c:ser>
          <c:idx val="4"/>
          <c:order val="4"/>
          <c:tx>
            <c:v>PM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Securities'!$W$39:$W$97</c:f>
              <c:numCache>
                <c:formatCode>0.00%</c:formatCode>
                <c:ptCount val="59"/>
                <c:pt idx="0">
                  <c:v>-0.11313347304933681</c:v>
                </c:pt>
                <c:pt idx="1">
                  <c:v>1.3959514569958181E-2</c:v>
                </c:pt>
                <c:pt idx="2">
                  <c:v>7.6571008597120224E-2</c:v>
                </c:pt>
                <c:pt idx="3">
                  <c:v>-0.14197418592024877</c:v>
                </c:pt>
                <c:pt idx="4">
                  <c:v>4.9075015856200707E-2</c:v>
                </c:pt>
                <c:pt idx="5">
                  <c:v>8.6092671624446268E-2</c:v>
                </c:pt>
                <c:pt idx="6">
                  <c:v>1.4103752956437104E-2</c:v>
                </c:pt>
                <c:pt idx="7">
                  <c:v>2.1854391557140012E-2</c:v>
                </c:pt>
                <c:pt idx="8">
                  <c:v>-1.8866870398284236E-2</c:v>
                </c:pt>
                <c:pt idx="9">
                  <c:v>-1.4228001520875517E-2</c:v>
                </c:pt>
                <c:pt idx="10">
                  <c:v>-0.11302263258963759</c:v>
                </c:pt>
                <c:pt idx="11">
                  <c:v>3.6617464451630763E-2</c:v>
                </c:pt>
                <c:pt idx="12">
                  <c:v>-2.0813539080599758E-2</c:v>
                </c:pt>
                <c:pt idx="13">
                  <c:v>-4.9175229598448292E-2</c:v>
                </c:pt>
                <c:pt idx="14">
                  <c:v>0.10962306921869185</c:v>
                </c:pt>
                <c:pt idx="15">
                  <c:v>3.4605354685626796E-2</c:v>
                </c:pt>
                <c:pt idx="16">
                  <c:v>-6.4349712965916697E-2</c:v>
                </c:pt>
                <c:pt idx="17">
                  <c:v>-4.2141096339536291E-2</c:v>
                </c:pt>
                <c:pt idx="18">
                  <c:v>6.2409285100526832E-2</c:v>
                </c:pt>
                <c:pt idx="19">
                  <c:v>8.8745917754026335E-2</c:v>
                </c:pt>
                <c:pt idx="20">
                  <c:v>-2.8204393464264583E-2</c:v>
                </c:pt>
                <c:pt idx="21">
                  <c:v>5.0673247549888709E-2</c:v>
                </c:pt>
                <c:pt idx="22">
                  <c:v>5.1985525250973483E-2</c:v>
                </c:pt>
                <c:pt idx="23">
                  <c:v>8.0727446680333756E-2</c:v>
                </c:pt>
                <c:pt idx="24">
                  <c:v>1.0860958574894147E-2</c:v>
                </c:pt>
                <c:pt idx="25">
                  <c:v>2.3600503002477884E-2</c:v>
                </c:pt>
                <c:pt idx="26">
                  <c:v>1.7956011705400659E-2</c:v>
                </c:pt>
                <c:pt idx="27">
                  <c:v>2.4882035407807573E-2</c:v>
                </c:pt>
                <c:pt idx="28">
                  <c:v>-8.39003336226984E-2</c:v>
                </c:pt>
                <c:pt idx="29">
                  <c:v>5.4828832702093315E-3</c:v>
                </c:pt>
                <c:pt idx="30">
                  <c:v>-9.5158436208796007E-2</c:v>
                </c:pt>
                <c:pt idx="31">
                  <c:v>0.1012307289907201</c:v>
                </c:pt>
                <c:pt idx="32">
                  <c:v>9.3183108770119746E-2</c:v>
                </c:pt>
                <c:pt idx="33">
                  <c:v>-2.1498330803017846E-2</c:v>
                </c:pt>
                <c:pt idx="34">
                  <c:v>-7.4736810287646963E-2</c:v>
                </c:pt>
                <c:pt idx="35">
                  <c:v>7.4718354617837532E-2</c:v>
                </c:pt>
                <c:pt idx="36">
                  <c:v>5.8308450938238263E-2</c:v>
                </c:pt>
                <c:pt idx="37">
                  <c:v>-7.4874161971627287E-2</c:v>
                </c:pt>
                <c:pt idx="38">
                  <c:v>-7.9489097837362639E-3</c:v>
                </c:pt>
                <c:pt idx="39">
                  <c:v>-2.1278676068368602E-2</c:v>
                </c:pt>
                <c:pt idx="40">
                  <c:v>-0.13488587599200572</c:v>
                </c:pt>
                <c:pt idx="41">
                  <c:v>0.11810838583326914</c:v>
                </c:pt>
                <c:pt idx="42">
                  <c:v>8.0947199271342349E-2</c:v>
                </c:pt>
                <c:pt idx="43">
                  <c:v>1.1259292316533703E-2</c:v>
                </c:pt>
                <c:pt idx="44">
                  <c:v>3.8872146277173211E-2</c:v>
                </c:pt>
                <c:pt idx="45">
                  <c:v>-7.0768673886217062E-2</c:v>
                </c:pt>
                <c:pt idx="46">
                  <c:v>-4.7056233380344432E-3</c:v>
                </c:pt>
                <c:pt idx="47">
                  <c:v>3.7602889737318332E-2</c:v>
                </c:pt>
                <c:pt idx="48">
                  <c:v>-0.10382156442269382</c:v>
                </c:pt>
                <c:pt idx="49">
                  <c:v>8.0354338579434456E-2</c:v>
                </c:pt>
                <c:pt idx="50">
                  <c:v>3.0964898688076097E-2</c:v>
                </c:pt>
                <c:pt idx="51">
                  <c:v>-4.089448077510778E-2</c:v>
                </c:pt>
                <c:pt idx="52">
                  <c:v>-4.0419006606978794E-2</c:v>
                </c:pt>
                <c:pt idx="53">
                  <c:v>-2.7586003729894688E-2</c:v>
                </c:pt>
                <c:pt idx="54">
                  <c:v>4.2914598742873108E-2</c:v>
                </c:pt>
                <c:pt idx="55">
                  <c:v>3.5204146615252334E-3</c:v>
                </c:pt>
                <c:pt idx="56">
                  <c:v>-2.5164933853061917E-2</c:v>
                </c:pt>
                <c:pt idx="57">
                  <c:v>-1.3988084514745498E-2</c:v>
                </c:pt>
                <c:pt idx="58">
                  <c:v>1.426103115583947E-2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1C-DA49-B2A3-B16BDA065A4C}"/>
            </c:ext>
          </c:extLst>
        </c:ser>
        <c:ser>
          <c:idx val="5"/>
          <c:order val="5"/>
          <c:tx>
            <c:v>META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Securities'!$AB$39:$AB$97</c:f>
              <c:numCache>
                <c:formatCode>0.00%</c:formatCode>
                <c:ptCount val="59"/>
                <c:pt idx="0">
                  <c:v>-7.218398755926321E-2</c:v>
                </c:pt>
                <c:pt idx="1">
                  <c:v>9.1252500835152947E-2</c:v>
                </c:pt>
                <c:pt idx="2">
                  <c:v>3.0519222309441412E-2</c:v>
                </c:pt>
                <c:pt idx="3">
                  <c:v>6.2353385390646762E-2</c:v>
                </c:pt>
                <c:pt idx="4">
                  <c:v>1.3841803944450708E-2</c:v>
                </c:pt>
                <c:pt idx="5">
                  <c:v>1.3015706471522764E-2</c:v>
                </c:pt>
                <c:pt idx="6">
                  <c:v>-6.4171069371529457E-2</c:v>
                </c:pt>
                <c:pt idx="7">
                  <c:v>-1.3851263132666786E-2</c:v>
                </c:pt>
                <c:pt idx="8">
                  <c:v>4.6998541391535184E-2</c:v>
                </c:pt>
                <c:pt idx="9">
                  <c:v>-4.9171884966339355E-2</c:v>
                </c:pt>
                <c:pt idx="10">
                  <c:v>-0.14709483959335054</c:v>
                </c:pt>
                <c:pt idx="11">
                  <c:v>0.18107300801931428</c:v>
                </c:pt>
                <c:pt idx="12">
                  <c:v>0.12613628486652498</c:v>
                </c:pt>
                <c:pt idx="13">
                  <c:v>3.9779602118600703E-3</c:v>
                </c:pt>
                <c:pt idx="14">
                  <c:v>6.1934593639715249E-2</c:v>
                </c:pt>
                <c:pt idx="15">
                  <c:v>6.9445751867079616E-2</c:v>
                </c:pt>
                <c:pt idx="16">
                  <c:v>-2.9907495854433381E-2</c:v>
                </c:pt>
                <c:pt idx="17">
                  <c:v>-3.8736638075913501E-2</c:v>
                </c:pt>
                <c:pt idx="18">
                  <c:v>3.5926895253167654E-2</c:v>
                </c:pt>
                <c:pt idx="19">
                  <c:v>-4.6691859879509814E-2</c:v>
                </c:pt>
                <c:pt idx="20">
                  <c:v>2.0944606028907502E-2</c:v>
                </c:pt>
                <c:pt idx="21">
                  <c:v>-5.0274099822838994E-2</c:v>
                </c:pt>
                <c:pt idx="22">
                  <c:v>0.17739085659307721</c:v>
                </c:pt>
                <c:pt idx="23">
                  <c:v>6.2796970233563718E-2</c:v>
                </c:pt>
                <c:pt idx="24">
                  <c:v>-1.8898033468931558E-2</c:v>
                </c:pt>
                <c:pt idx="25">
                  <c:v>-4.2542357554764161E-3</c:v>
                </c:pt>
                <c:pt idx="26">
                  <c:v>3.0368426905182194E-2</c:v>
                </c:pt>
                <c:pt idx="27">
                  <c:v>-1.0316132435275033E-2</c:v>
                </c:pt>
                <c:pt idx="28">
                  <c:v>2.1849321062185449E-3</c:v>
                </c:pt>
                <c:pt idx="29">
                  <c:v>0.13402203706536212</c:v>
                </c:pt>
                <c:pt idx="30">
                  <c:v>7.347033582919231E-2</c:v>
                </c:pt>
                <c:pt idx="31">
                  <c:v>3.1753522230962547E-2</c:v>
                </c:pt>
                <c:pt idx="32">
                  <c:v>-0.11626663362148799</c:v>
                </c:pt>
                <c:pt idx="33">
                  <c:v>-0.14357271156562221</c:v>
                </c:pt>
                <c:pt idx="34">
                  <c:v>-5.6434770948211102E-2</c:v>
                </c:pt>
                <c:pt idx="35">
                  <c:v>5.4392114825940023E-3</c:v>
                </c:pt>
                <c:pt idx="36">
                  <c:v>3.6312036252498618E-3</c:v>
                </c:pt>
                <c:pt idx="37">
                  <c:v>-9.8262621498221805E-2</c:v>
                </c:pt>
                <c:pt idx="38">
                  <c:v>9.9977794266527351E-2</c:v>
                </c:pt>
                <c:pt idx="39">
                  <c:v>-4.5794572751616539E-2</c:v>
                </c:pt>
                <c:pt idx="40">
                  <c:v>-4.1219444053998425E-2</c:v>
                </c:pt>
                <c:pt idx="41">
                  <c:v>6.8976297756024138E-2</c:v>
                </c:pt>
                <c:pt idx="42">
                  <c:v>8.9888681101956511E-2</c:v>
                </c:pt>
                <c:pt idx="43">
                  <c:v>-2.338718394564639E-2</c:v>
                </c:pt>
                <c:pt idx="44">
                  <c:v>2.2117578349551675E-2</c:v>
                </c:pt>
                <c:pt idx="45">
                  <c:v>-8.9424723579171264E-2</c:v>
                </c:pt>
                <c:pt idx="46">
                  <c:v>-8.9802635749827893E-3</c:v>
                </c:pt>
                <c:pt idx="47">
                  <c:v>2.1548276047264874E-2</c:v>
                </c:pt>
                <c:pt idx="48">
                  <c:v>-6.1055916761907761E-2</c:v>
                </c:pt>
                <c:pt idx="49">
                  <c:v>9.9623303442174446E-2</c:v>
                </c:pt>
                <c:pt idx="50">
                  <c:v>7.0492736879585058E-2</c:v>
                </c:pt>
                <c:pt idx="51">
                  <c:v>-1.4795534195686317E-2</c:v>
                </c:pt>
                <c:pt idx="52">
                  <c:v>-8.3545141734689146E-2</c:v>
                </c:pt>
                <c:pt idx="53">
                  <c:v>-6.2008625419801969E-2</c:v>
                </c:pt>
                <c:pt idx="54">
                  <c:v>9.6970945457257304E-2</c:v>
                </c:pt>
                <c:pt idx="55">
                  <c:v>0.10868913651361793</c:v>
                </c:pt>
                <c:pt idx="56">
                  <c:v>1.4305023962250567E-2</c:v>
                </c:pt>
                <c:pt idx="57">
                  <c:v>7.4145773348346308E-2</c:v>
                </c:pt>
                <c:pt idx="58">
                  <c:v>3.664158604187822E-3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1C-DA49-B2A3-B16BDA065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93839"/>
        <c:axId val="1322407279"/>
      </c:lineChart>
      <c:dateAx>
        <c:axId val="2757938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07279"/>
        <c:crosses val="autoZero"/>
        <c:auto val="1"/>
        <c:lblOffset val="100"/>
        <c:baseTimeUnit val="months"/>
      </c:dateAx>
      <c:valAx>
        <c:axId val="132240727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9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Benchmark</a:t>
            </a:r>
            <a:r>
              <a:rPr lang="en-US" b="1" baseline="0"/>
              <a:t> Excess Return vs. Active Pf Excess Return. </a:t>
            </a:r>
            <a:br>
              <a:rPr lang="en-US" b="1" baseline="0"/>
            </a:br>
            <a:r>
              <a:rPr lang="en-US" b="1" baseline="0"/>
              <a:t>59 months Back Data Tracking (2019 -2024)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'Data. Securities'!$E$37</c:f>
              <c:strCache>
                <c:ptCount val="1"/>
                <c:pt idx="0">
                  <c:v>Benchmark
 Exces 
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Securities'!$E$39:$E$97</c:f>
              <c:numCache>
                <c:formatCode>0.00%</c:formatCode>
                <c:ptCount val="59"/>
                <c:pt idx="0">
                  <c:v>-7.8105206527837881E-2</c:v>
                </c:pt>
                <c:pt idx="1">
                  <c:v>6.3369968469963053E-2</c:v>
                </c:pt>
                <c:pt idx="2">
                  <c:v>9.6945275126504686E-3</c:v>
                </c:pt>
                <c:pt idx="3">
                  <c:v>-1.9317822175717276E-2</c:v>
                </c:pt>
                <c:pt idx="4">
                  <c:v>1.8675351061748263E-2</c:v>
                </c:pt>
                <c:pt idx="5">
                  <c:v>1.8247328222852726E-2</c:v>
                </c:pt>
                <c:pt idx="6">
                  <c:v>4.1301967504289543E-3</c:v>
                </c:pt>
                <c:pt idx="7">
                  <c:v>1.4741821297800033E-2</c:v>
                </c:pt>
                <c:pt idx="8">
                  <c:v>-2.3039722893382814E-2</c:v>
                </c:pt>
                <c:pt idx="9">
                  <c:v>-7.958050875608054E-2</c:v>
                </c:pt>
                <c:pt idx="10">
                  <c:v>-0.17122509226232949</c:v>
                </c:pt>
                <c:pt idx="11">
                  <c:v>0.13999427226278263</c:v>
                </c:pt>
                <c:pt idx="12">
                  <c:v>6.9995299927195262E-2</c:v>
                </c:pt>
                <c:pt idx="13">
                  <c:v>1.7997959306538174E-2</c:v>
                </c:pt>
                <c:pt idx="14">
                  <c:v>4.4959152264973198E-2</c:v>
                </c:pt>
                <c:pt idx="15">
                  <c:v>9.2553806671783187E-2</c:v>
                </c:pt>
                <c:pt idx="16">
                  <c:v>-1.3225596008710278E-2</c:v>
                </c:pt>
                <c:pt idx="17">
                  <c:v>-1.6273153108525468E-2</c:v>
                </c:pt>
                <c:pt idx="18">
                  <c:v>0.11517235867836655</c:v>
                </c:pt>
                <c:pt idx="19">
                  <c:v>3.8301478357491689E-2</c:v>
                </c:pt>
                <c:pt idx="20">
                  <c:v>-7.5956415836960292E-4</c:v>
                </c:pt>
                <c:pt idx="21">
                  <c:v>9.4355968462228983E-3</c:v>
                </c:pt>
                <c:pt idx="22">
                  <c:v>2.9735476710886315E-2</c:v>
                </c:pt>
                <c:pt idx="23">
                  <c:v>3.5675957989912341E-2</c:v>
                </c:pt>
                <c:pt idx="24">
                  <c:v>-9.3230111474262474E-3</c:v>
                </c:pt>
                <c:pt idx="25">
                  <c:v>1.217132512569356E-2</c:v>
                </c:pt>
                <c:pt idx="26">
                  <c:v>-1.1869507723497114E-2</c:v>
                </c:pt>
                <c:pt idx="27">
                  <c:v>-8.913025658918456E-3</c:v>
                </c:pt>
                <c:pt idx="28">
                  <c:v>-2.595408540308038E-2</c:v>
                </c:pt>
                <c:pt idx="29">
                  <c:v>8.4976119546614479E-2</c:v>
                </c:pt>
                <c:pt idx="30">
                  <c:v>-1.8995789853172147E-2</c:v>
                </c:pt>
                <c:pt idx="31">
                  <c:v>8.6317735967162239E-3</c:v>
                </c:pt>
                <c:pt idx="32">
                  <c:v>-7.1696276292649255E-2</c:v>
                </c:pt>
                <c:pt idx="33">
                  <c:v>-6.5635790128407992E-2</c:v>
                </c:pt>
                <c:pt idx="34">
                  <c:v>-2.7824422522986954E-3</c:v>
                </c:pt>
                <c:pt idx="35">
                  <c:v>-0.10110209136059441</c:v>
                </c:pt>
                <c:pt idx="36">
                  <c:v>-2.0412104702463314E-2</c:v>
                </c:pt>
                <c:pt idx="37">
                  <c:v>-8.98710060269758E-2</c:v>
                </c:pt>
                <c:pt idx="38">
                  <c:v>0.1145471907616568</c:v>
                </c:pt>
                <c:pt idx="39">
                  <c:v>-4.8170899071059495E-2</c:v>
                </c:pt>
                <c:pt idx="40">
                  <c:v>-0.10115204898749393</c:v>
                </c:pt>
                <c:pt idx="41">
                  <c:v>1.841281282693023E-2</c:v>
                </c:pt>
                <c:pt idx="42">
                  <c:v>9.047419457240051E-2</c:v>
                </c:pt>
                <c:pt idx="43">
                  <c:v>-8.2476558341248743E-2</c:v>
                </c:pt>
                <c:pt idx="44">
                  <c:v>0.15001502905859412</c:v>
                </c:pt>
                <c:pt idx="45">
                  <c:v>-4.3094423942813112E-2</c:v>
                </c:pt>
                <c:pt idx="46">
                  <c:v>3.9521093044573227E-2</c:v>
                </c:pt>
                <c:pt idx="47">
                  <c:v>-1.3353273379492398E-2</c:v>
                </c:pt>
                <c:pt idx="48">
                  <c:v>-9.8230027908321089E-3</c:v>
                </c:pt>
                <c:pt idx="49">
                  <c:v>9.1452675894061627E-2</c:v>
                </c:pt>
                <c:pt idx="50">
                  <c:v>3.1944753211067642E-2</c:v>
                </c:pt>
                <c:pt idx="51">
                  <c:v>-4.571884875278838E-2</c:v>
                </c:pt>
                <c:pt idx="52">
                  <c:v>-5.6442052881158514E-2</c:v>
                </c:pt>
                <c:pt idx="53">
                  <c:v>-5.8162755608756014E-2</c:v>
                </c:pt>
                <c:pt idx="54">
                  <c:v>8.8992679967642527E-2</c:v>
                </c:pt>
                <c:pt idx="55">
                  <c:v>4.5224404148722794E-2</c:v>
                </c:pt>
                <c:pt idx="56">
                  <c:v>-2.9958169220493287E-2</c:v>
                </c:pt>
                <c:pt idx="57">
                  <c:v>7.076778620177053E-2</c:v>
                </c:pt>
                <c:pt idx="58">
                  <c:v>7.62129755480127E-3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C-C746-BC9D-8A3CDEEBFD1A}"/>
            </c:ext>
          </c:extLst>
        </c:ser>
        <c:ser>
          <c:idx val="1"/>
          <c:order val="1"/>
          <c:tx>
            <c:strRef>
              <c:f>'Data. Securities'!$AF$37</c:f>
              <c:strCache>
                <c:ptCount val="1"/>
                <c:pt idx="0">
                  <c:v>Active Pf Exces 
return 
(Back data)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'Data. Securities'!$B$39:$B$97</c:f>
              <c:numCache>
                <c:formatCode>m/d/yy</c:formatCode>
                <c:ptCount val="59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  <c:pt idx="37">
                  <c:v>44713</c:v>
                </c:pt>
                <c:pt idx="38">
                  <c:v>44743</c:v>
                </c:pt>
                <c:pt idx="39">
                  <c:v>44774</c:v>
                </c:pt>
                <c:pt idx="40">
                  <c:v>44805</c:v>
                </c:pt>
                <c:pt idx="41">
                  <c:v>44835</c:v>
                </c:pt>
                <c:pt idx="42">
                  <c:v>44866</c:v>
                </c:pt>
                <c:pt idx="43">
                  <c:v>44896</c:v>
                </c:pt>
                <c:pt idx="44">
                  <c:v>44927</c:v>
                </c:pt>
                <c:pt idx="45">
                  <c:v>44958</c:v>
                </c:pt>
                <c:pt idx="46">
                  <c:v>44986</c:v>
                </c:pt>
                <c:pt idx="47">
                  <c:v>45017</c:v>
                </c:pt>
                <c:pt idx="48">
                  <c:v>45047</c:v>
                </c:pt>
                <c:pt idx="49">
                  <c:v>45078</c:v>
                </c:pt>
                <c:pt idx="50">
                  <c:v>45108</c:v>
                </c:pt>
                <c:pt idx="51">
                  <c:v>45139</c:v>
                </c:pt>
                <c:pt idx="52">
                  <c:v>45170</c:v>
                </c:pt>
                <c:pt idx="53">
                  <c:v>45200</c:v>
                </c:pt>
                <c:pt idx="54">
                  <c:v>45231</c:v>
                </c:pt>
                <c:pt idx="55">
                  <c:v>45261</c:v>
                </c:pt>
                <c:pt idx="56">
                  <c:v>45292</c:v>
                </c:pt>
                <c:pt idx="57">
                  <c:v>45323</c:v>
                </c:pt>
                <c:pt idx="58">
                  <c:v>45352</c:v>
                </c:pt>
              </c:numCache>
            </c:numRef>
          </c:cat>
          <c:val>
            <c:numRef>
              <c:f>'Data. Securities'!$AF$39:$AF$97</c:f>
              <c:numCache>
                <c:formatCode>0.00%</c:formatCode>
                <c:ptCount val="59"/>
                <c:pt idx="0">
                  <c:v>-6.3020149317493779E-2</c:v>
                </c:pt>
                <c:pt idx="1">
                  <c:v>7.3366599847376396E-2</c:v>
                </c:pt>
                <c:pt idx="2">
                  <c:v>4.2665978714316058E-2</c:v>
                </c:pt>
                <c:pt idx="3">
                  <c:v>1.165005145285151E-2</c:v>
                </c:pt>
                <c:pt idx="4">
                  <c:v>2.3788344979309359E-2</c:v>
                </c:pt>
                <c:pt idx="5">
                  <c:v>1.4905419338522168E-2</c:v>
                </c:pt>
                <c:pt idx="6">
                  <c:v>-9.9913011148796589E-3</c:v>
                </c:pt>
                <c:pt idx="7">
                  <c:v>6.7780291699776974E-3</c:v>
                </c:pt>
                <c:pt idx="8">
                  <c:v>1.5513691589776019E-2</c:v>
                </c:pt>
                <c:pt idx="9">
                  <c:v>-7.6471335945313301E-2</c:v>
                </c:pt>
                <c:pt idx="10">
                  <c:v>-0.12081242619810842</c:v>
                </c:pt>
                <c:pt idx="11">
                  <c:v>0.12487896349670123</c:v>
                </c:pt>
                <c:pt idx="12">
                  <c:v>0.10311150705056184</c:v>
                </c:pt>
                <c:pt idx="13">
                  <c:v>1.5155349896781046E-2</c:v>
                </c:pt>
                <c:pt idx="14">
                  <c:v>7.3141558290274605E-2</c:v>
                </c:pt>
                <c:pt idx="15">
                  <c:v>7.1580996178984599E-2</c:v>
                </c:pt>
                <c:pt idx="16">
                  <c:v>-3.7975734553615581E-2</c:v>
                </c:pt>
                <c:pt idx="17">
                  <c:v>-1.7719195152875671E-2</c:v>
                </c:pt>
                <c:pt idx="18">
                  <c:v>5.9353293482667151E-2</c:v>
                </c:pt>
                <c:pt idx="19">
                  <c:v>-2.4025036344117831E-2</c:v>
                </c:pt>
                <c:pt idx="20">
                  <c:v>-1.2398378799911269E-2</c:v>
                </c:pt>
                <c:pt idx="21">
                  <c:v>-2.6322443951974445E-2</c:v>
                </c:pt>
                <c:pt idx="22">
                  <c:v>0.10295221319535613</c:v>
                </c:pt>
                <c:pt idx="23">
                  <c:v>3.4845283844844019E-2</c:v>
                </c:pt>
                <c:pt idx="24">
                  <c:v>1.0280060755021128E-2</c:v>
                </c:pt>
                <c:pt idx="25">
                  <c:v>1.8917262002162864E-2</c:v>
                </c:pt>
                <c:pt idx="26">
                  <c:v>3.6912925221066518E-2</c:v>
                </c:pt>
                <c:pt idx="27">
                  <c:v>-6.9653371197505847E-3</c:v>
                </c:pt>
                <c:pt idx="28">
                  <c:v>-5.5295708204223708E-3</c:v>
                </c:pt>
                <c:pt idx="29">
                  <c:v>9.6453767631042409E-2</c:v>
                </c:pt>
                <c:pt idx="30">
                  <c:v>3.0064731901799667E-2</c:v>
                </c:pt>
                <c:pt idx="31">
                  <c:v>4.3922361187540337E-2</c:v>
                </c:pt>
                <c:pt idx="32">
                  <c:v>-6.9880862188618276E-2</c:v>
                </c:pt>
                <c:pt idx="33">
                  <c:v>-8.430926021967719E-2</c:v>
                </c:pt>
                <c:pt idx="34">
                  <c:v>-1.9042349721324098E-2</c:v>
                </c:pt>
                <c:pt idx="35">
                  <c:v>4.7689215188009195E-3</c:v>
                </c:pt>
                <c:pt idx="36">
                  <c:v>-4.4916754747670512E-2</c:v>
                </c:pt>
                <c:pt idx="37">
                  <c:v>-8.0050320838297245E-2</c:v>
                </c:pt>
                <c:pt idx="38">
                  <c:v>7.170451517578999E-2</c:v>
                </c:pt>
                <c:pt idx="39">
                  <c:v>-2.468791952237984E-2</c:v>
                </c:pt>
                <c:pt idx="40">
                  <c:v>-8.41160043932698E-2</c:v>
                </c:pt>
                <c:pt idx="41">
                  <c:v>9.5415325854449812E-2</c:v>
                </c:pt>
                <c:pt idx="42">
                  <c:v>0.10033445854232681</c:v>
                </c:pt>
                <c:pt idx="43">
                  <c:v>-4.0487837367837426E-2</c:v>
                </c:pt>
                <c:pt idx="44">
                  <c:v>-1.7570165506510423E-3</c:v>
                </c:pt>
                <c:pt idx="45">
                  <c:v>-5.9089760716784387E-2</c:v>
                </c:pt>
                <c:pt idx="46">
                  <c:v>5.1695231931375263E-2</c:v>
                </c:pt>
                <c:pt idx="47">
                  <c:v>2.685492392744154E-2</c:v>
                </c:pt>
                <c:pt idx="48">
                  <c:v>-7.6520702260581858E-2</c:v>
                </c:pt>
                <c:pt idx="49">
                  <c:v>0.10367442275997045</c:v>
                </c:pt>
                <c:pt idx="50">
                  <c:v>2.8124672063592381E-2</c:v>
                </c:pt>
                <c:pt idx="51">
                  <c:v>-1.7715357199165727E-2</c:v>
                </c:pt>
                <c:pt idx="52">
                  <c:v>-5.1782959378486204E-2</c:v>
                </c:pt>
                <c:pt idx="53">
                  <c:v>-3.4158735592998236E-2</c:v>
                </c:pt>
                <c:pt idx="54">
                  <c:v>7.4105433251281869E-2</c:v>
                </c:pt>
                <c:pt idx="55">
                  <c:v>6.3725045320465745E-2</c:v>
                </c:pt>
                <c:pt idx="56">
                  <c:v>3.3313656584493148E-3</c:v>
                </c:pt>
                <c:pt idx="57">
                  <c:v>4.0579541825156329E-2</c:v>
                </c:pt>
                <c:pt idx="58">
                  <c:v>-1.0087392322958803E-2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C-C746-BC9D-8A3CDEEB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13183"/>
        <c:axId val="1549139888"/>
      </c:lineChart>
      <c:dateAx>
        <c:axId val="12781318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139888"/>
        <c:crosses val="autoZero"/>
        <c:auto val="1"/>
        <c:lblOffset val="100"/>
        <c:baseTimeUnit val="months"/>
      </c:dateAx>
      <c:valAx>
        <c:axId val="15491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182539174517015"/>
          <c:y val="0.74198463280574634"/>
          <c:w val="0.34480221279694551"/>
          <c:h val="0.230126918062858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Hypothetical Growth of the</a:t>
            </a:r>
            <a:r>
              <a:rPr lang="en-US" b="1" baseline="0"/>
              <a:t> Prices</a:t>
            </a:r>
            <a:br>
              <a:rPr lang="en-US" b="1" baseline="0"/>
            </a:br>
            <a:r>
              <a: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59 months Back Data Tracking (2019 -2024)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SPDR SPY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'Data. Securities'!$C$38:$C$97</c:f>
              <c:numCache>
                <c:formatCode>0.00</c:formatCode>
                <c:ptCount val="60"/>
                <c:pt idx="0">
                  <c:v>113.80590100000001</c:v>
                </c:pt>
                <c:pt idx="1">
                  <c:v>105.394104</c:v>
                </c:pt>
                <c:pt idx="2">
                  <c:v>112.514702</c:v>
                </c:pt>
                <c:pt idx="3">
                  <c:v>114.07710299999999</c:v>
                </c:pt>
                <c:pt idx="4">
                  <c:v>112.351555</c:v>
                </c:pt>
                <c:pt idx="5">
                  <c:v>114.9207</c:v>
                </c:pt>
                <c:pt idx="6">
                  <c:v>117.499405</c:v>
                </c:pt>
                <c:pt idx="7">
                  <c:v>118.47721900000001</c:v>
                </c:pt>
                <c:pt idx="8">
                  <c:v>120.720406</c:v>
                </c:pt>
                <c:pt idx="9">
                  <c:v>118.445061</c:v>
                </c:pt>
                <c:pt idx="10">
                  <c:v>109.515625</c:v>
                </c:pt>
                <c:pt idx="11">
                  <c:v>91.222854999999996</c:v>
                </c:pt>
                <c:pt idx="12">
                  <c:v>104.375908</c:v>
                </c:pt>
                <c:pt idx="13">
                  <c:v>112.11924</c:v>
                </c:pt>
                <c:pt idx="14">
                  <c:v>114.607124</c:v>
                </c:pt>
                <c:pt idx="15">
                  <c:v>120.24015799999999</c:v>
                </c:pt>
                <c:pt idx="16">
                  <c:v>131.872849</c:v>
                </c:pt>
                <c:pt idx="17">
                  <c:v>130.68151900000001</c:v>
                </c:pt>
                <c:pt idx="18">
                  <c:v>129.10269199999999</c:v>
                </c:pt>
                <c:pt idx="19">
                  <c:v>144.51290900000001</c:v>
                </c:pt>
                <c:pt idx="20">
                  <c:v>150.653717</c:v>
                </c:pt>
                <c:pt idx="21">
                  <c:v>151.17077599999999</c:v>
                </c:pt>
                <c:pt idx="22">
                  <c:v>153.23081999999999</c:v>
                </c:pt>
                <c:pt idx="23">
                  <c:v>158.42950400000001</c:v>
                </c:pt>
                <c:pt idx="24">
                  <c:v>164.745712</c:v>
                </c:pt>
                <c:pt idx="25">
                  <c:v>163.90034499999999</c:v>
                </c:pt>
                <c:pt idx="26">
                  <c:v>166.582245</c:v>
                </c:pt>
                <c:pt idx="27">
                  <c:v>165.30325300000001</c:v>
                </c:pt>
                <c:pt idx="28">
                  <c:v>164.522797</c:v>
                </c:pt>
                <c:pt idx="29">
                  <c:v>160.94238300000001</c:v>
                </c:pt>
                <c:pt idx="30">
                  <c:v>175.29325900000001</c:v>
                </c:pt>
                <c:pt idx="31">
                  <c:v>172.698196</c:v>
                </c:pt>
                <c:pt idx="32">
                  <c:v>174.912781</c:v>
                </c:pt>
                <c:pt idx="33">
                  <c:v>163.10536200000001</c:v>
                </c:pt>
                <c:pt idx="34">
                  <c:v>153.083496</c:v>
                </c:pt>
                <c:pt idx="35">
                  <c:v>153.29922500000001</c:v>
                </c:pt>
                <c:pt idx="36">
                  <c:v>138.44293200000001</c:v>
                </c:pt>
                <c:pt idx="37">
                  <c:v>136.197327</c:v>
                </c:pt>
                <c:pt idx="38">
                  <c:v>124.52803</c:v>
                </c:pt>
                <c:pt idx="39">
                  <c:v>139.314346</c:v>
                </c:pt>
                <c:pt idx="40">
                  <c:v>133.187408</c:v>
                </c:pt>
                <c:pt idx="41">
                  <c:v>120.273506</c:v>
                </c:pt>
                <c:pt idx="42">
                  <c:v>122.992226</c:v>
                </c:pt>
                <c:pt idx="43">
                  <c:v>134.635391</c:v>
                </c:pt>
                <c:pt idx="44">
                  <c:v>124.095474</c:v>
                </c:pt>
                <c:pt idx="45">
                  <c:v>143.23182700000001</c:v>
                </c:pt>
                <c:pt idx="46">
                  <c:v>137.65971400000001</c:v>
                </c:pt>
                <c:pt idx="47">
                  <c:v>143.6772</c:v>
                </c:pt>
                <c:pt idx="48">
                  <c:v>142.36088599999999</c:v>
                </c:pt>
                <c:pt idx="49">
                  <c:v>141.55920399999999</c:v>
                </c:pt>
                <c:pt idx="50">
                  <c:v>155.09854100000001</c:v>
                </c:pt>
                <c:pt idx="51">
                  <c:v>160.703247</c:v>
                </c:pt>
                <c:pt idx="52">
                  <c:v>154.02969400000001</c:v>
                </c:pt>
                <c:pt idx="53">
                  <c:v>145.981583</c:v>
                </c:pt>
                <c:pt idx="54">
                  <c:v>138.10279800000001</c:v>
                </c:pt>
                <c:pt idx="55">
                  <c:v>150.97181699999999</c:v>
                </c:pt>
                <c:pt idx="56">
                  <c:v>158.43225100000001</c:v>
                </c:pt>
                <c:pt idx="57">
                  <c:v>154.35000600000001</c:v>
                </c:pt>
                <c:pt idx="58">
                  <c:v>165.91999799999999</c:v>
                </c:pt>
                <c:pt idx="59">
                  <c:v>167.88000500000001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F-A246-92F7-49584B407F2D}"/>
            </c:ext>
          </c:extLst>
        </c:ser>
        <c:ser>
          <c:idx val="1"/>
          <c:order val="1"/>
          <c:tx>
            <c:v>Active Pf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'Data. Securities'!$AE$38:$AE$97</c:f>
              <c:numCache>
                <c:formatCode>0.00</c:formatCode>
                <c:ptCount val="60"/>
                <c:pt idx="0">
                  <c:v>113.80590100000001</c:v>
                </c:pt>
                <c:pt idx="1">
                  <c:v>106.63383612576808</c:v>
                </c:pt>
                <c:pt idx="2">
                  <c:v>114.45719811099804</c:v>
                </c:pt>
                <c:pt idx="3">
                  <c:v>119.34062648930212</c:v>
                </c:pt>
                <c:pt idx="4">
                  <c:v>120.73095092831802</c:v>
                </c:pt>
                <c:pt idx="5">
                  <c:v>123.6029404386809</c:v>
                </c:pt>
                <c:pt idx="6">
                  <c:v>125.44529409739381</c:v>
                </c:pt>
                <c:pt idx="7">
                  <c:v>124.19193239062211</c:v>
                </c:pt>
                <c:pt idx="8">
                  <c:v>125.03370893104164</c:v>
                </c:pt>
                <c:pt idx="9">
                  <c:v>126.97344332972365</c:v>
                </c:pt>
                <c:pt idx="10">
                  <c:v>117.26361448872315</c:v>
                </c:pt>
                <c:pt idx="11">
                  <c:v>103.09671271758086</c:v>
                </c:pt>
                <c:pt idx="12">
                  <c:v>115.97132334166952</c:v>
                </c:pt>
                <c:pt idx="13">
                  <c:v>127.92930126607708</c:v>
                </c:pt>
                <c:pt idx="14">
                  <c:v>129.86811458881519</c:v>
                </c:pt>
                <c:pt idx="15">
                  <c:v>139.36687086206106</c:v>
                </c:pt>
                <c:pt idx="16">
                  <c:v>149.3428903127153</c:v>
                </c:pt>
                <c:pt idx="17">
                  <c:v>143.67148435272989</c:v>
                </c:pt>
                <c:pt idx="18">
                  <c:v>141.12574128358054</c:v>
                </c:pt>
                <c:pt idx="19">
                  <c:v>149.50201882394384</c:v>
                </c:pt>
                <c:pt idx="20">
                  <c:v>145.91022738817961</c:v>
                </c:pt>
                <c:pt idx="21">
                  <c:v>144.10117711823978</c:v>
                </c:pt>
                <c:pt idx="22">
                  <c:v>140.30808196013137</c:v>
                </c:pt>
                <c:pt idx="23">
                  <c:v>154.75310952712232</c:v>
                </c:pt>
                <c:pt idx="24">
                  <c:v>160.14552555446716</c:v>
                </c:pt>
                <c:pt idx="25">
                  <c:v>161.79183128681186</c:v>
                </c:pt>
                <c:pt idx="26">
                  <c:v>164.85248974907421</c:v>
                </c:pt>
                <c:pt idx="27">
                  <c:v>170.93767737568842</c:v>
                </c:pt>
                <c:pt idx="28">
                  <c:v>169.74703882629959</c:v>
                </c:pt>
                <c:pt idx="29">
                  <c:v>168.80841055355256</c:v>
                </c:pt>
                <c:pt idx="30">
                  <c:v>185.09061775925053</c:v>
                </c:pt>
                <c:pt idx="31">
                  <c:v>190.65531755972088</c:v>
                </c:pt>
                <c:pt idx="32">
                  <c:v>199.02934927990415</c:v>
                </c:pt>
                <c:pt idx="33">
                  <c:v>185.12100675138481</c:v>
                </c:pt>
                <c:pt idx="34">
                  <c:v>169.51359162105368</c:v>
                </c:pt>
                <c:pt idx="35">
                  <c:v>166.28565452688787</c:v>
                </c:pt>
                <c:pt idx="36">
                  <c:v>167.07865776302904</c:v>
                </c:pt>
                <c:pt idx="37">
                  <c:v>159.5740266687171</c:v>
                </c:pt>
                <c:pt idx="38">
                  <c:v>146.8000746364273</c:v>
                </c:pt>
                <c:pt idx="39">
                  <c:v>157.32630281600211</c:v>
                </c:pt>
                <c:pt idx="40">
                  <c:v>153.44224371332709</c:v>
                </c:pt>
                <c:pt idx="41">
                  <c:v>140.53529526702368</c:v>
                </c:pt>
                <c:pt idx="42">
                  <c:v>153.94451625897807</c:v>
                </c:pt>
                <c:pt idx="43">
                  <c:v>169.39045594338307</c:v>
                </c:pt>
                <c:pt idx="44">
                  <c:v>162.53220271148354</c:v>
                </c:pt>
                <c:pt idx="45">
                  <c:v>162.24663094130568</c:v>
                </c:pt>
                <c:pt idx="46">
                  <c:v>152.65951634187951</c:v>
                </c:pt>
                <c:pt idx="47">
                  <c:v>160.55128544570454</c:v>
                </c:pt>
                <c:pt idx="48">
                  <c:v>164.86287800280189</c:v>
                </c:pt>
                <c:pt idx="49">
                  <c:v>152.24745480132685</c:v>
                </c:pt>
                <c:pt idx="50">
                  <c:v>168.03162179452909</c:v>
                </c:pt>
                <c:pt idx="51">
                  <c:v>172.7574560538138</c:v>
                </c:pt>
                <c:pt idx="52">
                  <c:v>169.69699601100132</c:v>
                </c:pt>
                <c:pt idx="53">
                  <c:v>160.90958335991249</c:v>
                </c:pt>
                <c:pt idx="54">
                  <c:v>155.41311544754174</c:v>
                </c:pt>
                <c:pt idx="55">
                  <c:v>166.93007170071331</c:v>
                </c:pt>
                <c:pt idx="56">
                  <c:v>177.56769808518987</c:v>
                </c:pt>
                <c:pt idx="57">
                  <c:v>178.15924101664078</c:v>
                </c:pt>
                <c:pt idx="58">
                  <c:v>185.38886138901367</c:v>
                </c:pt>
                <c:pt idx="59">
                  <c:v>183.51877121187604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F-A246-92F7-49584B40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204911"/>
        <c:axId val="940085008"/>
      </c:lineChart>
      <c:catAx>
        <c:axId val="120420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85008"/>
        <c:crosses val="autoZero"/>
        <c:auto val="1"/>
        <c:lblAlgn val="ctr"/>
        <c:lblOffset val="100"/>
        <c:noMultiLvlLbl val="0"/>
      </c:catAx>
      <c:valAx>
        <c:axId val="9400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20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4.png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7" Type="http://schemas.openxmlformats.org/officeDocument/2006/relationships/chart" Target="../charts/chart5.xml"/><Relationship Id="rId16" Type="http://schemas.openxmlformats.org/officeDocument/2006/relationships/chart" Target="../charts/chart4.xml"/><Relationship Id="rId1" Type="http://schemas.openxmlformats.org/officeDocument/2006/relationships/customXml" Target="../ink/ink1.xml"/><Relationship Id="rId15" Type="http://schemas.openxmlformats.org/officeDocument/2006/relationships/image" Target="../media/image23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474256</xdr:colOff>
      <xdr:row>9</xdr:row>
      <xdr:rowOff>94359</xdr:rowOff>
    </xdr:from>
    <xdr:to>
      <xdr:col>5</xdr:col>
      <xdr:colOff>704496</xdr:colOff>
      <xdr:row>11</xdr:row>
      <xdr:rowOff>198594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215802A-C0F4-9B4E-853F-C2CB4F1F7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2389" y="2075559"/>
          <a:ext cx="1209350" cy="510635"/>
        </a:xfrm>
        <a:prstGeom prst="rect">
          <a:avLst/>
        </a:prstGeom>
      </xdr:spPr>
    </xdr:pic>
    <xdr:clientData/>
  </xdr:twoCellAnchor>
  <xdr:twoCellAnchor>
    <xdr:from>
      <xdr:col>6</xdr:col>
      <xdr:colOff>138546</xdr:colOff>
      <xdr:row>9</xdr:row>
      <xdr:rowOff>11546</xdr:rowOff>
    </xdr:from>
    <xdr:to>
      <xdr:col>10</xdr:col>
      <xdr:colOff>258841</xdr:colOff>
      <xdr:row>20</xdr:row>
      <xdr:rowOff>204998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A9445C-1360-C157-7896-E6545AA11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88900</xdr:colOff>
      <xdr:row>19</xdr:row>
      <xdr:rowOff>50800</xdr:rowOff>
    </xdr:from>
    <xdr:to>
      <xdr:col>4</xdr:col>
      <xdr:colOff>447393</xdr:colOff>
      <xdr:row>20</xdr:row>
      <xdr:rowOff>173707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AB8B74-02B3-554E-B598-1F965802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4089400"/>
          <a:ext cx="4105597" cy="326107"/>
        </a:xfrm>
        <a:prstGeom prst="rect">
          <a:avLst/>
        </a:prstGeom>
      </xdr:spPr>
    </xdr:pic>
    <xdr:clientData/>
  </xdr:twoCellAnchor>
  <xdr:twoCellAnchor>
    <xdr:from>
      <xdr:col>6</xdr:col>
      <xdr:colOff>139700</xdr:colOff>
      <xdr:row>21</xdr:row>
      <xdr:rowOff>80818</xdr:rowOff>
    </xdr:from>
    <xdr:to>
      <xdr:col>10</xdr:col>
      <xdr:colOff>266701</xdr:colOff>
      <xdr:row>33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70E061-ACF1-AF9A-173E-A8F940752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336550</xdr:colOff>
      <xdr:row>9</xdr:row>
      <xdr:rowOff>23091</xdr:rowOff>
    </xdr:from>
    <xdr:to>
      <xdr:col>15</xdr:col>
      <xdr:colOff>646546</xdr:colOff>
      <xdr:row>33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9945C1-AF7B-B6DC-3750-37CA3095F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0</xdr:colOff>
      <xdr:row>33</xdr:row>
      <xdr:rowOff>101600</xdr:rowOff>
    </xdr:from>
    <xdr:to>
      <xdr:col>6</xdr:col>
      <xdr:colOff>558800</xdr:colOff>
      <xdr:row>75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97366-C1E3-4295-A8B5-C8F5DDCEA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"/>
          <a:ext cx="6642100" cy="859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570016</xdr:colOff>
      <xdr:row>33</xdr:row>
      <xdr:rowOff>101600</xdr:rowOff>
    </xdr:from>
    <xdr:to>
      <xdr:col>13</xdr:col>
      <xdr:colOff>787400</xdr:colOff>
      <xdr:row>76</xdr:row>
      <xdr:rowOff>16780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EC74C7-9422-7551-4421-C04CF8E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3316" y="6985000"/>
          <a:ext cx="6694384" cy="8652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269723</xdr:colOff>
      <xdr:row>30</xdr:row>
      <xdr:rowOff>193523</xdr:rowOff>
    </xdr:from>
    <xdr:to>
      <xdr:col>7</xdr:col>
      <xdr:colOff>125790</xdr:colOff>
      <xdr:row>32</xdr:row>
      <xdr:rowOff>32658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B0339E-4E3B-1444-A453-718EEFAA1CEA}"/>
            </a:ext>
          </a:extLst>
        </xdr:cNvPr>
        <xdr:cNvSpPr/>
      </xdr:nvSpPr>
      <xdr:spPr bwMode="auto">
        <a:xfrm>
          <a:off x="7407123" y="9464523"/>
          <a:ext cx="2726267" cy="2455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966291</xdr:colOff>
      <xdr:row>34</xdr:row>
      <xdr:rowOff>184137</xdr:rowOff>
    </xdr:from>
    <xdr:to>
      <xdr:col>3</xdr:col>
      <xdr:colOff>966651</xdr:colOff>
      <xdr:row>34</xdr:row>
      <xdr:rowOff>187377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5F1D512-692C-D347-94B6-EB3BFAA742E8}"/>
                </a:ext>
              </a:extLst>
            </xdr14:cNvPr>
            <xdr14:cNvContentPartPr/>
          </xdr14:nvContentPartPr>
          <xdr14:nvPr macro=""/>
          <xdr14:xfrm>
            <a:off x="4628880" y="8711280"/>
            <a:ext cx="360" cy="32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A699F80-900F-BFD6-CBC5-E8D9A133FD9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620240" y="870264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385680</xdr:colOff>
      <xdr:row>27</xdr:row>
      <xdr:rowOff>26827</xdr:rowOff>
    </xdr:from>
    <xdr:to>
      <xdr:col>5</xdr:col>
      <xdr:colOff>1899920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60F30D-89CD-FFCA-59A3-B3D44A23F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1693</xdr:colOff>
      <xdr:row>5</xdr:row>
      <xdr:rowOff>25401</xdr:rowOff>
    </xdr:from>
    <xdr:to>
      <xdr:col>12</xdr:col>
      <xdr:colOff>12211</xdr:colOff>
      <xdr:row>22</xdr:row>
      <xdr:rowOff>183065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DDF9CB-843C-3D4D-AC17-3F658F66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270055</xdr:colOff>
      <xdr:row>47</xdr:row>
      <xdr:rowOff>34504</xdr:rowOff>
    </xdr:from>
    <xdr:to>
      <xdr:col>7</xdr:col>
      <xdr:colOff>201302</xdr:colOff>
      <xdr:row>49</xdr:row>
      <xdr:rowOff>215816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B0C4EE-E423-5442-B412-20A32DBF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1755" y="10042104"/>
          <a:ext cx="2039447" cy="651212"/>
        </a:xfrm>
        <a:prstGeom prst="rect">
          <a:avLst/>
        </a:prstGeom>
      </xdr:spPr>
    </xdr:pic>
    <xdr:clientData/>
  </xdr:twoCellAnchor>
  <xdr:twoCellAnchor>
    <xdr:from>
      <xdr:col>5</xdr:col>
      <xdr:colOff>98754</xdr:colOff>
      <xdr:row>54</xdr:row>
      <xdr:rowOff>127000</xdr:rowOff>
    </xdr:from>
    <xdr:to>
      <xdr:col>9</xdr:col>
      <xdr:colOff>1019504</xdr:colOff>
      <xdr:row>68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B18529-F806-CA12-860B-F919F1A77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682236</xdr:colOff>
      <xdr:row>0</xdr:row>
      <xdr:rowOff>294618</xdr:rowOff>
    </xdr:from>
    <xdr:to>
      <xdr:col>17</xdr:col>
      <xdr:colOff>183066</xdr:colOff>
      <xdr:row>2</xdr:row>
      <xdr:rowOff>87284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BE2D4-980F-CA49-86D4-0765AD34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0872" y="294618"/>
          <a:ext cx="5562194" cy="600848"/>
        </a:xfrm>
        <a:prstGeom prst="rect">
          <a:avLst/>
        </a:prstGeom>
      </xdr:spPr>
    </xdr:pic>
    <xdr:clientData/>
  </xdr:twoCellAnchor>
  <xdr:twoCellAnchor editAs="oneCell">
    <xdr:from>
      <xdr:col>17</xdr:col>
      <xdr:colOff>347617</xdr:colOff>
      <xdr:row>1</xdr:row>
      <xdr:rowOff>53587</xdr:rowOff>
    </xdr:from>
    <xdr:to>
      <xdr:col>21</xdr:col>
      <xdr:colOff>765712</xdr:colOff>
      <xdr:row>2</xdr:row>
      <xdr:rowOff>33398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341784-C396-6E48-9B6C-6EDAD816A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18093" y="250135"/>
          <a:ext cx="4470000" cy="403144"/>
        </a:xfrm>
        <a:prstGeom prst="rect">
          <a:avLst/>
        </a:prstGeom>
      </xdr:spPr>
    </xdr:pic>
    <xdr:clientData/>
  </xdr:twoCellAnchor>
  <xdr:twoCellAnchor>
    <xdr:from>
      <xdr:col>21</xdr:col>
      <xdr:colOff>740833</xdr:colOff>
      <xdr:row>16</xdr:row>
      <xdr:rowOff>153516</xdr:rowOff>
    </xdr:from>
    <xdr:to>
      <xdr:col>35</xdr:col>
      <xdr:colOff>5346</xdr:colOff>
      <xdr:row>33</xdr:row>
      <xdr:rowOff>257681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952893-9C6D-C2BA-A425-23BD1AAAF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740833</xdr:colOff>
      <xdr:row>1</xdr:row>
      <xdr:rowOff>19353</xdr:rowOff>
    </xdr:from>
    <xdr:to>
      <xdr:col>29</xdr:col>
      <xdr:colOff>508001</xdr:colOff>
      <xdr:row>16</xdr:row>
      <xdr:rowOff>83736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D28905-FA1F-8E8E-C3D5-59AE92E1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584200</xdr:colOff>
      <xdr:row>1</xdr:row>
      <xdr:rowOff>12700</xdr:rowOff>
    </xdr:from>
    <xdr:to>
      <xdr:col>35</xdr:col>
      <xdr:colOff>12700</xdr:colOff>
      <xdr:row>16</xdr:row>
      <xdr:rowOff>69780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167ED6-7A12-E54C-7B35-8ADD4B90F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bumchanahn/Desktop/HULT/HULT%20Professor%20PG/PG%202023%20Spring_Investment%20/2023%20Spring_Investments_Excel_Application_Ch16.%20Holding%20Period%20Immunization.xls" TargetMode="External"/><Relationship Id="rId1" Type="http://schemas.openxmlformats.org/officeDocument/2006/relationships/externalLinkPath" Target="/Users/paulbumchanahn/Desktop/HULT/HULT%20Professor%20PG/PG%202023%20Spring_Investment%20/2023%20Spring_Investments_Excel_Application_Ch16.%20Holding%20Period%20Immuniz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ahn/Desktop/Accounting%20TA/Performance%20Management/C:\Users\John\Accounting%20HULT%20My%20Files\accounting%20hult%20team%20files\Managerial%20Accounting\Chapter%202\C-V-P%20Graph%20for%20Class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ration Concept"/>
      <sheetName val="Duration Function"/>
      <sheetName val="Convexity (2)"/>
      <sheetName val="Convexity"/>
      <sheetName val="Immunization"/>
      <sheetName val="Book Model"/>
      <sheetName val="OLC Model"/>
    </sheetNames>
    <sheetDataSet>
      <sheetData sheetId="0" refreshError="1"/>
      <sheetData sheetId="1" refreshError="1"/>
      <sheetData sheetId="2" refreshError="1"/>
      <sheetData sheetId="3">
        <row r="7">
          <cell r="C7">
            <v>8</v>
          </cell>
        </row>
        <row r="8">
          <cell r="C8">
            <v>0.08</v>
          </cell>
        </row>
        <row r="9">
          <cell r="C9">
            <v>30</v>
          </cell>
        </row>
        <row r="10">
          <cell r="C10">
            <v>100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Case"/>
      <sheetName val="FCFF vs. FCFE"/>
    </sheetNames>
    <sheetDataSet>
      <sheetData sheetId="0" refreshError="1"/>
      <sheetData sheetId="1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18:43:07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21733,'0'4'0,"0"-1"0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913-5181-C441-BCD3-088691783E99}">
  <sheetPr>
    <pageSetUpPr fitToPage="1"/>
  </sheetPr>
  <dimension ref="A2:H47"/>
  <sheetViews>
    <sheetView showGridLines="0" topLeftCell="A2" zoomScaleNormal="100" workbookViewId="0">
      <selection activeCell="C32" sqref="C32"/>
    </sheetView>
  </sheetViews>
  <sheetFormatPr baseColWidth="10" defaultRowHeight="16"/>
  <cols>
    <col min="1" max="1" width="3" style="109" customWidth="1"/>
    <col min="2" max="2" width="16.83203125" style="109" customWidth="1"/>
    <col min="3" max="3" width="19.5" style="109" customWidth="1"/>
    <col min="4" max="5" width="12.83203125" style="109" customWidth="1"/>
    <col min="6" max="6" width="14.83203125" style="109" customWidth="1"/>
    <col min="7" max="7" width="14.1640625" style="109" customWidth="1"/>
    <col min="8" max="8" width="10.83203125" style="109"/>
    <col min="9" max="9" width="14" style="109" customWidth="1"/>
    <col min="10" max="10" width="13.5" style="109" customWidth="1"/>
    <col min="11" max="16384" width="10.83203125" style="109"/>
  </cols>
  <sheetData>
    <row r="2" spans="1:5" ht="25">
      <c r="B2" s="183" t="s">
        <v>78</v>
      </c>
      <c r="C2" s="183"/>
    </row>
    <row r="3" spans="1:5" ht="18">
      <c r="B3" s="111" t="s">
        <v>56</v>
      </c>
      <c r="C3" s="111"/>
    </row>
    <row r="5" spans="1:5">
      <c r="B5" s="157" t="s">
        <v>79</v>
      </c>
      <c r="C5" s="157"/>
      <c r="D5" s="192"/>
    </row>
    <row r="6" spans="1:5">
      <c r="B6" s="125" t="s">
        <v>80</v>
      </c>
      <c r="C6" s="125"/>
      <c r="D6" s="148">
        <v>0.05</v>
      </c>
    </row>
    <row r="7" spans="1:5">
      <c r="B7" s="125" t="s">
        <v>81</v>
      </c>
      <c r="C7" s="125"/>
      <c r="D7" s="140">
        <f>'Asset Classes Allocation'!D26</f>
        <v>0.15482138609561627</v>
      </c>
    </row>
    <row r="8" spans="1:5">
      <c r="B8" s="125" t="s">
        <v>82</v>
      </c>
      <c r="C8" s="125"/>
      <c r="D8" s="140">
        <f>'Asset Classes Allocation'!E26</f>
        <v>0.18519129117947289</v>
      </c>
    </row>
    <row r="10" spans="1:5">
      <c r="A10" s="139"/>
      <c r="B10" s="190" t="s">
        <v>83</v>
      </c>
      <c r="C10" s="190"/>
      <c r="D10" s="191"/>
    </row>
    <row r="11" spans="1:5">
      <c r="B11" s="125" t="s">
        <v>84</v>
      </c>
      <c r="C11" s="125"/>
      <c r="D11" s="147">
        <f>(D7-D6)/(D17*D8^2)</f>
        <v>0.42449861977534786</v>
      </c>
      <c r="E11" s="127"/>
    </row>
    <row r="12" spans="1:5">
      <c r="B12" s="135" t="s">
        <v>85</v>
      </c>
      <c r="C12" s="135"/>
      <c r="D12" s="208">
        <f>1-D11</f>
        <v>0.57550138022465214</v>
      </c>
    </row>
    <row r="13" spans="1:5">
      <c r="B13" s="125" t="s">
        <v>74</v>
      </c>
      <c r="C13" s="125"/>
      <c r="D13" s="140">
        <f>D11*D7+D12*D6</f>
        <v>9.449653372052795E-2</v>
      </c>
    </row>
    <row r="14" spans="1:5">
      <c r="B14" s="125" t="s">
        <v>75</v>
      </c>
      <c r="C14" s="125"/>
      <c r="D14" s="140">
        <f>D11*D8</f>
        <v>7.8613447500100797E-2</v>
      </c>
    </row>
    <row r="15" spans="1:5">
      <c r="B15" s="135" t="s">
        <v>146</v>
      </c>
      <c r="C15" s="135"/>
      <c r="D15" s="184">
        <f>(D7-D6)/D8</f>
        <v>0.56601682200072567</v>
      </c>
    </row>
    <row r="16" spans="1:5" ht="19" customHeight="1">
      <c r="B16" s="109" t="s">
        <v>90</v>
      </c>
      <c r="D16" s="142">
        <v>64</v>
      </c>
    </row>
    <row r="17" spans="2:6">
      <c r="B17" s="109" t="s">
        <v>93</v>
      </c>
      <c r="D17" s="142">
        <f>20*(1-D16/100)</f>
        <v>7.1999999999999993</v>
      </c>
      <c r="F17" s="161"/>
    </row>
    <row r="18" spans="2:6">
      <c r="B18" s="135" t="s">
        <v>91</v>
      </c>
      <c r="C18" s="135"/>
      <c r="D18" s="162">
        <f>D13-1/2*D17*D14^2</f>
        <v>7.2248266860263977E-2</v>
      </c>
    </row>
    <row r="19" spans="2:6">
      <c r="B19" s="163" t="s">
        <v>111</v>
      </c>
      <c r="C19" s="163"/>
      <c r="D19" s="125"/>
    </row>
    <row r="21" spans="2:6">
      <c r="F21" s="162">
        <v>6.6821626096194908E-2</v>
      </c>
    </row>
    <row r="22" spans="2:6">
      <c r="B22" s="114" t="s">
        <v>143</v>
      </c>
      <c r="C22" s="114" t="s">
        <v>140</v>
      </c>
      <c r="D22" s="114" t="s">
        <v>141</v>
      </c>
      <c r="E22" s="114" t="s">
        <v>144</v>
      </c>
      <c r="F22" s="114" t="s">
        <v>142</v>
      </c>
    </row>
    <row r="23" spans="2:6">
      <c r="B23" s="113" t="s">
        <v>145</v>
      </c>
      <c r="C23" s="185">
        <f>D13</f>
        <v>9.449653372052795E-2</v>
      </c>
      <c r="D23" s="185">
        <f>D14</f>
        <v>7.8613447500100797E-2</v>
      </c>
      <c r="E23" s="185">
        <f>D18</f>
        <v>7.2248266860263977E-2</v>
      </c>
      <c r="F23" s="185">
        <f t="shared" ref="F23:F33" si="0">$F$21+1/2*$D$17*D23^2</f>
        <v>8.9069892956458882E-2</v>
      </c>
    </row>
    <row r="24" spans="2:6">
      <c r="B24" s="186">
        <v>0.1</v>
      </c>
      <c r="C24" s="187">
        <f t="dataTable" ref="C24:E33" dt2D="0" dtr="0" r1="D11"/>
        <v>6.0482138609561635E-2</v>
      </c>
      <c r="D24" s="187">
        <v>1.851912911794729E-2</v>
      </c>
      <c r="E24" s="187">
        <v>5.9247489293727702E-2</v>
      </c>
      <c r="F24" s="188">
        <f t="shared" si="0"/>
        <v>6.8056275412028841E-2</v>
      </c>
    </row>
    <row r="25" spans="2:6">
      <c r="B25" s="186">
        <v>0.2</v>
      </c>
      <c r="C25" s="187">
        <v>7.0964277219123267E-2</v>
      </c>
      <c r="D25" s="187">
        <v>3.7038258235894579E-2</v>
      </c>
      <c r="E25" s="187">
        <v>6.6025679955787536E-2</v>
      </c>
      <c r="F25" s="188">
        <f t="shared" si="0"/>
        <v>7.1760223359530639E-2</v>
      </c>
    </row>
    <row r="26" spans="2:6">
      <c r="B26" s="186">
        <v>0.3</v>
      </c>
      <c r="C26" s="187">
        <v>8.1446415828684879E-2</v>
      </c>
      <c r="D26" s="187">
        <v>5.5557387353841865E-2</v>
      </c>
      <c r="E26" s="187">
        <v>7.0334571986179498E-2</v>
      </c>
      <c r="F26" s="188">
        <f t="shared" si="0"/>
        <v>7.7933469938700289E-2</v>
      </c>
    </row>
    <row r="27" spans="2:6">
      <c r="B27" s="186">
        <v>0.4</v>
      </c>
      <c r="C27" s="187">
        <v>9.1928554438246518E-2</v>
      </c>
      <c r="D27" s="187">
        <v>7.4076516471789158E-2</v>
      </c>
      <c r="E27" s="187">
        <v>7.2174165384903621E-2</v>
      </c>
      <c r="F27" s="188">
        <f t="shared" si="0"/>
        <v>8.6576015149537805E-2</v>
      </c>
    </row>
    <row r="28" spans="2:6">
      <c r="B28" s="186">
        <v>0.5</v>
      </c>
      <c r="C28" s="187">
        <v>0.10241069304780814</v>
      </c>
      <c r="D28" s="187">
        <v>9.2595645589736444E-2</v>
      </c>
      <c r="E28" s="187">
        <v>7.1544460151959866E-2</v>
      </c>
      <c r="F28" s="188">
        <f t="shared" si="0"/>
        <v>9.7687858992043186E-2</v>
      </c>
    </row>
    <row r="29" spans="2:6">
      <c r="B29" s="119">
        <v>0.6</v>
      </c>
      <c r="C29" s="198">
        <v>0.11289283165736977</v>
      </c>
      <c r="D29" s="198">
        <v>0.11111477470768373</v>
      </c>
      <c r="E29" s="198">
        <v>6.8445456287348244E-2</v>
      </c>
      <c r="F29" s="188">
        <f t="shared" si="0"/>
        <v>0.11126900146621643</v>
      </c>
    </row>
    <row r="30" spans="2:6">
      <c r="B30" s="119">
        <v>0.7</v>
      </c>
      <c r="C30" s="198">
        <v>0.12337497026693138</v>
      </c>
      <c r="D30" s="198">
        <v>0.129633903825631</v>
      </c>
      <c r="E30" s="198">
        <v>6.2877153791068771E-2</v>
      </c>
      <c r="F30" s="188">
        <f t="shared" si="0"/>
        <v>0.12731944257205752</v>
      </c>
    </row>
    <row r="31" spans="2:6">
      <c r="B31" s="119">
        <v>0.8</v>
      </c>
      <c r="C31" s="198">
        <v>0.13385710887649302</v>
      </c>
      <c r="D31" s="198">
        <v>0.14815303294357832</v>
      </c>
      <c r="E31" s="198">
        <v>5.4839552663121419E-2</v>
      </c>
      <c r="F31" s="188">
        <f t="shared" si="0"/>
        <v>0.1458391823095665</v>
      </c>
    </row>
    <row r="32" spans="2:6">
      <c r="B32" s="186">
        <v>0.9</v>
      </c>
      <c r="C32" s="187">
        <v>0.14433924748605464</v>
      </c>
      <c r="D32" s="187">
        <v>0.1666721620615256</v>
      </c>
      <c r="E32" s="187">
        <v>4.4332652903506228E-2</v>
      </c>
      <c r="F32" s="188">
        <f t="shared" si="0"/>
        <v>0.16682822067874331</v>
      </c>
    </row>
    <row r="33" spans="2:8">
      <c r="B33" s="189">
        <v>1</v>
      </c>
      <c r="C33" s="187">
        <v>0.15482138609561627</v>
      </c>
      <c r="D33" s="187">
        <v>0.18519129117947289</v>
      </c>
      <c r="E33" s="187">
        <v>3.1356454512223145E-2</v>
      </c>
      <c r="F33" s="188">
        <f t="shared" si="0"/>
        <v>0.19028655767958802</v>
      </c>
    </row>
    <row r="34" spans="2:8">
      <c r="B34" s="113"/>
      <c r="C34" s="113"/>
      <c r="E34" s="125"/>
    </row>
    <row r="35" spans="2:8">
      <c r="B35"/>
      <c r="C35" s="113"/>
      <c r="E35" s="125"/>
      <c r="H35"/>
    </row>
    <row r="36" spans="2:8">
      <c r="B36" s="113"/>
      <c r="C36" s="113"/>
      <c r="E36" s="125"/>
    </row>
    <row r="37" spans="2:8">
      <c r="B37" s="113"/>
      <c r="C37" s="113"/>
      <c r="E37" s="125"/>
    </row>
    <row r="38" spans="2:8">
      <c r="B38" s="113"/>
      <c r="C38" s="113"/>
      <c r="E38" s="125"/>
    </row>
    <row r="39" spans="2:8">
      <c r="B39" s="113"/>
      <c r="C39" s="113"/>
      <c r="E39" s="125"/>
    </row>
    <row r="40" spans="2:8">
      <c r="B40" s="113"/>
      <c r="C40" s="113"/>
      <c r="E40" s="125"/>
    </row>
    <row r="41" spans="2:8">
      <c r="B41" s="113"/>
      <c r="C41" s="113"/>
      <c r="E41" s="125"/>
    </row>
    <row r="42" spans="2:8">
      <c r="B42" s="113"/>
      <c r="C42" s="113"/>
      <c r="E42" s="125"/>
    </row>
    <row r="43" spans="2:8">
      <c r="B43" s="121"/>
      <c r="C43" s="121"/>
      <c r="E43" s="125"/>
    </row>
    <row r="44" spans="2:8">
      <c r="E44" s="125"/>
    </row>
    <row r="45" spans="2:8">
      <c r="E45" s="125"/>
    </row>
    <row r="46" spans="2:8">
      <c r="E46" s="125"/>
    </row>
    <row r="47" spans="2:8">
      <c r="E47" s="125"/>
    </row>
  </sheetData>
  <pageMargins left="0.25" right="0.25" top="0.75" bottom="0.75" header="0.3" footer="0.3"/>
  <pageSetup scale="53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0FDF-70B1-9E43-B59B-762D687F23F5}">
  <sheetPr>
    <pageSetUpPr fitToPage="1"/>
  </sheetPr>
  <dimension ref="A2:L37"/>
  <sheetViews>
    <sheetView showGridLines="0" topLeftCell="A2" zoomScale="105" workbookViewId="0">
      <selection activeCell="H27" sqref="H27"/>
    </sheetView>
  </sheetViews>
  <sheetFormatPr baseColWidth="10" defaultColWidth="8.83203125" defaultRowHeight="16"/>
  <cols>
    <col min="1" max="1" width="2.33203125" style="109" customWidth="1"/>
    <col min="2" max="2" width="21.5" style="109" customWidth="1"/>
    <col min="3" max="3" width="26.5" style="109" customWidth="1"/>
    <col min="4" max="6" width="25" style="109" customWidth="1"/>
    <col min="7" max="7" width="3" style="109" customWidth="1"/>
    <col min="8" max="8" width="14.33203125" style="109" customWidth="1"/>
    <col min="9" max="16384" width="8.83203125" style="109"/>
  </cols>
  <sheetData>
    <row r="2" spans="2:12" ht="30">
      <c r="B2" s="108" t="s">
        <v>55</v>
      </c>
    </row>
    <row r="3" spans="2:12" ht="20">
      <c r="B3" s="110" t="s">
        <v>56</v>
      </c>
    </row>
    <row r="4" spans="2:12">
      <c r="C4" s="112"/>
      <c r="D4" s="112"/>
      <c r="E4" s="112"/>
      <c r="F4" s="113"/>
    </row>
    <row r="5" spans="2:12">
      <c r="B5" s="157" t="s">
        <v>57</v>
      </c>
      <c r="C5" s="114" t="s">
        <v>58</v>
      </c>
      <c r="D5" s="114" t="s">
        <v>25</v>
      </c>
      <c r="E5" s="114" t="s">
        <v>59</v>
      </c>
      <c r="F5" s="114" t="s">
        <v>60</v>
      </c>
      <c r="H5" s="122" t="s">
        <v>151</v>
      </c>
      <c r="I5" s="207"/>
      <c r="J5" s="207"/>
      <c r="K5" s="207"/>
      <c r="L5" s="207"/>
    </row>
    <row r="6" spans="2:12">
      <c r="B6" s="158" t="s">
        <v>87</v>
      </c>
      <c r="C6" s="140">
        <f>5.28%*2-('Data. Securities'!L7+C8)</f>
        <v>8.7391590847841968E-2</v>
      </c>
      <c r="D6" s="140">
        <f>'Data. Securities'!L8</f>
        <v>0.10650266702262463</v>
      </c>
      <c r="E6" s="229">
        <f>CORREL('Data. Securities'!AF39:AF97,'Data. Securities'!AI39:AI97)</f>
        <v>0.60354133678374144</v>
      </c>
      <c r="F6" s="229">
        <f>$D$6*$D$7*$E$6</f>
        <v>1.2202591477947736E-2</v>
      </c>
    </row>
    <row r="7" spans="2:12">
      <c r="B7" s="158" t="s">
        <v>86</v>
      </c>
      <c r="C7" s="140">
        <f>'Security Allocation'!C56+C8</f>
        <v>0.15742871180684354</v>
      </c>
      <c r="D7" s="140">
        <f>'Security Allocation'!C57</f>
        <v>0.18983861999453072</v>
      </c>
      <c r="E7" s="230"/>
      <c r="F7" s="230"/>
    </row>
    <row r="8" spans="2:12">
      <c r="B8" s="158" t="s">
        <v>61</v>
      </c>
      <c r="C8" s="140">
        <v>5.0299999999999997E-2</v>
      </c>
      <c r="D8" s="140">
        <v>0</v>
      </c>
      <c r="E8" s="115"/>
    </row>
    <row r="9" spans="2:12">
      <c r="B9" s="116"/>
      <c r="C9" s="117"/>
      <c r="D9" s="117"/>
      <c r="E9" s="117"/>
      <c r="F9" s="118"/>
    </row>
    <row r="10" spans="2:12">
      <c r="B10" s="227" t="s">
        <v>62</v>
      </c>
      <c r="C10" s="228"/>
      <c r="D10" s="119"/>
      <c r="E10" s="119"/>
      <c r="F10" s="119" t="s">
        <v>63</v>
      </c>
    </row>
    <row r="11" spans="2:12">
      <c r="B11" s="114" t="s">
        <v>64</v>
      </c>
      <c r="C11" s="120" t="s">
        <v>65</v>
      </c>
      <c r="D11" s="114" t="s">
        <v>58</v>
      </c>
      <c r="E11" s="114" t="s">
        <v>25</v>
      </c>
      <c r="F11" s="114" t="s">
        <v>66</v>
      </c>
    </row>
    <row r="12" spans="2:12">
      <c r="B12" s="189">
        <v>1</v>
      </c>
      <c r="C12" s="193">
        <v>0</v>
      </c>
      <c r="D12" s="141">
        <f>$C$6*$B12+$C$7*$C12</f>
        <v>8.7391590847841968E-2</v>
      </c>
      <c r="E12" s="141">
        <f>($B12^2*$D$6^2+$C12^2*$D$7^2+2*$B12*$C12*$F$6)^0.5</f>
        <v>0.10650266702262463</v>
      </c>
      <c r="F12" s="141">
        <f>(D12-$C$8)/E12</f>
        <v>0.34826912681879141</v>
      </c>
    </row>
    <row r="13" spans="2:12">
      <c r="B13" s="189">
        <v>0.9</v>
      </c>
      <c r="C13" s="193">
        <v>0.1</v>
      </c>
      <c r="D13" s="141">
        <f t="shared" ref="D13:D22" si="0">$C$6*$B13+$C$7*$C13</f>
        <v>9.4395302943742126E-2</v>
      </c>
      <c r="E13" s="141">
        <f t="shared" ref="E13:E22" si="1">($B13^2*$D$6^2+$C13^2*$D$7^2+2*$B13*$C13*$F$6)^0.5</f>
        <v>0.10837221105809292</v>
      </c>
      <c r="F13" s="141">
        <f t="shared" ref="F13:F22" si="2">(D13-$C$8)/E13</f>
        <v>0.40688754536995508</v>
      </c>
    </row>
    <row r="14" spans="2:12">
      <c r="B14" s="189">
        <v>0.8</v>
      </c>
      <c r="C14" s="193">
        <v>0.2</v>
      </c>
      <c r="D14" s="141">
        <f t="shared" si="0"/>
        <v>0.10139901503964228</v>
      </c>
      <c r="E14" s="141">
        <f t="shared" si="1"/>
        <v>0.11227546887756429</v>
      </c>
      <c r="F14" s="141">
        <f t="shared" si="2"/>
        <v>0.45512181378966632</v>
      </c>
    </row>
    <row r="15" spans="2:12">
      <c r="B15" s="189">
        <v>0.7</v>
      </c>
      <c r="C15" s="193">
        <v>0.3</v>
      </c>
      <c r="D15" s="141">
        <f t="shared" si="0"/>
        <v>0.10840272713554243</v>
      </c>
      <c r="E15" s="141">
        <f t="shared" si="1"/>
        <v>0.11801081488195589</v>
      </c>
      <c r="F15" s="141">
        <f t="shared" si="2"/>
        <v>0.4923508679578355</v>
      </c>
    </row>
    <row r="16" spans="2:12">
      <c r="B16" s="189">
        <v>0.6</v>
      </c>
      <c r="C16" s="193">
        <v>0.4</v>
      </c>
      <c r="D16" s="141">
        <f t="shared" si="0"/>
        <v>0.1154064392314426</v>
      </c>
      <c r="E16" s="141">
        <f t="shared" si="1"/>
        <v>0.12532697507679225</v>
      </c>
      <c r="F16" s="141">
        <f t="shared" si="2"/>
        <v>0.51949262472464208</v>
      </c>
    </row>
    <row r="17" spans="1:7">
      <c r="B17" s="189">
        <v>0.5</v>
      </c>
      <c r="C17" s="193">
        <v>0.5</v>
      </c>
      <c r="D17" s="141">
        <f t="shared" si="0"/>
        <v>0.12241015132734276</v>
      </c>
      <c r="E17" s="141">
        <f t="shared" si="1"/>
        <v>0.13396520320614544</v>
      </c>
      <c r="F17" s="141">
        <f t="shared" si="2"/>
        <v>0.53827523566981628</v>
      </c>
    </row>
    <row r="18" spans="1:7">
      <c r="B18" s="189">
        <v>0.4</v>
      </c>
      <c r="C18" s="193">
        <v>0.6</v>
      </c>
      <c r="D18" s="141">
        <f t="shared" si="0"/>
        <v>0.1294138634232429</v>
      </c>
      <c r="E18" s="141">
        <f t="shared" si="1"/>
        <v>0.14368725550165562</v>
      </c>
      <c r="F18" s="141">
        <f t="shared" si="2"/>
        <v>0.55059763753599789</v>
      </c>
    </row>
    <row r="19" spans="1:7">
      <c r="B19" s="189">
        <v>0.3</v>
      </c>
      <c r="C19" s="193">
        <v>0.7</v>
      </c>
      <c r="D19" s="141">
        <f t="shared" si="0"/>
        <v>0.13641757551914305</v>
      </c>
      <c r="E19" s="141">
        <f t="shared" si="1"/>
        <v>0.15428838534543543</v>
      </c>
      <c r="F19" s="141">
        <f t="shared" si="2"/>
        <v>0.55815980785808905</v>
      </c>
    </row>
    <row r="20" spans="1:7">
      <c r="B20" s="189">
        <v>0.2</v>
      </c>
      <c r="C20" s="193">
        <v>0.8</v>
      </c>
      <c r="D20" s="141">
        <f t="shared" si="0"/>
        <v>0.14342128761504325</v>
      </c>
      <c r="E20" s="141">
        <f t="shared" si="1"/>
        <v>0.16559985219430112</v>
      </c>
      <c r="F20" s="141">
        <f t="shared" si="2"/>
        <v>0.56232711793596568</v>
      </c>
    </row>
    <row r="21" spans="1:7">
      <c r="B21" s="189">
        <v>0.1</v>
      </c>
      <c r="C21" s="193">
        <v>0.9</v>
      </c>
      <c r="D21" s="141">
        <f t="shared" si="0"/>
        <v>0.15042499971094339</v>
      </c>
      <c r="E21" s="141">
        <f t="shared" si="1"/>
        <v>0.17748589514780172</v>
      </c>
      <c r="F21" s="141">
        <f t="shared" si="2"/>
        <v>0.56412933336231652</v>
      </c>
    </row>
    <row r="22" spans="1:7">
      <c r="B22" s="194">
        <v>0</v>
      </c>
      <c r="C22" s="195">
        <v>1</v>
      </c>
      <c r="D22" s="196">
        <f t="shared" si="0"/>
        <v>0.15742871180684354</v>
      </c>
      <c r="E22" s="197">
        <f t="shared" si="1"/>
        <v>0.18983861999453072</v>
      </c>
      <c r="F22" s="197">
        <f t="shared" si="2"/>
        <v>0.56431463634707169</v>
      </c>
    </row>
    <row r="23" spans="1:7">
      <c r="B23" s="122" t="s">
        <v>147</v>
      </c>
      <c r="C23" s="123"/>
      <c r="D23" s="114" t="s">
        <v>58</v>
      </c>
      <c r="E23" s="114" t="s">
        <v>107</v>
      </c>
      <c r="F23" s="130" t="s">
        <v>26</v>
      </c>
    </row>
    <row r="24" spans="1:7">
      <c r="A24" s="112"/>
      <c r="B24" s="143">
        <v>1.0374199509710591</v>
      </c>
      <c r="C24" s="144">
        <f>1-$B$24</f>
        <v>-3.7419950971059102E-2</v>
      </c>
      <c r="D24" s="141">
        <f>$C$6*$B24+$C$7*$C24</f>
        <v>8.4770805215401993E-2</v>
      </c>
      <c r="E24" s="155">
        <f>((($B$24^2)*($D$6^2))+(($C$24^2)*($D$7^2))+(2*$B$24*$C$24*$F$6))^0.5</f>
        <v>0.10635151811167354</v>
      </c>
      <c r="F24" s="141">
        <f>(D24-$C$8)/E24</f>
        <v>0.3241214213717778</v>
      </c>
      <c r="G24" s="124" t="s">
        <v>67</v>
      </c>
    </row>
    <row r="25" spans="1:7">
      <c r="A25" s="127"/>
      <c r="B25" s="128" t="s">
        <v>68</v>
      </c>
      <c r="C25" s="129"/>
      <c r="D25" s="114" t="s">
        <v>58</v>
      </c>
      <c r="E25" s="114" t="s">
        <v>25</v>
      </c>
      <c r="F25" s="130" t="s">
        <v>69</v>
      </c>
      <c r="G25" s="125"/>
    </row>
    <row r="26" spans="1:7">
      <c r="A26" s="127"/>
      <c r="B26" s="145">
        <v>3.7227768296665922E-2</v>
      </c>
      <c r="C26" s="146">
        <f>1-B26</f>
        <v>0.96277223170333404</v>
      </c>
      <c r="D26" s="141">
        <f>$C$6*$B26+$C$7*$C26</f>
        <v>0.15482138609561627</v>
      </c>
      <c r="E26" s="141">
        <f>((($B$26^2)*($D$6^2))+(($C$26^2)*($D$7^2))+(2*$B$26*$C$26*$F$6))^0.5</f>
        <v>0.18519129117947289</v>
      </c>
      <c r="F26" s="155">
        <f>(D26-$C$8)/E26</f>
        <v>0.56439687541420258</v>
      </c>
      <c r="G26" s="124" t="s">
        <v>67</v>
      </c>
    </row>
    <row r="27" spans="1:7">
      <c r="A27" s="127"/>
      <c r="B27" s="131"/>
      <c r="C27" s="132"/>
      <c r="D27" s="125"/>
      <c r="E27" s="126"/>
      <c r="F27" s="133"/>
    </row>
    <row r="28" spans="1:7">
      <c r="B28" s="128" t="s">
        <v>92</v>
      </c>
      <c r="C28" s="128"/>
      <c r="D28" s="114"/>
    </row>
    <row r="29" spans="1:7">
      <c r="B29" s="125" t="s">
        <v>70</v>
      </c>
      <c r="D29" s="134">
        <f>(D26-C8)/('Capital Allocation'!D17*E26^2)</f>
        <v>0.4232836998942423</v>
      </c>
    </row>
    <row r="30" spans="1:7">
      <c r="B30" s="135" t="s">
        <v>71</v>
      </c>
      <c r="C30" s="117"/>
      <c r="D30" s="136">
        <f>1-D29</f>
        <v>0.5767163001057577</v>
      </c>
    </row>
    <row r="31" spans="1:7">
      <c r="B31" s="125" t="s">
        <v>72</v>
      </c>
      <c r="D31" s="137">
        <f>D29*B26</f>
        <v>1.5757907503418326E-2</v>
      </c>
    </row>
    <row r="32" spans="1:7">
      <c r="B32" s="135" t="s">
        <v>73</v>
      </c>
      <c r="C32" s="117"/>
      <c r="D32" s="138">
        <f>D29*C26</f>
        <v>0.40752579239082398</v>
      </c>
    </row>
    <row r="33" spans="2:4">
      <c r="B33" s="125" t="s">
        <v>108</v>
      </c>
      <c r="D33" s="156">
        <f>D29*D26+D30*C8</f>
        <v>9.4542199024627072E-2</v>
      </c>
    </row>
    <row r="34" spans="2:4">
      <c r="B34" s="125" t="s">
        <v>109</v>
      </c>
      <c r="D34" s="156">
        <f>D29*E26</f>
        <v>7.8388454918639244E-2</v>
      </c>
    </row>
    <row r="35" spans="2:4">
      <c r="B35" s="125" t="s">
        <v>76</v>
      </c>
      <c r="D35" s="141">
        <f>(D33-C8)/D34</f>
        <v>0.56439687541420269</v>
      </c>
    </row>
    <row r="37" spans="2:4">
      <c r="C37" s="109" t="s">
        <v>77</v>
      </c>
    </row>
  </sheetData>
  <mergeCells count="3">
    <mergeCell ref="B10:C10"/>
    <mergeCell ref="E6:E7"/>
    <mergeCell ref="F6:F7"/>
  </mergeCells>
  <printOptions headings="1" gridLines="1"/>
  <pageMargins left="0.25" right="0.25" top="0.75" bottom="0.75" header="0.3" footer="0.3"/>
  <pageSetup scale="67" orientation="landscape" horizontalDpi="300" verticalDpi="300" r:id="rId1"/>
  <headerFooter alignWithMargins="0">
    <oddHeader>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CB5A-0308-9D44-928C-B6B9ECB64DBD}">
  <sheetPr>
    <pageSetUpPr fitToPage="1"/>
  </sheetPr>
  <dimension ref="B2:K62"/>
  <sheetViews>
    <sheetView showGridLines="0" topLeftCell="A35" zoomScale="119" zoomScaleNormal="109" zoomScalePageLayoutView="120" workbookViewId="0">
      <selection activeCell="E50" sqref="E50"/>
    </sheetView>
  </sheetViews>
  <sheetFormatPr baseColWidth="10" defaultColWidth="12.5" defaultRowHeight="16"/>
  <cols>
    <col min="1" max="1" width="2.83203125" style="4" customWidth="1"/>
    <col min="2" max="2" width="44.83203125" style="4" customWidth="1"/>
    <col min="3" max="5" width="15.83203125" style="4" customWidth="1"/>
    <col min="6" max="11" width="13.83203125" style="4" customWidth="1"/>
    <col min="12" max="16384" width="12.5" style="4"/>
  </cols>
  <sheetData>
    <row r="2" spans="2:11" s="3" customFormat="1" ht="30">
      <c r="B2" s="100" t="s">
        <v>110</v>
      </c>
      <c r="C2" s="1"/>
      <c r="D2" s="1"/>
      <c r="E2" s="1"/>
      <c r="F2" s="2"/>
      <c r="G2" s="1"/>
      <c r="H2" s="1"/>
      <c r="I2" s="1"/>
      <c r="J2" s="1"/>
      <c r="K2" s="1"/>
    </row>
    <row r="3" spans="2:11">
      <c r="B3" s="5"/>
      <c r="C3" s="5"/>
      <c r="D3" s="5"/>
      <c r="E3" s="6"/>
      <c r="F3" s="5"/>
      <c r="G3" s="5"/>
      <c r="H3" s="6"/>
    </row>
    <row r="4" spans="2:11" ht="17">
      <c r="B4" s="182" t="s">
        <v>0</v>
      </c>
      <c r="C4" s="180" t="str">
        <f>'Data. Securities'!F6</f>
        <v>RXI</v>
      </c>
      <c r="D4" s="180" t="str">
        <f>'Data. Securities'!G6</f>
        <v>LULU</v>
      </c>
      <c r="E4" s="180" t="str">
        <f>'Data. Securities'!H6</f>
        <v>PG</v>
      </c>
      <c r="F4" s="180" t="str">
        <f>'Data. Securities'!I6</f>
        <v>F</v>
      </c>
      <c r="G4" s="180" t="str">
        <f>'Data. Securities'!J6</f>
        <v>PM</v>
      </c>
      <c r="H4" s="180" t="str">
        <f>'Data. Securities'!K6</f>
        <v>HD</v>
      </c>
      <c r="I4" s="103"/>
    </row>
    <row r="5" spans="2:11" ht="17">
      <c r="B5" s="7" t="s">
        <v>1</v>
      </c>
      <c r="C5" s="9">
        <f>'Data. Securities'!F17</f>
        <v>1</v>
      </c>
      <c r="D5" s="9">
        <f>'Data. Securities'!G17</f>
        <v>1.0604733291362309</v>
      </c>
      <c r="E5" s="9">
        <f>'Data. Securities'!H17</f>
        <v>0.26946795086285746</v>
      </c>
      <c r="F5" s="9">
        <f>'Data. Securities'!I17</f>
        <v>1.4413206199299151</v>
      </c>
      <c r="G5" s="9">
        <f>'Data. Securities'!J17</f>
        <v>0.46978034286015663</v>
      </c>
      <c r="H5" s="9">
        <f>'Data. Securities'!K17</f>
        <v>0.84526602525350936</v>
      </c>
      <c r="I5" s="8"/>
    </row>
    <row r="6" spans="2:11" ht="17">
      <c r="B6" s="7" t="s">
        <v>2</v>
      </c>
      <c r="C6" s="9">
        <f>'Data. Securities'!F8</f>
        <v>0.22166169834062099</v>
      </c>
      <c r="D6" s="9">
        <f>'Data. Securities'!G8</f>
        <v>0.37529346250738727</v>
      </c>
      <c r="E6" s="9">
        <f>'Data. Securities'!H8</f>
        <v>0.17510321826473207</v>
      </c>
      <c r="F6" s="9">
        <f>'Data. Securities'!I8</f>
        <v>0.45432643603458034</v>
      </c>
      <c r="G6" s="9">
        <f>'Data. Securities'!J8</f>
        <v>0.22265000237878277</v>
      </c>
      <c r="H6" s="9">
        <f>'Data. Securities'!K8</f>
        <v>0.25290789384869561</v>
      </c>
      <c r="I6" s="8"/>
    </row>
    <row r="7" spans="2:11" ht="17">
      <c r="B7" s="7" t="s">
        <v>3</v>
      </c>
      <c r="C7" s="9">
        <f>'Data. Securities'!F10</f>
        <v>0</v>
      </c>
      <c r="D7" s="9">
        <f>'Data. Securities'!G10</f>
        <v>0.29255599222602391</v>
      </c>
      <c r="E7" s="9">
        <f>'Data. Securities'!H10</f>
        <v>0.16460066130034587</v>
      </c>
      <c r="F7" s="9">
        <f>'Data. Securities'!I10</f>
        <v>0.49892292920436948</v>
      </c>
      <c r="G7" s="9">
        <f>'Data. Securities'!J10</f>
        <v>0.1967980839730068</v>
      </c>
      <c r="H7" s="9">
        <f>'Data. Securities'!K10</f>
        <v>0.16987486722546574</v>
      </c>
      <c r="I7" s="8"/>
    </row>
    <row r="8" spans="2:11" ht="17">
      <c r="B8" s="7" t="s">
        <v>4</v>
      </c>
      <c r="C8" s="9">
        <f>C5*$C$6</f>
        <v>0.22166169834062099</v>
      </c>
      <c r="D8" s="9">
        <f t="shared" ref="D8:H8" si="0">D5*$C$6</f>
        <v>0.2350663191812693</v>
      </c>
      <c r="E8" s="9">
        <f t="shared" si="0"/>
        <v>5.9730723636627993E-2</v>
      </c>
      <c r="F8" s="9">
        <f>F5*$C$6</f>
        <v>0.31948557646702169</v>
      </c>
      <c r="G8" s="9">
        <f t="shared" si="0"/>
        <v>0.10413230864542154</v>
      </c>
      <c r="H8" s="9">
        <f t="shared" si="0"/>
        <v>0.18736310270731912</v>
      </c>
      <c r="I8" s="8"/>
    </row>
    <row r="9" spans="2:11" ht="17">
      <c r="B9" s="7" t="s">
        <v>5</v>
      </c>
      <c r="C9" s="9">
        <f t="shared" ref="C9:H9" si="1">C5*$C$6/C6</f>
        <v>1</v>
      </c>
      <c r="D9" s="9">
        <f t="shared" si="1"/>
        <v>0.62635335454755559</v>
      </c>
      <c r="E9" s="9">
        <f t="shared" si="1"/>
        <v>0.34111722347857321</v>
      </c>
      <c r="F9" s="9">
        <f t="shared" si="1"/>
        <v>0.70320710204656578</v>
      </c>
      <c r="G9" s="9">
        <f t="shared" si="1"/>
        <v>0.46769507088648804</v>
      </c>
      <c r="H9" s="9">
        <f t="shared" si="1"/>
        <v>0.74083532884667791</v>
      </c>
      <c r="I9" s="8"/>
    </row>
    <row r="10" spans="2:11">
      <c r="B10" s="10"/>
      <c r="C10" s="8"/>
      <c r="D10" s="8"/>
      <c r="E10" s="8"/>
      <c r="F10" s="8"/>
      <c r="G10" s="8"/>
      <c r="H10" s="8"/>
      <c r="I10" s="8"/>
    </row>
    <row r="11" spans="2:11">
      <c r="B11" s="181" t="s">
        <v>6</v>
      </c>
      <c r="C11" s="180" t="str">
        <f>C4</f>
        <v>RXI</v>
      </c>
      <c r="D11" s="180" t="str">
        <f t="shared" ref="D11:H11" si="2">D4</f>
        <v>LULU</v>
      </c>
      <c r="E11" s="180" t="str">
        <f t="shared" si="2"/>
        <v>PG</v>
      </c>
      <c r="F11" s="180" t="str">
        <f t="shared" si="2"/>
        <v>F</v>
      </c>
      <c r="G11" s="180" t="str">
        <f t="shared" si="2"/>
        <v>PM</v>
      </c>
      <c r="H11" s="180" t="str">
        <f t="shared" si="2"/>
        <v>HD</v>
      </c>
      <c r="I11" s="103"/>
    </row>
    <row r="12" spans="2:11">
      <c r="B12" s="12" t="str" cm="1">
        <f t="array" ref="B12:B17">TRANSPOSE(C11:H11)</f>
        <v>RXI</v>
      </c>
      <c r="C12" s="87">
        <f>'Data. Securities'!P7</f>
        <v>1</v>
      </c>
      <c r="D12" s="87"/>
      <c r="E12" s="87"/>
      <c r="F12" s="87"/>
      <c r="G12" s="87"/>
      <c r="H12" s="87"/>
      <c r="I12" s="104"/>
    </row>
    <row r="13" spans="2:11">
      <c r="B13" s="12" t="str">
        <v>LULU</v>
      </c>
      <c r="C13" s="87">
        <f>'Data. Securities'!P8</f>
        <v>0.62635335454755581</v>
      </c>
      <c r="D13" s="87">
        <f>'Data. Securities'!Q8</f>
        <v>1</v>
      </c>
      <c r="E13" s="87"/>
      <c r="F13" s="87"/>
      <c r="G13" s="87"/>
      <c r="H13" s="87"/>
      <c r="I13" s="104"/>
    </row>
    <row r="14" spans="2:11">
      <c r="B14" s="12" t="str">
        <v>PG</v>
      </c>
      <c r="C14" s="87">
        <f>'Data. Securities'!P9</f>
        <v>0.34111722347857315</v>
      </c>
      <c r="D14" s="87">
        <f>'Data. Securities'!Q9</f>
        <v>0.21365991721975255</v>
      </c>
      <c r="E14" s="87">
        <f>'Data. Securities'!R9</f>
        <v>1</v>
      </c>
      <c r="F14" s="87"/>
      <c r="G14" s="87"/>
      <c r="H14" s="87"/>
      <c r="I14" s="104"/>
    </row>
    <row r="15" spans="2:11">
      <c r="B15" s="12" t="str">
        <v>F</v>
      </c>
      <c r="C15" s="87">
        <f>'Data. Securities'!P10</f>
        <v>0.70320710204656589</v>
      </c>
      <c r="D15" s="87">
        <f>'Data. Securities'!Q10</f>
        <v>0.44045612730853195</v>
      </c>
      <c r="E15" s="87">
        <f>'Data. Securities'!R10</f>
        <v>0.2398760541805382</v>
      </c>
      <c r="F15" s="87">
        <f>'Data. Securities'!S10</f>
        <v>1</v>
      </c>
      <c r="G15" s="87"/>
      <c r="H15" s="87"/>
      <c r="I15" s="104"/>
    </row>
    <row r="16" spans="2:11">
      <c r="B16" s="12" t="str">
        <v>PM</v>
      </c>
      <c r="C16" s="87">
        <f>'Data. Securities'!P11</f>
        <v>0.46769507088648793</v>
      </c>
      <c r="D16" s="87">
        <f>'Data. Securities'!Q11</f>
        <v>0.29294237655510863</v>
      </c>
      <c r="E16" s="87">
        <f>'Data. Securities'!R11</f>
        <v>0.15953884401541321</v>
      </c>
      <c r="F16" s="87">
        <f>'Data. Securities'!S11</f>
        <v>0.3288864954395504</v>
      </c>
      <c r="G16" s="87">
        <f>'Data. Securities'!T11</f>
        <v>1</v>
      </c>
      <c r="H16" s="87"/>
      <c r="I16" s="104"/>
    </row>
    <row r="17" spans="2:10">
      <c r="B17" s="12" t="str">
        <v>HD</v>
      </c>
      <c r="C17" s="87">
        <f>'Data. Securities'!P12</f>
        <v>0.74083532884667802</v>
      </c>
      <c r="D17" s="87">
        <f>'Data. Securities'!Q12</f>
        <v>0.46402469339045843</v>
      </c>
      <c r="E17" s="87">
        <f>'Data. Securities'!R12</f>
        <v>0.25271169043101449</v>
      </c>
      <c r="F17" s="87">
        <f>'Data. Securities'!S12</f>
        <v>0.5209606646919871</v>
      </c>
      <c r="G17" s="87">
        <f>'Data. Securities'!T12</f>
        <v>0.3464850316401617</v>
      </c>
      <c r="H17" s="87">
        <f>'Data. Securities'!U12</f>
        <v>1</v>
      </c>
      <c r="I17" s="104"/>
    </row>
    <row r="18" spans="2:10">
      <c r="B18" s="10"/>
      <c r="C18" s="8"/>
      <c r="D18" s="8"/>
      <c r="E18" s="8"/>
      <c r="F18" s="8"/>
      <c r="G18" s="8"/>
      <c r="H18" s="8"/>
      <c r="I18" s="8"/>
    </row>
    <row r="19" spans="2:10">
      <c r="B19" s="181" t="s">
        <v>7</v>
      </c>
      <c r="C19" s="180" t="str">
        <f t="shared" ref="C19:H19" si="3">C4</f>
        <v>RXI</v>
      </c>
      <c r="D19" s="180" t="str">
        <f t="shared" si="3"/>
        <v>LULU</v>
      </c>
      <c r="E19" s="180" t="str">
        <f t="shared" si="3"/>
        <v>PG</v>
      </c>
      <c r="F19" s="180" t="str">
        <f t="shared" si="3"/>
        <v>F</v>
      </c>
      <c r="G19" s="180" t="str">
        <f t="shared" si="3"/>
        <v>PM</v>
      </c>
      <c r="H19" s="180" t="str">
        <f t="shared" si="3"/>
        <v>HD</v>
      </c>
      <c r="I19" s="105"/>
    </row>
    <row r="20" spans="2:10">
      <c r="B20" s="12" t="str" cm="1">
        <f t="array" ref="B20:B25">TRANSPOSE(C19:H19)</f>
        <v>RXI</v>
      </c>
      <c r="C20" s="87">
        <f>'Data. Securities'!P16</f>
        <v>4.9133908511248457E-2</v>
      </c>
      <c r="D20" s="87"/>
      <c r="E20" s="87"/>
      <c r="F20" s="87"/>
      <c r="G20" s="87"/>
      <c r="H20" s="87"/>
      <c r="I20" s="104"/>
    </row>
    <row r="21" spans="2:10">
      <c r="B21" s="12" t="str">
        <v>LULU</v>
      </c>
      <c r="C21" s="87">
        <f>'Data. Securities'!P17</f>
        <v>5.2105199532398644E-2</v>
      </c>
      <c r="D21" s="87">
        <f>'Data. Securities'!Q17</f>
        <v>0.14084518300078369</v>
      </c>
      <c r="E21" s="87"/>
      <c r="F21" s="87"/>
      <c r="G21" s="87"/>
      <c r="H21" s="87"/>
      <c r="I21" s="104"/>
    </row>
    <row r="22" spans="2:10">
      <c r="B22" s="12" t="str">
        <v>PG</v>
      </c>
      <c r="C22" s="87">
        <f>'Data. Securities'!P18</f>
        <v>1.3240013644409233E-2</v>
      </c>
      <c r="D22" s="87">
        <f>'Data. Securities'!Q18</f>
        <v>1.404068134729578E-2</v>
      </c>
      <c r="E22" s="87">
        <f>'Data. Securities'!R18</f>
        <v>3.0661137046666401E-2</v>
      </c>
      <c r="F22" s="87"/>
      <c r="G22" s="87"/>
      <c r="H22" s="87"/>
      <c r="I22" s="104"/>
    </row>
    <row r="23" spans="2:10">
      <c r="B23" s="12" t="str">
        <v>F</v>
      </c>
      <c r="C23" s="87">
        <f>'Data. Securities'!P19</f>
        <v>7.0817715475012352E-2</v>
      </c>
      <c r="D23" s="87">
        <f>'Data. Securities'!Q19</f>
        <v>7.5100298491608736E-2</v>
      </c>
      <c r="E23" s="87">
        <f>'Data. Securities'!R19</f>
        <v>1.9083104673840449E-2</v>
      </c>
      <c r="F23" s="87">
        <f>'Data. Securities'!S19</f>
        <v>0.20641251047988363</v>
      </c>
      <c r="G23" s="87"/>
      <c r="H23" s="87"/>
      <c r="I23" s="104"/>
    </row>
    <row r="24" spans="2:10">
      <c r="B24" s="12" t="str">
        <v>PM</v>
      </c>
      <c r="C24" s="87">
        <f>'Data. Securities'!P20</f>
        <v>2.3082144386473869E-2</v>
      </c>
      <c r="D24" s="87">
        <f>'Data. Securities'!Q20</f>
        <v>2.4477998501127109E-2</v>
      </c>
      <c r="E24" s="87">
        <f>'Data. Securities'!R20</f>
        <v>6.219898149343722E-3</v>
      </c>
      <c r="F24" s="87">
        <f>'Data. Securities'!S20</f>
        <v>2.3082144386473869E-2</v>
      </c>
      <c r="G24" s="87">
        <f>'Data. Securities'!T20</f>
        <v>4.957302355927197E-2</v>
      </c>
      <c r="H24" s="87"/>
      <c r="I24" s="104"/>
    </row>
    <row r="25" spans="2:10">
      <c r="B25" s="12" t="str">
        <v>HD</v>
      </c>
      <c r="C25" s="87">
        <f>'Data. Securities'!P21</f>
        <v>4.153122355247256E-2</v>
      </c>
      <c r="D25" s="87">
        <f>'Data. Securities'!Q21</f>
        <v>4.4042754903791621E-2</v>
      </c>
      <c r="E25" s="87">
        <f>'Data. Securities'!R21</f>
        <v>1.1191333707512024E-2</v>
      </c>
      <c r="F25" s="87">
        <f>'Data. Securities'!S21</f>
        <v>5.9859808877097638E-2</v>
      </c>
      <c r="G25" s="87">
        <f>'Data. Securities'!T21</f>
        <v>1.9510552439882371E-2</v>
      </c>
      <c r="H25" s="87">
        <f>'Data. Securities'!U21</f>
        <v>6.3962402770983084E-2</v>
      </c>
      <c r="I25" s="104"/>
    </row>
    <row r="26" spans="2:10">
      <c r="B26" s="10"/>
      <c r="C26" s="8"/>
      <c r="D26" s="8"/>
      <c r="E26" s="8"/>
      <c r="F26" s="8"/>
      <c r="G26" s="8"/>
      <c r="H26" s="8"/>
      <c r="I26" s="8"/>
    </row>
    <row r="27" spans="2:10">
      <c r="B27" s="176" t="s">
        <v>8</v>
      </c>
      <c r="C27" s="180" t="str">
        <f t="shared" ref="C27:H27" si="4">C19</f>
        <v>RXI</v>
      </c>
      <c r="D27" s="180" t="str">
        <f t="shared" si="4"/>
        <v>LULU</v>
      </c>
      <c r="E27" s="180" t="str">
        <f t="shared" si="4"/>
        <v>PG</v>
      </c>
      <c r="F27" s="180" t="str">
        <f t="shared" si="4"/>
        <v>F</v>
      </c>
      <c r="G27" s="180" t="str">
        <f t="shared" si="4"/>
        <v>PM</v>
      </c>
      <c r="H27" s="180" t="str">
        <f t="shared" si="4"/>
        <v>HD</v>
      </c>
      <c r="I27" s="105"/>
    </row>
    <row r="28" spans="2:10">
      <c r="B28" s="12" t="str">
        <f t="shared" ref="B28:B33" si="5">B20</f>
        <v>RXI</v>
      </c>
      <c r="C28" s="88"/>
      <c r="D28" s="89"/>
      <c r="E28" s="89"/>
      <c r="F28" s="89"/>
      <c r="G28" s="89"/>
      <c r="H28" s="89"/>
      <c r="I28" s="106"/>
    </row>
    <row r="29" spans="2:10">
      <c r="B29" s="12" t="str">
        <f t="shared" si="5"/>
        <v>LULU</v>
      </c>
      <c r="C29" s="88"/>
      <c r="D29" s="89">
        <f>'Data. Securities'!Q26</f>
        <v>1</v>
      </c>
      <c r="E29" s="89"/>
      <c r="F29" s="89"/>
      <c r="G29" s="89"/>
      <c r="H29" s="89"/>
      <c r="I29" s="106"/>
      <c r="J29" s="13"/>
    </row>
    <row r="30" spans="2:10">
      <c r="B30" s="12" t="str">
        <f t="shared" si="5"/>
        <v>PG</v>
      </c>
      <c r="C30" s="88"/>
      <c r="D30" s="89">
        <f>'Data. Securities'!Q27</f>
        <v>0.13081150944611419</v>
      </c>
      <c r="E30" s="89">
        <f>'Data. Securities'!R27</f>
        <v>1</v>
      </c>
      <c r="F30" s="89"/>
      <c r="G30" s="89"/>
      <c r="H30" s="89"/>
      <c r="I30" s="106"/>
    </row>
    <row r="31" spans="2:10">
      <c r="B31" s="12" t="str">
        <f t="shared" si="5"/>
        <v>F</v>
      </c>
      <c r="C31" s="88"/>
      <c r="D31" s="89">
        <f>'Data. Securities'!Q28</f>
        <v>-8.0266893552730617E-2</v>
      </c>
      <c r="E31" s="89">
        <f>'Data. Securities'!R28</f>
        <v>-0.42897989789725594</v>
      </c>
      <c r="F31" s="89">
        <f>'Data. Securities'!S28</f>
        <v>1</v>
      </c>
      <c r="G31" s="89"/>
      <c r="H31" s="89"/>
      <c r="I31" s="106"/>
    </row>
    <row r="32" spans="2:10">
      <c r="B32" s="12" t="str">
        <f t="shared" si="5"/>
        <v>PM</v>
      </c>
      <c r="C32" s="88"/>
      <c r="D32" s="89">
        <f>'Data. Securities'!Q29</f>
        <v>-8.0373447696549444E-2</v>
      </c>
      <c r="E32" s="89">
        <f>'Data. Securities'!R29</f>
        <v>0.40386207709366984</v>
      </c>
      <c r="F32" s="89">
        <f>'Data. Securities'!S29</f>
        <v>-0.20804479048895672</v>
      </c>
      <c r="G32" s="89">
        <f>'Data. Securities'!T29</f>
        <v>1</v>
      </c>
      <c r="H32" s="89"/>
      <c r="I32" s="106"/>
    </row>
    <row r="33" spans="2:10">
      <c r="B33" s="12" t="str">
        <f t="shared" si="5"/>
        <v>HD</v>
      </c>
      <c r="C33" s="88"/>
      <c r="D33" s="89">
        <f>'Data. Securities'!Q30</f>
        <v>0.18826281883617726</v>
      </c>
      <c r="E33" s="89">
        <f>'Data. Securities'!R30</f>
        <v>0.38121394644205253</v>
      </c>
      <c r="F33" s="89">
        <f>'Data. Securities'!S30</f>
        <v>-0.13751824434736082</v>
      </c>
      <c r="G33" s="89">
        <f>'Data. Securities'!T30</f>
        <v>2.9766661496008553E-2</v>
      </c>
      <c r="H33" s="89">
        <f>'Data. Securities'!U30</f>
        <v>1</v>
      </c>
      <c r="I33" s="106"/>
    </row>
    <row r="35" spans="2:10" ht="17">
      <c r="B35" s="179" t="s">
        <v>9</v>
      </c>
      <c r="C35" s="175" t="str">
        <f t="shared" ref="C35:H35" si="6">C4</f>
        <v>RXI</v>
      </c>
      <c r="D35" s="175" t="str">
        <f t="shared" si="6"/>
        <v>LULU</v>
      </c>
      <c r="E35" s="175" t="str">
        <f t="shared" si="6"/>
        <v>PG</v>
      </c>
      <c r="F35" s="175" t="str">
        <f t="shared" si="6"/>
        <v>F</v>
      </c>
      <c r="G35" s="175" t="str">
        <f t="shared" si="6"/>
        <v>PM</v>
      </c>
      <c r="H35" s="175" t="str">
        <f t="shared" si="6"/>
        <v>HD</v>
      </c>
      <c r="I35" s="107"/>
    </row>
    <row r="36" spans="2:10" s="15" customFormat="1">
      <c r="B36" s="14" t="s">
        <v>112</v>
      </c>
      <c r="C36" s="90">
        <f>'Data. Securities'!F14</f>
        <v>0</v>
      </c>
      <c r="D36" s="90">
        <f>'Data. Securities'!G14</f>
        <v>8.3699078055782417E-2</v>
      </c>
      <c r="E36" s="90">
        <f>'Data. Securities'!H16</f>
        <v>5.3044382849193862E-2</v>
      </c>
      <c r="F36" s="90">
        <f>'Data. Securities'!I14</f>
        <v>0.12463537233756246</v>
      </c>
      <c r="G36" s="90">
        <f>'Data. Securities'!J16</f>
        <v>2.1867181025383979E-2</v>
      </c>
      <c r="H36" s="90">
        <f>'Data. Securities'!K14</f>
        <v>7.7698032308148923E-2</v>
      </c>
    </row>
    <row r="37" spans="2:10">
      <c r="B37" s="14" t="s">
        <v>1</v>
      </c>
      <c r="C37" s="91">
        <f t="shared" ref="C37:H37" si="7">C5</f>
        <v>1</v>
      </c>
      <c r="D37" s="91">
        <f t="shared" si="7"/>
        <v>1.0604733291362309</v>
      </c>
      <c r="E37" s="91">
        <f t="shared" si="7"/>
        <v>0.26946795086285746</v>
      </c>
      <c r="F37" s="91">
        <f t="shared" si="7"/>
        <v>1.4413206199299151</v>
      </c>
      <c r="G37" s="91">
        <f t="shared" si="7"/>
        <v>0.46978034286015663</v>
      </c>
      <c r="H37" s="91">
        <f t="shared" si="7"/>
        <v>0.84526602525350936</v>
      </c>
    </row>
    <row r="38" spans="2:10" ht="17" thickBot="1">
      <c r="B38" s="16" t="s">
        <v>137</v>
      </c>
      <c r="C38" s="91">
        <f>C36+C37*$C$39</f>
        <v>5.1252501923448206E-2</v>
      </c>
      <c r="D38" s="92">
        <f>D36+D37*$C$39</f>
        <v>0.13805098939710261</v>
      </c>
      <c r="E38" s="92">
        <f t="shared" ref="E38:H38" si="8">E36+E37*$C$39</f>
        <v>6.6855289519100108E-2</v>
      </c>
      <c r="F38" s="92">
        <f t="shared" si="8"/>
        <v>0.19850666018282598</v>
      </c>
      <c r="G38" s="92">
        <f t="shared" si="8"/>
        <v>4.5944598951422319E-2</v>
      </c>
      <c r="H38" s="92">
        <f t="shared" si="8"/>
        <v>0.12102003089327984</v>
      </c>
    </row>
    <row r="39" spans="2:10" ht="17" thickBot="1">
      <c r="B39" s="17" t="s">
        <v>113</v>
      </c>
      <c r="C39" s="149">
        <f>'Data. Securities'!F7*'Data. Securities'!D27/'Data. Securities'!F27</f>
        <v>5.1252501923448206E-2</v>
      </c>
      <c r="D39" s="18"/>
      <c r="E39" s="18"/>
      <c r="F39" s="18"/>
      <c r="G39" s="18"/>
      <c r="H39" s="18"/>
      <c r="I39" s="18"/>
      <c r="J39" s="18"/>
    </row>
    <row r="40" spans="2:10">
      <c r="B40" s="5"/>
      <c r="C40" s="5"/>
      <c r="D40" s="5"/>
      <c r="E40" s="5"/>
      <c r="F40" s="6"/>
      <c r="G40" s="5"/>
      <c r="H40" s="5"/>
      <c r="I40" s="5"/>
      <c r="J40" s="5"/>
    </row>
    <row r="41" spans="2:10">
      <c r="B41" s="176" t="s">
        <v>10</v>
      </c>
      <c r="C41" s="176"/>
      <c r="D41" s="177"/>
      <c r="E41" s="178" t="s">
        <v>11</v>
      </c>
      <c r="F41" s="175" t="str">
        <f t="shared" ref="F41:J41" si="9">D35</f>
        <v>LULU</v>
      </c>
      <c r="G41" s="175" t="str">
        <f t="shared" si="9"/>
        <v>PG</v>
      </c>
      <c r="H41" s="175" t="str">
        <f t="shared" si="9"/>
        <v>F</v>
      </c>
      <c r="I41" s="175" t="str">
        <f t="shared" si="9"/>
        <v>PM</v>
      </c>
      <c r="J41" s="175" t="str">
        <f t="shared" si="9"/>
        <v>HD</v>
      </c>
    </row>
    <row r="42" spans="2:10" ht="18">
      <c r="B42" s="14" t="s">
        <v>12</v>
      </c>
      <c r="C42" s="19" t="s">
        <v>96</v>
      </c>
      <c r="D42" s="20"/>
      <c r="E42" s="21"/>
      <c r="F42" s="91">
        <f>D7^2</f>
        <v>8.5589008587353368E-2</v>
      </c>
      <c r="G42" s="91">
        <f>E7^2</f>
        <v>2.7093377700511179E-2</v>
      </c>
      <c r="H42" s="91">
        <f>F7^2</f>
        <v>0.24892408928586829</v>
      </c>
      <c r="I42" s="91">
        <f>G7^2</f>
        <v>3.8729485855446638E-2</v>
      </c>
      <c r="J42" s="91">
        <f>H7^2</f>
        <v>2.8857470514869615E-2</v>
      </c>
    </row>
    <row r="43" spans="2:10" ht="18">
      <c r="B43" s="14" t="s">
        <v>13</v>
      </c>
      <c r="C43" s="19" t="s">
        <v>97</v>
      </c>
      <c r="D43" s="20"/>
      <c r="E43" s="93">
        <f>SUM(F43:J43)</f>
        <v>6.6935393243879115</v>
      </c>
      <c r="F43" s="91">
        <f>D36/F42</f>
        <v>0.97791853693874653</v>
      </c>
      <c r="G43" s="91">
        <f>E36/G42</f>
        <v>1.9578357278130389</v>
      </c>
      <c r="H43" s="91">
        <f t="shared" ref="H43:J43" si="10">F36/H42</f>
        <v>0.50069630743704063</v>
      </c>
      <c r="I43" s="91">
        <f>G36/I42</f>
        <v>0.56461325376228133</v>
      </c>
      <c r="J43" s="91">
        <f t="shared" si="10"/>
        <v>2.6924754984368033</v>
      </c>
    </row>
    <row r="44" spans="2:10" ht="18">
      <c r="B44" s="14" t="s">
        <v>14</v>
      </c>
      <c r="C44" s="22" t="s">
        <v>98</v>
      </c>
      <c r="D44" s="20"/>
      <c r="E44" s="93">
        <f>SUM(F44:K44)</f>
        <v>1</v>
      </c>
      <c r="F44" s="91">
        <f>F43/$E$43</f>
        <v>0.14609887079854753</v>
      </c>
      <c r="G44" s="91">
        <f>G43/$E$43</f>
        <v>0.2924963360833131</v>
      </c>
      <c r="H44" s="91">
        <f>H43/$E$43</f>
        <v>7.4802923113150843E-2</v>
      </c>
      <c r="I44" s="91">
        <f>I43/$E$43</f>
        <v>8.4351973806310945E-2</v>
      </c>
      <c r="J44" s="91">
        <f>J43/$E$43</f>
        <v>0.40224989619867751</v>
      </c>
    </row>
    <row r="45" spans="2:10" ht="19">
      <c r="B45" s="16" t="s">
        <v>15</v>
      </c>
      <c r="C45" s="23" t="s">
        <v>99</v>
      </c>
      <c r="D45" s="24"/>
      <c r="E45" s="25"/>
      <c r="F45" s="92">
        <f>F44^2</f>
        <v>2.1344880048610682E-2</v>
      </c>
      <c r="G45" s="92">
        <f t="shared" ref="G45:J45" si="11">G44^2</f>
        <v>8.5554106622162451E-2</v>
      </c>
      <c r="H45" s="92">
        <f t="shared" si="11"/>
        <v>5.5954773062719563E-3</v>
      </c>
      <c r="I45" s="92">
        <f t="shared" si="11"/>
        <v>7.115255485020568E-3</v>
      </c>
      <c r="J45" s="92">
        <f t="shared" si="11"/>
        <v>0.16180497899184684</v>
      </c>
    </row>
    <row r="46" spans="2:10" ht="18">
      <c r="B46" s="14" t="s">
        <v>16</v>
      </c>
      <c r="C46" s="19" t="s">
        <v>100</v>
      </c>
      <c r="D46" s="19"/>
      <c r="E46" s="93">
        <f>SUMPRODUCT(D36:H36,F44:J44)</f>
        <v>7.0165283910030102E-2</v>
      </c>
    </row>
    <row r="47" spans="2:10" ht="18">
      <c r="B47" s="14" t="s">
        <v>17</v>
      </c>
      <c r="C47" s="19" t="s">
        <v>101</v>
      </c>
      <c r="D47" s="20"/>
      <c r="E47" s="93">
        <f>SUMPRODUCT(F42:J42,F45:J45)</f>
        <v>1.0482538535985421E-2</v>
      </c>
    </row>
    <row r="48" spans="2:10" ht="18">
      <c r="B48" s="14" t="s">
        <v>18</v>
      </c>
      <c r="C48" s="19" t="s">
        <v>102</v>
      </c>
      <c r="D48" s="20"/>
      <c r="E48" s="93">
        <f>E46/E47</f>
        <v>6.6935393243879115</v>
      </c>
    </row>
    <row r="49" spans="2:10" ht="19">
      <c r="B49" s="14" t="s">
        <v>19</v>
      </c>
      <c r="C49" s="26" t="s">
        <v>103</v>
      </c>
      <c r="D49" s="20"/>
      <c r="E49" s="93">
        <f>C38/C6^2</f>
        <v>1.0431187641364768</v>
      </c>
    </row>
    <row r="50" spans="2:10" ht="18">
      <c r="B50" s="14" t="s">
        <v>20</v>
      </c>
      <c r="C50" s="27" t="s">
        <v>104</v>
      </c>
      <c r="D50" s="20"/>
      <c r="E50" s="93">
        <f>E48/E49</f>
        <v>6.416852571844025</v>
      </c>
    </row>
    <row r="51" spans="2:10" ht="18">
      <c r="B51" s="14" t="s">
        <v>21</v>
      </c>
      <c r="C51" s="19" t="s">
        <v>105</v>
      </c>
      <c r="D51" s="20"/>
      <c r="E51" s="93">
        <f>SUMPRODUCT(D37:H37,F44:J44)</f>
        <v>0.72120240982621275</v>
      </c>
    </row>
    <row r="52" spans="2:10">
      <c r="B52" s="5"/>
      <c r="C52" s="30"/>
      <c r="D52" s="6"/>
      <c r="E52" s="11"/>
      <c r="F52" s="30"/>
      <c r="G52" s="6"/>
      <c r="H52" s="6"/>
      <c r="I52" s="6"/>
      <c r="J52" s="6"/>
    </row>
    <row r="53" spans="2:10">
      <c r="B53" s="172" t="s">
        <v>22</v>
      </c>
      <c r="C53" s="173" t="s">
        <v>23</v>
      </c>
      <c r="D53" s="173" t="str">
        <f>C35</f>
        <v>RXI</v>
      </c>
      <c r="E53" s="174" t="s">
        <v>11</v>
      </c>
      <c r="F53" s="175" t="str">
        <f>F41</f>
        <v>LULU</v>
      </c>
      <c r="G53" s="175" t="str">
        <f t="shared" ref="G53:J53" si="12">G41</f>
        <v>PG</v>
      </c>
      <c r="H53" s="175" t="str">
        <f t="shared" si="12"/>
        <v>F</v>
      </c>
      <c r="I53" s="175" t="str">
        <f t="shared" si="12"/>
        <v>PM</v>
      </c>
      <c r="J53" s="175" t="str">
        <f t="shared" si="12"/>
        <v>HD</v>
      </c>
    </row>
    <row r="54" spans="2:10">
      <c r="B54" s="31" t="s">
        <v>106</v>
      </c>
      <c r="C54" s="94">
        <v>1</v>
      </c>
      <c r="D54" s="94">
        <f>C54-E54</f>
        <v>0</v>
      </c>
      <c r="E54" s="95">
        <v>1</v>
      </c>
      <c r="F54" s="99">
        <f>$E$54*F44</f>
        <v>0.14609887079854753</v>
      </c>
      <c r="G54" s="99">
        <f t="shared" ref="G54:J54" si="13">$E$54*G44</f>
        <v>0.2924963360833131</v>
      </c>
      <c r="H54" s="99">
        <f t="shared" si="13"/>
        <v>7.4802923113150843E-2</v>
      </c>
      <c r="I54" s="99">
        <f t="shared" si="13"/>
        <v>8.4351973806310945E-2</v>
      </c>
      <c r="J54" s="99">
        <f t="shared" si="13"/>
        <v>0.40224989619867751</v>
      </c>
    </row>
    <row r="55" spans="2:10">
      <c r="B55" s="28" t="s">
        <v>1</v>
      </c>
      <c r="C55" s="96">
        <f>D55*D54+E55*E54</f>
        <v>0.72120240982621275</v>
      </c>
      <c r="D55" s="97">
        <f>1</f>
        <v>1</v>
      </c>
      <c r="E55" s="98">
        <f>SUMPRODUCT(D37:I37,F44:K44)</f>
        <v>0.72120240982621275</v>
      </c>
      <c r="G55" s="8"/>
      <c r="H55" s="8"/>
      <c r="I55" s="8"/>
      <c r="J55" s="8"/>
    </row>
    <row r="56" spans="2:10">
      <c r="B56" s="28" t="s">
        <v>24</v>
      </c>
      <c r="C56" s="96">
        <f>D56*D54+E56*E54</f>
        <v>0.10712871180684355</v>
      </c>
      <c r="D56" s="97">
        <f>C38</f>
        <v>5.1252501923448206E-2</v>
      </c>
      <c r="E56" s="98">
        <f>SUMPRODUCT(D38:H38,F44:J44)</f>
        <v>0.10712871180684355</v>
      </c>
      <c r="G56" s="29"/>
      <c r="H56" s="29"/>
      <c r="I56" s="29"/>
      <c r="J56" s="29"/>
    </row>
    <row r="57" spans="2:10">
      <c r="B57" s="28" t="s">
        <v>25</v>
      </c>
      <c r="C57" s="96">
        <f>SQRT((D54+E54*E51)^2*D57^2+E54^2*E47)</f>
        <v>0.18983861999453072</v>
      </c>
      <c r="D57" s="97">
        <f>C6</f>
        <v>0.22166169834062099</v>
      </c>
      <c r="E57" s="98">
        <f>SQRT(E51^2*C6^2+E47)</f>
        <v>0.18983861999453072</v>
      </c>
    </row>
    <row r="58" spans="2:10">
      <c r="B58" s="28" t="s">
        <v>26</v>
      </c>
      <c r="C58" s="96">
        <f>C56/C57</f>
        <v>0.5643146363470718</v>
      </c>
      <c r="D58" s="97">
        <f>D56/D57</f>
        <v>0.23121947682946106</v>
      </c>
      <c r="E58" s="98">
        <f>E56/E57</f>
        <v>0.5643146363470718</v>
      </c>
    </row>
    <row r="59" spans="2:10">
      <c r="C59" s="32"/>
      <c r="D59" s="32"/>
      <c r="E59" s="33"/>
    </row>
    <row r="60" spans="2:10">
      <c r="C60" s="32"/>
      <c r="D60" s="32"/>
      <c r="E60" s="33"/>
    </row>
    <row r="61" spans="2:10">
      <c r="C61" s="32"/>
      <c r="D61" s="32"/>
      <c r="E61" s="33"/>
    </row>
    <row r="62" spans="2:10">
      <c r="C62" s="32"/>
      <c r="D62" s="32"/>
      <c r="E62" s="33"/>
    </row>
  </sheetData>
  <pageMargins left="0.25" right="0.25" top="0.75" bottom="0.75" header="0.3" footer="0.3"/>
  <pageSetup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7F81-EF02-454B-AFE8-CB8B0B85144A}">
  <sheetPr>
    <pageSetUpPr fitToPage="1"/>
  </sheetPr>
  <dimension ref="B1:AI181"/>
  <sheetViews>
    <sheetView showGridLines="0" tabSelected="1" zoomScale="91" workbookViewId="0">
      <selection activeCell="E128" sqref="E128"/>
    </sheetView>
  </sheetViews>
  <sheetFormatPr baseColWidth="10" defaultRowHeight="16"/>
  <cols>
    <col min="1" max="1" width="3.1640625" style="35" customWidth="1"/>
    <col min="2" max="2" width="11.1640625" style="35" customWidth="1"/>
    <col min="3" max="3" width="14" style="35" customWidth="1"/>
    <col min="4" max="31" width="13.33203125" style="35" customWidth="1"/>
    <col min="32" max="32" width="15.1640625" style="35" customWidth="1"/>
    <col min="33" max="16384" width="10.83203125" style="35"/>
  </cols>
  <sheetData>
    <row r="1" spans="2:31" ht="29" customHeight="1"/>
    <row r="2" spans="2:31" ht="33">
      <c r="B2" s="34" t="s">
        <v>27</v>
      </c>
      <c r="D2" s="36"/>
      <c r="E2" s="36"/>
      <c r="F2" s="36"/>
      <c r="G2" s="36"/>
      <c r="H2" s="36"/>
      <c r="I2" s="36"/>
      <c r="J2" s="36"/>
    </row>
    <row r="3" spans="2:31" ht="17" customHeight="1">
      <c r="B3" s="37"/>
      <c r="D3" s="36"/>
      <c r="E3" s="36"/>
      <c r="F3" s="36"/>
      <c r="G3" s="36"/>
      <c r="H3" s="36"/>
      <c r="I3" s="36"/>
      <c r="J3" s="36"/>
    </row>
    <row r="4" spans="2:31" ht="17" customHeight="1">
      <c r="B4" s="38" t="s">
        <v>28</v>
      </c>
      <c r="E4" s="39"/>
      <c r="G4" s="40"/>
      <c r="I4" s="36"/>
      <c r="J4" s="36"/>
      <c r="N4" s="38" t="s">
        <v>29</v>
      </c>
    </row>
    <row r="5" spans="2:31" ht="17" customHeight="1">
      <c r="B5" s="41"/>
      <c r="C5" s="41"/>
      <c r="D5" s="41"/>
      <c r="E5" s="41"/>
      <c r="F5" s="41"/>
      <c r="G5" s="41"/>
      <c r="H5" s="41"/>
      <c r="I5" s="42"/>
      <c r="J5" s="42"/>
      <c r="K5" s="41"/>
      <c r="O5" s="41"/>
      <c r="P5" s="41"/>
      <c r="Q5" s="41"/>
      <c r="R5" s="41"/>
      <c r="S5" s="41"/>
      <c r="T5" s="41"/>
      <c r="U5" s="41"/>
    </row>
    <row r="6" spans="2:31" ht="17" customHeight="1">
      <c r="B6" s="43" t="s">
        <v>30</v>
      </c>
      <c r="C6" s="44"/>
      <c r="D6" s="45"/>
      <c r="E6" s="46" t="s">
        <v>31</v>
      </c>
      <c r="F6" s="46" t="s">
        <v>173</v>
      </c>
      <c r="G6" s="47" t="s">
        <v>179</v>
      </c>
      <c r="H6" s="47" t="s">
        <v>165</v>
      </c>
      <c r="I6" s="47" t="s">
        <v>131</v>
      </c>
      <c r="J6" s="47" t="s">
        <v>164</v>
      </c>
      <c r="K6" s="47" t="s">
        <v>170</v>
      </c>
      <c r="L6" s="47" t="s">
        <v>115</v>
      </c>
      <c r="N6" s="48"/>
      <c r="O6" s="49" t="s">
        <v>33</v>
      </c>
      <c r="P6" s="164" t="str">
        <f>F6</f>
        <v>RXI</v>
      </c>
      <c r="Q6" s="164" t="str">
        <f t="shared" ref="Q6:U6" si="0">G6</f>
        <v>LULU</v>
      </c>
      <c r="R6" s="164" t="str">
        <f t="shared" si="0"/>
        <v>PG</v>
      </c>
      <c r="S6" s="164" t="str">
        <f t="shared" si="0"/>
        <v>F</v>
      </c>
      <c r="T6" s="164" t="str">
        <f t="shared" si="0"/>
        <v>PM</v>
      </c>
      <c r="U6" s="164" t="str">
        <f t="shared" si="0"/>
        <v>HD</v>
      </c>
    </row>
    <row r="7" spans="2:31" ht="17" customHeight="1">
      <c r="B7" s="50" t="s">
        <v>94</v>
      </c>
      <c r="C7" s="151"/>
      <c r="D7" s="152"/>
      <c r="E7" s="153">
        <v>5.0299999999999997E-2</v>
      </c>
      <c r="F7" s="154">
        <f>AVERAGE(E39:E97)*12</f>
        <v>5.3084716968054571E-2</v>
      </c>
      <c r="G7" s="154">
        <f>AVERAGE(H39:H97)*12</f>
        <v>0.17977448991110237</v>
      </c>
      <c r="H7" s="154">
        <f>AVERAGE(M39:M97)*12</f>
        <v>7.6191579724676689E-2</v>
      </c>
      <c r="I7" s="154">
        <f>AVERAGE(R39:R97)*12</f>
        <v>0.14778213750775065</v>
      </c>
      <c r="J7" s="154">
        <f>AVERAGE(W39:W97)*12</f>
        <v>4.0379563851317635E-2</v>
      </c>
      <c r="K7" s="154">
        <f>AVERAGE(AB39:AB97)*12</f>
        <v>0.13394802273821571</v>
      </c>
      <c r="L7" s="154">
        <f>AVERAGE(AI39:AI97)*12</f>
        <v>-3.2091590847841966E-2</v>
      </c>
      <c r="O7" s="159" t="s">
        <v>32</v>
      </c>
      <c r="P7" s="53">
        <v>1</v>
      </c>
      <c r="Q7" s="54"/>
      <c r="R7" s="54"/>
      <c r="S7" s="54"/>
      <c r="T7" s="54"/>
      <c r="U7" s="54"/>
    </row>
    <row r="8" spans="2:31" ht="17" customHeight="1">
      <c r="B8" s="50" t="s">
        <v>2</v>
      </c>
      <c r="D8" s="55"/>
      <c r="E8" s="52">
        <v>0</v>
      </c>
      <c r="F8" s="52">
        <f>_xlfn.STDEV.S(E39:E97)*SQRT(12)</f>
        <v>0.22166169834062099</v>
      </c>
      <c r="G8" s="52">
        <f>_xlfn.STDEV.S(H39:H97)*SQRT(12)</f>
        <v>0.37529346250738727</v>
      </c>
      <c r="H8" s="52">
        <f>_xlfn.STDEV.S(M39:M97)*SQRT(12)</f>
        <v>0.17510321826473207</v>
      </c>
      <c r="I8" s="52">
        <f>_xlfn.STDEV.S(R39:R97)*SQRT(12)</f>
        <v>0.45432643603458034</v>
      </c>
      <c r="J8" s="52">
        <f>_xlfn.STDEV.S(W39:W97)*SQRT(12)</f>
        <v>0.22265000237878277</v>
      </c>
      <c r="K8" s="52">
        <f>_xlfn.STDEV.S(AB39:AB97)*SQRT(12)</f>
        <v>0.25290789384869561</v>
      </c>
      <c r="L8" s="52">
        <f>_xlfn.STDEV.S(AI39:AI97)*SQRT(12)</f>
        <v>0.10650266702262463</v>
      </c>
      <c r="O8" s="160" t="str">
        <f>Q6</f>
        <v>LULU</v>
      </c>
      <c r="P8" s="56">
        <f>G18</f>
        <v>0.62635335454755581</v>
      </c>
      <c r="Q8" s="56">
        <v>1</v>
      </c>
      <c r="R8" s="57"/>
      <c r="S8" s="57"/>
      <c r="T8" s="57"/>
      <c r="U8" s="57"/>
    </row>
    <row r="9" spans="2:31" ht="17" customHeight="1">
      <c r="B9" s="58" t="s">
        <v>26</v>
      </c>
      <c r="C9" s="41"/>
      <c r="D9" s="59"/>
      <c r="E9" s="60"/>
      <c r="F9" s="61">
        <f>F7/F8</f>
        <v>0.23948529387553844</v>
      </c>
      <c r="G9" s="61">
        <f t="shared" ref="G9:L9" si="1">G7/G8</f>
        <v>0.47902377171721633</v>
      </c>
      <c r="H9" s="61">
        <f t="shared" si="1"/>
        <v>0.43512381142809986</v>
      </c>
      <c r="I9" s="61">
        <f t="shared" si="1"/>
        <v>0.32527743443153384</v>
      </c>
      <c r="J9" s="61">
        <f t="shared" si="1"/>
        <v>0.18135891946958976</v>
      </c>
      <c r="K9" s="61">
        <f t="shared" si="1"/>
        <v>0.52963164059383339</v>
      </c>
      <c r="L9" s="61">
        <f t="shared" si="1"/>
        <v>-0.30132194568446502</v>
      </c>
      <c r="O9" s="160" t="str">
        <f>R6</f>
        <v>PG</v>
      </c>
      <c r="P9" s="56">
        <f>H18</f>
        <v>0.34111722347857315</v>
      </c>
      <c r="Q9" s="56">
        <f>G18*H18</f>
        <v>0.21365991721975255</v>
      </c>
      <c r="R9" s="56">
        <v>1</v>
      </c>
      <c r="S9" s="57"/>
      <c r="T9" s="57"/>
      <c r="U9" s="57"/>
    </row>
    <row r="10" spans="2:31" ht="17" customHeight="1">
      <c r="B10" s="50" t="s">
        <v>35</v>
      </c>
      <c r="D10" s="55"/>
      <c r="E10" s="64"/>
      <c r="F10" s="101">
        <v>0</v>
      </c>
      <c r="G10" s="65">
        <f>_xlfn.STDEV.S(J39:J97)*SQRT(12)</f>
        <v>0.29255599222602391</v>
      </c>
      <c r="H10" s="65">
        <f>_xlfn.STDEV.S(O39:O97)*SQRT(12)</f>
        <v>0.16460066130034587</v>
      </c>
      <c r="I10" s="65">
        <f>_xlfn.STDEV.S(T39:T97)*SQRT(12)</f>
        <v>0.49892292920436948</v>
      </c>
      <c r="J10" s="65">
        <f>_xlfn.STDEV.S(Y39:Y97)*SQRT(12)</f>
        <v>0.1967980839730068</v>
      </c>
      <c r="K10" s="65">
        <f>_xlfn.STDEV.S(AD39:AD97)*SQRT(12)</f>
        <v>0.16987486722546574</v>
      </c>
      <c r="O10" s="160" t="str">
        <f>S6</f>
        <v>F</v>
      </c>
      <c r="P10" s="66">
        <f>I18</f>
        <v>0.70320710204656589</v>
      </c>
      <c r="Q10" s="66">
        <f>G18*I18</f>
        <v>0.44045612730853195</v>
      </c>
      <c r="R10" s="66">
        <f>H18*I18</f>
        <v>0.2398760541805382</v>
      </c>
      <c r="S10" s="66">
        <v>1</v>
      </c>
      <c r="T10" s="67"/>
      <c r="U10" s="67"/>
    </row>
    <row r="11" spans="2:31" ht="17" customHeight="1">
      <c r="B11" s="50" t="s">
        <v>36</v>
      </c>
      <c r="D11" s="55"/>
      <c r="E11" s="64"/>
      <c r="F11" s="101">
        <f>F8</f>
        <v>0.22166169834062099</v>
      </c>
      <c r="G11" s="52">
        <f>_xlfn.STDEV.S(I39:I97)*SQRT(12)</f>
        <v>0.2350663191812693</v>
      </c>
      <c r="H11" s="52">
        <f>_xlfn.STDEV.S(O39:O97)*SQRT(12)</f>
        <v>0.16460066130034587</v>
      </c>
      <c r="I11" s="52">
        <f>_xlfn.STDEV.S(S39:S97)*SQRT(12)</f>
        <v>0.18100364970321597</v>
      </c>
      <c r="J11" s="52">
        <f>_xlfn.STDEV.S(X39:X97)*SQRT(12)</f>
        <v>0.10413230864542153</v>
      </c>
      <c r="K11" s="52">
        <f>_xlfn.STDEV.S(AC39:AC97)*SQRT(12)</f>
        <v>0.18736310270731912</v>
      </c>
      <c r="O11" s="160" t="str">
        <f>T6</f>
        <v>PM</v>
      </c>
      <c r="P11" s="205">
        <f>J18</f>
        <v>0.46769507088648793</v>
      </c>
      <c r="Q11" s="56">
        <f>G18*J18</f>
        <v>0.29294237655510863</v>
      </c>
      <c r="R11" s="56">
        <f>H18*J18</f>
        <v>0.15953884401541321</v>
      </c>
      <c r="S11" s="56">
        <f>I18*J18</f>
        <v>0.3288864954395504</v>
      </c>
      <c r="T11" s="56">
        <v>1</v>
      </c>
      <c r="U11" s="57"/>
    </row>
    <row r="12" spans="2:31" ht="17" customHeight="1">
      <c r="B12" s="58" t="s">
        <v>37</v>
      </c>
      <c r="C12" s="41"/>
      <c r="D12" s="59"/>
      <c r="E12" s="60"/>
      <c r="F12" s="102">
        <f>F8^2</f>
        <v>4.9133908511248457E-2</v>
      </c>
      <c r="G12" s="61">
        <f>_xlfn.COVARIANCE.S($E$39:$E$97,H39:H97)*12</f>
        <v>5.2105199532398658E-2</v>
      </c>
      <c r="H12" s="61">
        <f>_xlfn.COVARIANCE.S($E$39:$E$97,M39:M97)*12</f>
        <v>1.3240013644409236E-2</v>
      </c>
      <c r="I12" s="61">
        <f>_xlfn.COVARIANCE.S($E$39:$E$97,R39:R97)*12</f>
        <v>7.0817715475012366E-2</v>
      </c>
      <c r="J12" s="61">
        <f>_xlfn.COVARIANCE.S($E$39:$E$97,W39:W97)*12</f>
        <v>2.3082144386473873E-2</v>
      </c>
      <c r="K12" s="61">
        <f>_xlfn.COVARIANCE.S($E$39:$E$97,AB39:AB97)*12</f>
        <v>4.1531223552472567E-2</v>
      </c>
      <c r="O12" s="160" t="str">
        <f>U6</f>
        <v>HD</v>
      </c>
      <c r="P12" s="205">
        <f>K18</f>
        <v>0.74083532884667802</v>
      </c>
      <c r="Q12" s="56">
        <f>G18*K18</f>
        <v>0.46402469339045843</v>
      </c>
      <c r="R12" s="56">
        <f>H18*K18</f>
        <v>0.25271169043101449</v>
      </c>
      <c r="S12" s="56">
        <f>I18*K18</f>
        <v>0.5209606646919871</v>
      </c>
      <c r="T12" s="56">
        <f>J18*K18</f>
        <v>0.3464850316401617</v>
      </c>
      <c r="U12" s="56">
        <v>1</v>
      </c>
    </row>
    <row r="13" spans="2:31" ht="17" customHeight="1">
      <c r="B13" s="50" t="s">
        <v>95</v>
      </c>
      <c r="D13" s="55"/>
      <c r="E13" s="64"/>
      <c r="F13" s="101">
        <v>0</v>
      </c>
      <c r="G13" s="52">
        <f>INTERCEPT(H39:H97,$E$39:$E$97)*12</f>
        <v>0.12347956338173496</v>
      </c>
      <c r="H13" s="52">
        <f>INTERCEPT(M39:M97,$E$39:$E$97)*12</f>
        <v>6.1886949821160261E-2</v>
      </c>
      <c r="I13" s="52">
        <f>INTERCEPT(R39:R97,$E$39:$E$97)*12</f>
        <v>7.1270040338550167E-2</v>
      </c>
      <c r="J13" s="52">
        <f>INTERCEPT(W39:W97,$E$39:$E$97)*12</f>
        <v>1.5441407313430584E-2</v>
      </c>
      <c r="K13" s="52">
        <f>INTERCEPT(AB39:AB97,$E$39:$E$97)*12</f>
        <v>8.9077315024920722E-2</v>
      </c>
      <c r="V13" s="69"/>
      <c r="W13" s="69"/>
      <c r="X13" s="69"/>
      <c r="Y13" s="69"/>
      <c r="Z13" s="68"/>
      <c r="AA13" s="69"/>
      <c r="AB13" s="69"/>
      <c r="AC13" s="69"/>
      <c r="AD13" s="69"/>
      <c r="AE13" s="69"/>
    </row>
    <row r="14" spans="2:31" ht="17" customHeight="1">
      <c r="B14" s="50" t="s">
        <v>138</v>
      </c>
      <c r="D14" s="55"/>
      <c r="E14" s="64"/>
      <c r="F14" s="204">
        <f>F13*$F$27/F27</f>
        <v>0</v>
      </c>
      <c r="G14" s="204">
        <f>G13*$F$27/G27</f>
        <v>8.3699078055782417E-2</v>
      </c>
      <c r="H14" s="101">
        <f>H13*$F$27/H27</f>
        <v>4.8817373221695222E-2</v>
      </c>
      <c r="I14" s="204">
        <f>I13*$F$27/I27</f>
        <v>0.12463537233756246</v>
      </c>
      <c r="J14" s="101">
        <f t="shared" ref="J14:K14" si="2">J13*$F$27/J27</f>
        <v>1.8140480701367218E-2</v>
      </c>
      <c r="K14" s="204">
        <f t="shared" si="2"/>
        <v>7.7698032308148923E-2</v>
      </c>
      <c r="O14" s="41"/>
      <c r="P14" s="41"/>
      <c r="Q14" s="41"/>
      <c r="R14" s="41"/>
      <c r="S14" s="41"/>
      <c r="T14" s="41"/>
      <c r="U14" s="41"/>
      <c r="V14" s="69"/>
      <c r="W14" s="69"/>
      <c r="X14" s="69"/>
      <c r="Y14" s="69"/>
      <c r="Z14" s="68"/>
      <c r="AA14" s="69"/>
      <c r="AB14" s="69"/>
      <c r="AC14" s="69"/>
      <c r="AD14" s="69"/>
      <c r="AE14" s="69"/>
    </row>
    <row r="15" spans="2:31" ht="17" customHeight="1">
      <c r="B15" s="50" t="s">
        <v>136</v>
      </c>
      <c r="F15" s="170">
        <v>0</v>
      </c>
      <c r="G15" s="170">
        <f>(G7+$E$7-(4.2%+G17*(10.6%-4.2%)))</f>
        <v>0.12020419684638356</v>
      </c>
      <c r="H15" s="170">
        <f>H7+$E$7-(4.2%+H17*(10.6%-4.2%))</f>
        <v>6.7245630869453787E-2</v>
      </c>
      <c r="I15" s="170">
        <f>I7+$E$7-(4.2%+I17*(10.6%-4.2%))</f>
        <v>6.3837617832236099E-2</v>
      </c>
      <c r="J15" s="170">
        <f>J7+$E$7-(4.2%+J17*(10.6%-4.2%))</f>
        <v>1.8613621908267611E-2</v>
      </c>
      <c r="K15" s="170">
        <f>K7+$E$7-(4.2%+K17*(10.6%-4.2%))</f>
        <v>8.815099712199112E-2</v>
      </c>
      <c r="N15" s="166"/>
      <c r="O15" s="167" t="s">
        <v>34</v>
      </c>
      <c r="P15" s="164" t="str">
        <f t="shared" ref="P15:U15" si="3">P6</f>
        <v>RXI</v>
      </c>
      <c r="Q15" s="164" t="str">
        <f t="shared" si="3"/>
        <v>LULU</v>
      </c>
      <c r="R15" s="164" t="str">
        <f t="shared" si="3"/>
        <v>PG</v>
      </c>
      <c r="S15" s="164" t="str">
        <f t="shared" si="3"/>
        <v>F</v>
      </c>
      <c r="T15" s="164" t="str">
        <f t="shared" si="3"/>
        <v>PM</v>
      </c>
      <c r="U15" s="164" t="str">
        <f t="shared" si="3"/>
        <v>HD</v>
      </c>
    </row>
    <row r="16" spans="2:31" ht="17" customHeight="1">
      <c r="B16" s="58" t="s">
        <v>139</v>
      </c>
      <c r="C16" s="41"/>
      <c r="D16" s="41"/>
      <c r="E16" s="41"/>
      <c r="F16" s="171">
        <f>F15*$D$27/F27</f>
        <v>0</v>
      </c>
      <c r="G16" s="171">
        <f>G15*$F$27/G27</f>
        <v>8.1478911804820225E-2</v>
      </c>
      <c r="H16" s="237">
        <f>H15*$F$27/H27</f>
        <v>5.3044382849193862E-2</v>
      </c>
      <c r="I16" s="171">
        <f>I15*$F$27/I27</f>
        <v>0.11163772645376363</v>
      </c>
      <c r="J16" s="237">
        <f t="shared" ref="J16:K16" si="4">J15*$F$27/J27</f>
        <v>2.1867181025383979E-2</v>
      </c>
      <c r="K16" s="171">
        <f t="shared" si="4"/>
        <v>7.6890047937163947E-2</v>
      </c>
      <c r="O16" s="159" t="s">
        <v>32</v>
      </c>
      <c r="P16" s="53">
        <f>F8^2</f>
        <v>4.9133908511248457E-2</v>
      </c>
      <c r="Q16" s="54"/>
      <c r="R16" s="54"/>
      <c r="S16" s="54"/>
      <c r="T16" s="54"/>
      <c r="U16" s="54"/>
    </row>
    <row r="17" spans="2:27" ht="17" customHeight="1">
      <c r="B17" s="50" t="s">
        <v>38</v>
      </c>
      <c r="D17" s="55"/>
      <c r="E17" s="64"/>
      <c r="F17" s="101">
        <v>1</v>
      </c>
      <c r="G17" s="52">
        <f>SLOPE(H39:H97,$E$39:$E$97)</f>
        <v>1.0604733291362309</v>
      </c>
      <c r="H17" s="52">
        <f>SLOPE(M39:M97,$E$39:$E$97)</f>
        <v>0.26946795086285746</v>
      </c>
      <c r="I17" s="52">
        <f>SLOPE(R39:R97,$E$39:$E$97)</f>
        <v>1.4413206199299151</v>
      </c>
      <c r="J17" s="52">
        <f>SLOPE(W39:W97,$E$39:$E$97)</f>
        <v>0.46978034286015663</v>
      </c>
      <c r="K17" s="52">
        <f>SLOPE(AB39:AB97,$E$39:$E$97)</f>
        <v>0.84526602525350936</v>
      </c>
      <c r="O17" s="160" t="str">
        <f>Q15</f>
        <v>LULU</v>
      </c>
      <c r="P17" s="56">
        <f>G17*1*P16</f>
        <v>5.2105199532398644E-2</v>
      </c>
      <c r="Q17" s="56">
        <f>G8^2</f>
        <v>0.14084518300078369</v>
      </c>
      <c r="R17" s="57"/>
      <c r="S17" s="57"/>
      <c r="T17" s="57"/>
      <c r="U17" s="57"/>
    </row>
    <row r="18" spans="2:27" ht="17" customHeight="1">
      <c r="B18" s="50" t="s">
        <v>39</v>
      </c>
      <c r="D18" s="55"/>
      <c r="E18" s="64"/>
      <c r="F18" s="101">
        <v>1</v>
      </c>
      <c r="G18" s="52">
        <f>CORREL($E$39:$E$97,H$39:H$97)</f>
        <v>0.62635335454755581</v>
      </c>
      <c r="H18" s="52">
        <f>CORREL($E$39:$E$97,M$39:M$97)</f>
        <v>0.34111722347857315</v>
      </c>
      <c r="I18" s="52">
        <f>CORREL($E$39:$E$97,R$39:R$97)</f>
        <v>0.70320710204656589</v>
      </c>
      <c r="J18" s="52">
        <f>CORREL($E$39:$E$97,W$39:W$97)</f>
        <v>0.46769507088648793</v>
      </c>
      <c r="K18" s="52">
        <f>CORREL($E$39:$E$97,AB$39:AB$97)</f>
        <v>0.74083532884667802</v>
      </c>
      <c r="L18" s="52">
        <f>CORREL($E$39:$E$97,AI$39:AI$97)</f>
        <v>0.71319684522671889</v>
      </c>
      <c r="O18" s="160" t="str">
        <f>R15</f>
        <v>PG</v>
      </c>
      <c r="P18" s="56">
        <f>$H$17*$P$16</f>
        <v>1.3240013644409233E-2</v>
      </c>
      <c r="Q18" s="56">
        <f>$H$17*G17*$P$16</f>
        <v>1.404068134729578E-2</v>
      </c>
      <c r="R18" s="56">
        <f>H8^2</f>
        <v>3.0661137046666401E-2</v>
      </c>
      <c r="S18" s="57"/>
      <c r="T18" s="57"/>
      <c r="U18" s="57"/>
    </row>
    <row r="19" spans="2:27" ht="17" customHeight="1">
      <c r="B19" s="50" t="s">
        <v>40</v>
      </c>
      <c r="D19" s="55"/>
      <c r="E19" s="64"/>
      <c r="F19" s="101">
        <v>1</v>
      </c>
      <c r="G19" s="52">
        <f>G18^2</f>
        <v>0.39231852475297613</v>
      </c>
      <c r="H19" s="52">
        <f t="shared" ref="H19:K19" si="5">H18^2</f>
        <v>0.11636096015373082</v>
      </c>
      <c r="I19" s="52">
        <f t="shared" si="5"/>
        <v>0.49450022836872931</v>
      </c>
      <c r="J19" s="52">
        <f t="shared" si="5"/>
        <v>0.21873867933151697</v>
      </c>
      <c r="K19" s="52">
        <f t="shared" si="5"/>
        <v>0.54883698446736562</v>
      </c>
      <c r="O19" s="160" t="str">
        <f>S15</f>
        <v>F</v>
      </c>
      <c r="P19" s="66">
        <f>$I$17*1*$P$16</f>
        <v>7.0817715475012352E-2</v>
      </c>
      <c r="Q19" s="66">
        <f>$I$17*G17*$P$16</f>
        <v>7.5100298491608736E-2</v>
      </c>
      <c r="R19" s="66">
        <f>$I$17*H17*$P$16</f>
        <v>1.9083104673840449E-2</v>
      </c>
      <c r="S19" s="66">
        <f>I8^2</f>
        <v>0.20641251047988363</v>
      </c>
      <c r="T19" s="67"/>
      <c r="U19" s="67"/>
    </row>
    <row r="20" spans="2:27" ht="18">
      <c r="B20" s="58" t="s">
        <v>41</v>
      </c>
      <c r="C20" s="70"/>
      <c r="D20" s="71"/>
      <c r="E20" s="60"/>
      <c r="F20" s="102">
        <v>0</v>
      </c>
      <c r="G20" s="61">
        <f>1-G19</f>
        <v>0.60768147524702387</v>
      </c>
      <c r="H20" s="61">
        <f t="shared" ref="H20:K20" si="6">1-H19</f>
        <v>0.88363903984626924</v>
      </c>
      <c r="I20" s="61">
        <f t="shared" si="6"/>
        <v>0.50549977163127069</v>
      </c>
      <c r="J20" s="61">
        <f t="shared" si="6"/>
        <v>0.78126132066848308</v>
      </c>
      <c r="K20" s="61">
        <f t="shared" si="6"/>
        <v>0.45116301553263438</v>
      </c>
      <c r="O20" s="160" t="str">
        <f>T15</f>
        <v>PM</v>
      </c>
      <c r="P20" s="205">
        <f>$J$17*$P$16</f>
        <v>2.3082144386473869E-2</v>
      </c>
      <c r="Q20" s="56">
        <f>$J$17*$P$16*G17</f>
        <v>2.4477998501127109E-2</v>
      </c>
      <c r="R20" s="56">
        <f>$J$17*$P$16*H17</f>
        <v>6.219898149343722E-3</v>
      </c>
      <c r="S20" s="56">
        <f>$J$17*$P$16</f>
        <v>2.3082144386473869E-2</v>
      </c>
      <c r="T20" s="56">
        <f>J8^2</f>
        <v>4.957302355927197E-2</v>
      </c>
      <c r="U20" s="57"/>
    </row>
    <row r="21" spans="2:27">
      <c r="B21" s="50" t="s">
        <v>160</v>
      </c>
      <c r="C21" s="50" t="s">
        <v>155</v>
      </c>
      <c r="D21" s="219"/>
      <c r="F21" s="231" t="s">
        <v>158</v>
      </c>
      <c r="G21" s="217" t="s">
        <v>156</v>
      </c>
      <c r="H21" s="217" t="s">
        <v>156</v>
      </c>
      <c r="I21" s="217" t="s">
        <v>156</v>
      </c>
      <c r="J21" s="217" t="s">
        <v>156</v>
      </c>
      <c r="K21" s="217" t="s">
        <v>156</v>
      </c>
      <c r="O21" s="160" t="str">
        <f>U15</f>
        <v>HD</v>
      </c>
      <c r="P21" s="205">
        <f>$K$17*$P$16</f>
        <v>4.153122355247256E-2</v>
      </c>
      <c r="Q21" s="56">
        <f>$K$17*$P$16*G17</f>
        <v>4.4042754903791621E-2</v>
      </c>
      <c r="R21" s="56">
        <f>$K$17*$P$16*H17</f>
        <v>1.1191333707512024E-2</v>
      </c>
      <c r="S21" s="56">
        <f>$K$17*$P$16*I17</f>
        <v>5.9859808877097638E-2</v>
      </c>
      <c r="T21" s="56">
        <f>$K$17*$P$16*J17</f>
        <v>1.9510552439882371E-2</v>
      </c>
      <c r="U21" s="56">
        <f>K8^2</f>
        <v>6.3962402770983084E-2</v>
      </c>
    </row>
    <row r="22" spans="2:27">
      <c r="C22" s="50" t="s">
        <v>154</v>
      </c>
      <c r="D22" s="220"/>
      <c r="F22" s="232"/>
      <c r="G22" s="217" t="s">
        <v>157</v>
      </c>
      <c r="H22" s="217" t="s">
        <v>157</v>
      </c>
      <c r="I22" s="217" t="s">
        <v>157</v>
      </c>
      <c r="J22" s="217" t="s">
        <v>157</v>
      </c>
      <c r="K22" s="217" t="s">
        <v>157</v>
      </c>
    </row>
    <row r="23" spans="2:27">
      <c r="C23" s="50" t="s">
        <v>161</v>
      </c>
      <c r="D23" s="55"/>
      <c r="F23" s="232"/>
      <c r="G23" s="217" t="s">
        <v>174</v>
      </c>
      <c r="H23" s="217" t="s">
        <v>174</v>
      </c>
      <c r="I23" s="217" t="s">
        <v>174</v>
      </c>
      <c r="J23" s="217" t="s">
        <v>174</v>
      </c>
      <c r="K23" s="217" t="s">
        <v>174</v>
      </c>
      <c r="O23" s="41"/>
      <c r="P23" s="41"/>
      <c r="Q23" s="41"/>
      <c r="R23" s="41"/>
      <c r="S23" s="41"/>
      <c r="T23" s="41"/>
      <c r="U23" s="41"/>
    </row>
    <row r="24" spans="2:27" ht="18">
      <c r="B24" s="41"/>
      <c r="C24" s="50" t="s">
        <v>162</v>
      </c>
      <c r="D24" s="221"/>
      <c r="E24" s="41"/>
      <c r="F24" s="233"/>
      <c r="G24" s="218" t="s">
        <v>178</v>
      </c>
      <c r="H24" s="218" t="s">
        <v>168</v>
      </c>
      <c r="I24" s="218" t="s">
        <v>177</v>
      </c>
      <c r="J24" s="218" t="s">
        <v>169</v>
      </c>
      <c r="K24" s="218" t="s">
        <v>175</v>
      </c>
      <c r="N24" s="168"/>
      <c r="O24" s="167" t="s">
        <v>42</v>
      </c>
      <c r="P24" s="165" t="str">
        <f t="shared" ref="P24:U24" si="7">P6</f>
        <v>RXI</v>
      </c>
      <c r="Q24" s="165" t="str">
        <f t="shared" si="7"/>
        <v>LULU</v>
      </c>
      <c r="R24" s="165" t="str">
        <f t="shared" si="7"/>
        <v>PG</v>
      </c>
      <c r="S24" s="165" t="str">
        <f t="shared" si="7"/>
        <v>F</v>
      </c>
      <c r="T24" s="165" t="str">
        <f t="shared" si="7"/>
        <v>PM</v>
      </c>
      <c r="U24" s="165" t="str">
        <f t="shared" si="7"/>
        <v>HD</v>
      </c>
    </row>
    <row r="25" spans="2:27" ht="17">
      <c r="B25" s="50" t="s">
        <v>159</v>
      </c>
      <c r="C25" s="51" t="s">
        <v>163</v>
      </c>
      <c r="D25" s="72"/>
      <c r="E25" s="203"/>
      <c r="F25" s="213">
        <v>167.61</v>
      </c>
      <c r="G25" s="209">
        <v>385.8</v>
      </c>
      <c r="H25" s="209">
        <v>162.25</v>
      </c>
      <c r="I25" s="209">
        <v>13.25</v>
      </c>
      <c r="J25" s="209">
        <v>91.72</v>
      </c>
      <c r="K25" s="209">
        <v>175.75</v>
      </c>
      <c r="O25" s="159" t="s">
        <v>32</v>
      </c>
      <c r="P25" s="63"/>
      <c r="Q25" s="54"/>
      <c r="R25" s="54"/>
      <c r="S25" s="54"/>
      <c r="T25" s="54"/>
      <c r="U25" s="54"/>
    </row>
    <row r="26" spans="2:27">
      <c r="C26" s="50" t="s">
        <v>43</v>
      </c>
      <c r="D26" s="55"/>
      <c r="E26" s="203"/>
      <c r="F26" s="209"/>
      <c r="G26" s="209">
        <v>12.19</v>
      </c>
      <c r="H26" s="209">
        <v>5.97</v>
      </c>
      <c r="I26" s="209">
        <v>1.08</v>
      </c>
      <c r="J26" s="209">
        <v>5.0199999999999996</v>
      </c>
      <c r="K26" s="209">
        <v>15.11</v>
      </c>
      <c r="O26" s="160" t="str">
        <f>Q24</f>
        <v>LULU</v>
      </c>
      <c r="P26" s="57"/>
      <c r="Q26" s="56">
        <v>1</v>
      </c>
      <c r="R26" s="57"/>
      <c r="S26" s="57"/>
      <c r="T26" s="57"/>
      <c r="U26" s="57"/>
      <c r="V26" s="62"/>
      <c r="AA26" s="74"/>
    </row>
    <row r="27" spans="2:27">
      <c r="C27" s="50" t="s">
        <v>44</v>
      </c>
      <c r="D27" s="206">
        <v>20.7</v>
      </c>
      <c r="F27" s="52">
        <v>21.44</v>
      </c>
      <c r="G27" s="52">
        <v>31.63</v>
      </c>
      <c r="H27" s="52">
        <v>27.18</v>
      </c>
      <c r="I27" s="52">
        <v>12.26</v>
      </c>
      <c r="J27" s="52">
        <v>18.25</v>
      </c>
      <c r="K27" s="52">
        <v>24.58</v>
      </c>
      <c r="O27" s="160" t="str">
        <f>R24</f>
        <v>PG</v>
      </c>
      <c r="P27" s="57"/>
      <c r="Q27" s="56">
        <f>CORREL(J39:J97,O39:O97)</f>
        <v>0.13081150944611419</v>
      </c>
      <c r="R27" s="56">
        <v>1</v>
      </c>
      <c r="S27" s="57"/>
      <c r="T27" s="57"/>
      <c r="U27" s="57"/>
      <c r="V27" s="62"/>
      <c r="AA27" s="74"/>
    </row>
    <row r="28" spans="2:27">
      <c r="C28" s="50" t="s">
        <v>45</v>
      </c>
      <c r="D28" s="55"/>
      <c r="E28" s="203"/>
      <c r="F28" s="209"/>
      <c r="G28" s="209">
        <v>0</v>
      </c>
      <c r="H28" s="209">
        <v>3.76</v>
      </c>
      <c r="I28" s="209">
        <v>0.6</v>
      </c>
      <c r="J28" s="209">
        <v>5.2</v>
      </c>
      <c r="K28" s="209">
        <v>9</v>
      </c>
      <c r="O28" s="160" t="str">
        <f>S24</f>
        <v>F</v>
      </c>
      <c r="P28" s="67"/>
      <c r="Q28" s="56">
        <f>CORREL(J39:J97,T39:T97)</f>
        <v>-8.0266893552730617E-2</v>
      </c>
      <c r="R28" s="56">
        <f>CORREL(O39:O97,T39:T97)</f>
        <v>-0.42897989789725594</v>
      </c>
      <c r="S28" s="66">
        <v>1</v>
      </c>
      <c r="T28" s="67"/>
      <c r="U28" s="67"/>
      <c r="V28" s="62"/>
      <c r="AA28" s="74"/>
    </row>
    <row r="29" spans="2:27">
      <c r="C29" s="50" t="s">
        <v>46</v>
      </c>
      <c r="D29" s="55"/>
      <c r="F29" s="211"/>
      <c r="G29" s="210">
        <f>G28/G25</f>
        <v>0</v>
      </c>
      <c r="H29" s="210">
        <f>H28/H25</f>
        <v>2.3174114021571646E-2</v>
      </c>
      <c r="I29" s="210">
        <f>I28/I25</f>
        <v>4.5283018867924525E-2</v>
      </c>
      <c r="J29" s="210">
        <f>J28/J25</f>
        <v>5.6694286960313998E-2</v>
      </c>
      <c r="K29" s="210">
        <f>K28/K25</f>
        <v>5.1209103840682786E-2</v>
      </c>
      <c r="O29" s="160" t="str">
        <f>T24</f>
        <v>PM</v>
      </c>
      <c r="P29" s="57"/>
      <c r="Q29" s="56">
        <f>CORREL(J39:J97,Y39:Y97)</f>
        <v>-8.0373447696549444E-2</v>
      </c>
      <c r="R29" s="56">
        <f>CORREL(O39:O97,Y39:Y97)</f>
        <v>0.40386207709366984</v>
      </c>
      <c r="S29" s="56">
        <f>CORREL(T39:T97,Y39:Y97)</f>
        <v>-0.20804479048895672</v>
      </c>
      <c r="T29" s="56">
        <v>1</v>
      </c>
      <c r="U29" s="57"/>
      <c r="V29" s="62"/>
      <c r="AA29" s="74"/>
    </row>
    <row r="30" spans="2:27">
      <c r="C30" s="50" t="s">
        <v>153</v>
      </c>
      <c r="D30" s="55"/>
      <c r="F30" s="211"/>
      <c r="G30" s="211">
        <v>481.14</v>
      </c>
      <c r="H30" s="211">
        <v>157.19999999999999</v>
      </c>
      <c r="I30" s="211">
        <v>13.15</v>
      </c>
      <c r="J30" s="211">
        <v>108.85</v>
      </c>
      <c r="K30" s="211">
        <v>187.03</v>
      </c>
      <c r="O30" s="160" t="str">
        <f>U24</f>
        <v>HD</v>
      </c>
      <c r="P30" s="57"/>
      <c r="Q30" s="56">
        <f>CORREL(J39:J97,AD39:AD97)</f>
        <v>0.18826281883617726</v>
      </c>
      <c r="R30" s="56">
        <f>CORREL(O39:O97,AD39:AD97)</f>
        <v>0.38121394644205253</v>
      </c>
      <c r="S30" s="56">
        <f>CORREL(T39:T97,AD39:AD97)</f>
        <v>-0.13751824434736082</v>
      </c>
      <c r="T30" s="56">
        <f>CORREL(Y39:Y97,AD39:AD97)</f>
        <v>2.9766661496008553E-2</v>
      </c>
      <c r="U30" s="56">
        <v>1</v>
      </c>
      <c r="V30" s="62"/>
      <c r="AA30" s="74"/>
    </row>
    <row r="31" spans="2:27">
      <c r="C31" s="58" t="s">
        <v>152</v>
      </c>
      <c r="D31" s="59"/>
      <c r="E31" s="41"/>
      <c r="F31" s="222"/>
      <c r="G31" s="212">
        <f>G30/G25-1</f>
        <v>0.24712286158631414</v>
      </c>
      <c r="H31" s="212">
        <f>H30/H25-1</f>
        <v>-3.1124807395993881E-2</v>
      </c>
      <c r="I31" s="212">
        <f>I30/I25-1</f>
        <v>-7.547169811320753E-3</v>
      </c>
      <c r="J31" s="212">
        <f>J30/J25-1</f>
        <v>0.1867640645442652</v>
      </c>
      <c r="K31" s="212">
        <f>K30/K25-1</f>
        <v>6.4182076813655842E-2</v>
      </c>
      <c r="O31" s="214"/>
      <c r="P31" s="57"/>
      <c r="V31" s="62"/>
      <c r="AA31" s="74"/>
    </row>
    <row r="32" spans="2:27">
      <c r="B32" s="215" t="s">
        <v>89</v>
      </c>
      <c r="C32" s="48"/>
      <c r="D32" s="48"/>
      <c r="E32" s="48"/>
      <c r="F32" s="216">
        <f>'Security Allocation'!D54</f>
        <v>0</v>
      </c>
      <c r="G32" s="216">
        <f>'Security Allocation'!F54</f>
        <v>0.14609887079854753</v>
      </c>
      <c r="H32" s="216">
        <f>'Security Allocation'!G54</f>
        <v>0.2924963360833131</v>
      </c>
      <c r="I32" s="216">
        <f>'Security Allocation'!H54</f>
        <v>7.4802923113150843E-2</v>
      </c>
      <c r="J32" s="216">
        <f>'Security Allocation'!I54</f>
        <v>8.4351973806310945E-2</v>
      </c>
      <c r="K32" s="216">
        <f>'Security Allocation'!J54</f>
        <v>0.40224989619867751</v>
      </c>
      <c r="O32" s="214"/>
      <c r="P32" s="57"/>
      <c r="V32" s="62"/>
      <c r="AA32" s="74"/>
    </row>
    <row r="33" spans="2:35">
      <c r="O33" s="214"/>
      <c r="P33" s="57"/>
      <c r="V33" s="62"/>
      <c r="AA33" s="74"/>
    </row>
    <row r="34" spans="2:35" ht="23">
      <c r="B34" s="38" t="s">
        <v>47</v>
      </c>
      <c r="C34" s="39"/>
      <c r="D34" s="39"/>
      <c r="E34" s="39"/>
    </row>
    <row r="35" spans="2:35" ht="8" customHeight="1">
      <c r="B35" s="39"/>
      <c r="C35" s="39"/>
      <c r="D35" s="39"/>
      <c r="E35" s="39"/>
    </row>
    <row r="36" spans="2:35" ht="22" customHeight="1">
      <c r="B36" s="75" t="s">
        <v>48</v>
      </c>
      <c r="C36" s="235" t="s">
        <v>172</v>
      </c>
      <c r="D36" s="234"/>
      <c r="E36" s="236"/>
      <c r="F36" s="235" t="s">
        <v>180</v>
      </c>
      <c r="G36" s="234"/>
      <c r="H36" s="234"/>
      <c r="I36" s="234"/>
      <c r="J36" s="236"/>
      <c r="K36" s="235" t="s">
        <v>166</v>
      </c>
      <c r="L36" s="234"/>
      <c r="M36" s="234"/>
      <c r="N36" s="234"/>
      <c r="O36" s="236"/>
      <c r="P36" s="235" t="s">
        <v>176</v>
      </c>
      <c r="Q36" s="234"/>
      <c r="R36" s="234"/>
      <c r="S36" s="234"/>
      <c r="T36" s="236"/>
      <c r="U36" s="235" t="s">
        <v>167</v>
      </c>
      <c r="V36" s="234"/>
      <c r="W36" s="234"/>
      <c r="X36" s="234"/>
      <c r="Y36" s="236"/>
      <c r="Z36" s="234" t="s">
        <v>171</v>
      </c>
      <c r="AA36" s="234"/>
      <c r="AB36" s="234"/>
      <c r="AC36" s="234"/>
      <c r="AD36" s="234"/>
      <c r="AE36" s="234" t="s">
        <v>88</v>
      </c>
      <c r="AF36" s="236"/>
      <c r="AG36" s="235" t="s">
        <v>114</v>
      </c>
      <c r="AH36" s="234"/>
      <c r="AI36" s="234"/>
    </row>
    <row r="37" spans="2:35" s="80" customFormat="1" ht="42">
      <c r="B37" s="76" t="s">
        <v>49</v>
      </c>
      <c r="C37" s="77" t="s">
        <v>50</v>
      </c>
      <c r="D37" s="78" t="s">
        <v>51</v>
      </c>
      <c r="E37" s="150" t="s">
        <v>148</v>
      </c>
      <c r="F37" s="77" t="s">
        <v>50</v>
      </c>
      <c r="G37" s="78" t="s">
        <v>51</v>
      </c>
      <c r="H37" s="78" t="s">
        <v>52</v>
      </c>
      <c r="I37" s="78" t="s">
        <v>53</v>
      </c>
      <c r="J37" s="79" t="s">
        <v>54</v>
      </c>
      <c r="K37" s="77" t="s">
        <v>50</v>
      </c>
      <c r="L37" s="78" t="s">
        <v>51</v>
      </c>
      <c r="M37" s="78" t="s">
        <v>52</v>
      </c>
      <c r="N37" s="78" t="s">
        <v>53</v>
      </c>
      <c r="O37" s="79" t="s">
        <v>54</v>
      </c>
      <c r="P37" s="77" t="s">
        <v>50</v>
      </c>
      <c r="Q37" s="78" t="s">
        <v>51</v>
      </c>
      <c r="R37" s="78" t="s">
        <v>52</v>
      </c>
      <c r="S37" s="78" t="s">
        <v>53</v>
      </c>
      <c r="T37" s="79" t="s">
        <v>54</v>
      </c>
      <c r="U37" s="77" t="s">
        <v>50</v>
      </c>
      <c r="V37" s="78" t="s">
        <v>51</v>
      </c>
      <c r="W37" s="78" t="s">
        <v>52</v>
      </c>
      <c r="X37" s="78" t="s">
        <v>53</v>
      </c>
      <c r="Y37" s="79" t="s">
        <v>54</v>
      </c>
      <c r="Z37" s="77" t="s">
        <v>50</v>
      </c>
      <c r="AA37" s="78" t="s">
        <v>51</v>
      </c>
      <c r="AB37" s="78" t="s">
        <v>52</v>
      </c>
      <c r="AC37" s="78" t="s">
        <v>53</v>
      </c>
      <c r="AD37" s="79" t="s">
        <v>54</v>
      </c>
      <c r="AE37" s="202" t="s">
        <v>149</v>
      </c>
      <c r="AF37" s="150" t="s">
        <v>150</v>
      </c>
      <c r="AG37" s="77" t="s">
        <v>50</v>
      </c>
      <c r="AH37" s="78" t="s">
        <v>51</v>
      </c>
      <c r="AI37" s="78" t="s">
        <v>52</v>
      </c>
    </row>
    <row r="38" spans="2:35">
      <c r="B38" s="224">
        <v>43556</v>
      </c>
      <c r="C38" s="81">
        <v>113.80590100000001</v>
      </c>
      <c r="D38" s="82"/>
      <c r="E38" s="83"/>
      <c r="F38" s="223">
        <v>176.35000600000001</v>
      </c>
      <c r="J38" s="55"/>
      <c r="K38" s="223">
        <v>93.969787999999994</v>
      </c>
      <c r="O38" s="55"/>
      <c r="P38" s="223">
        <v>8.3240940000000005</v>
      </c>
      <c r="T38" s="55"/>
      <c r="U38" s="223">
        <v>65.368972999999997</v>
      </c>
      <c r="Y38" s="55"/>
      <c r="Z38" s="199">
        <v>180.35794100000001</v>
      </c>
      <c r="AD38" s="55"/>
      <c r="AE38" s="201">
        <f>C38</f>
        <v>113.80590100000001</v>
      </c>
      <c r="AF38" s="83"/>
      <c r="AG38" s="199">
        <v>101.751411</v>
      </c>
      <c r="AH38" s="82"/>
      <c r="AI38" s="82"/>
    </row>
    <row r="39" spans="2:35">
      <c r="B39" s="224">
        <v>43586</v>
      </c>
      <c r="C39" s="81">
        <v>105.394104</v>
      </c>
      <c r="D39" s="84">
        <f>C39/C38-1</f>
        <v>-7.3913539861171218E-2</v>
      </c>
      <c r="E39" s="85">
        <f t="shared" ref="E39:E70" si="8">D39-$E$7/12</f>
        <v>-7.8105206527837881E-2</v>
      </c>
      <c r="F39" s="223">
        <v>165.58999600000001</v>
      </c>
      <c r="G39" s="84">
        <f>F39/F38-1</f>
        <v>-6.1015081564556262E-2</v>
      </c>
      <c r="H39" s="84">
        <f>G39-$E$7/12</f>
        <v>-6.5206748231222925E-2</v>
      </c>
      <c r="I39" s="84">
        <f>$G$17*E39</f>
        <v>-8.2828488389449118E-2</v>
      </c>
      <c r="J39" s="85">
        <f>H39-$G$13/12-I39</f>
        <v>7.3317765430816195E-3</v>
      </c>
      <c r="K39" s="223">
        <v>91.460357999999999</v>
      </c>
      <c r="L39" s="84">
        <f>K39/K38-1</f>
        <v>-2.6704646816910982E-2</v>
      </c>
      <c r="M39" s="84">
        <f t="shared" ref="M39:M70" si="9">L39-$E$7/12</f>
        <v>-3.0896313483577648E-2</v>
      </c>
      <c r="N39" s="84">
        <f>$H$17*E39</f>
        <v>-2.1046849954776754E-2</v>
      </c>
      <c r="O39" s="85">
        <f>M39-$G$13/12-N39</f>
        <v>-2.0139427143945478E-2</v>
      </c>
      <c r="P39" s="223">
        <v>7.7049440000000002</v>
      </c>
      <c r="Q39" s="84">
        <f>P39/P38-1</f>
        <v>-7.4380467111495929E-2</v>
      </c>
      <c r="R39" s="84">
        <f>Q39-$E$7/12</f>
        <v>-7.8572133778162592E-2</v>
      </c>
      <c r="S39" s="84">
        <f>$I$17*E39</f>
        <v>-0.11257464469245734</v>
      </c>
      <c r="T39" s="85">
        <f t="shared" ref="T39:T70" si="10">R39-$I$13/12-S39</f>
        <v>2.8063340886082241E-2</v>
      </c>
      <c r="U39" s="223">
        <v>58.247559000000003</v>
      </c>
      <c r="V39" s="84">
        <f>U39/U38-1</f>
        <v>-0.10894180638267015</v>
      </c>
      <c r="W39" s="84">
        <f t="shared" ref="W39:W70" si="11">V39-$E$7/12</f>
        <v>-0.11313347304933681</v>
      </c>
      <c r="X39" s="84">
        <f t="shared" ref="X39:X70" si="12">$J$17*E39</f>
        <v>-3.6692290701811021E-2</v>
      </c>
      <c r="Y39" s="85">
        <f t="shared" ref="Y39:Y70" si="13">W39-$J$13/12-X39</f>
        <v>-7.7727966290311673E-2</v>
      </c>
      <c r="Z39" s="199">
        <v>168.09498600000001</v>
      </c>
      <c r="AA39" s="84">
        <f>Z39/Z38-1</f>
        <v>-6.7992320892596547E-2</v>
      </c>
      <c r="AB39" s="84">
        <f t="shared" ref="AB39:AB70" si="14">AA39-$E$7/12</f>
        <v>-7.218398755926321E-2</v>
      </c>
      <c r="AC39" s="84">
        <f t="shared" ref="AC39:AC70" si="15">$K$17*E39</f>
        <v>-6.6019677473389979E-2</v>
      </c>
      <c r="AD39" s="85">
        <f t="shared" ref="AD39:AD70" si="16">AB39-$K$13/12-AC39</f>
        <v>-1.3587419671283296E-2</v>
      </c>
      <c r="AE39" s="200">
        <f>AE38*(1+AF39)</f>
        <v>106.63383612576808</v>
      </c>
      <c r="AF39" s="85">
        <f t="shared" ref="AF39:AF70" si="17">$F$32*E39+$G$32*H39+$H$32*M39+$I$32*R39+$J$32*W39+$K$32*AB39</f>
        <v>-6.3020149317493779E-2</v>
      </c>
      <c r="AG39" s="199">
        <v>103.43654600000001</v>
      </c>
      <c r="AH39" s="84">
        <f>AG39/AG38-1</f>
        <v>1.6561293680733336E-2</v>
      </c>
      <c r="AI39" s="84">
        <f t="shared" ref="AI39:AI97" si="18">AH39-$E$7/12</f>
        <v>1.2369627014066669E-2</v>
      </c>
    </row>
    <row r="40" spans="2:35">
      <c r="B40" s="224">
        <v>43617</v>
      </c>
      <c r="C40" s="81">
        <v>112.514702</v>
      </c>
      <c r="D40" s="84">
        <f t="shared" ref="D40:D96" si="19">C40/C39-1</f>
        <v>6.7561635136629716E-2</v>
      </c>
      <c r="E40" s="85">
        <f t="shared" si="8"/>
        <v>6.3369968469963053E-2</v>
      </c>
      <c r="F40" s="223">
        <v>180.21000699999999</v>
      </c>
      <c r="G40" s="84">
        <f t="shared" ref="G40:G97" si="20">F40/F39-1</f>
        <v>8.8290424259687583E-2</v>
      </c>
      <c r="H40" s="84">
        <f t="shared" ref="H40:H70" si="21">G40-$E$7/12</f>
        <v>8.409875759302092E-2</v>
      </c>
      <c r="I40" s="84">
        <f t="shared" ref="I40:I70" si="22">$G$17*E40</f>
        <v>6.7202161430599705E-2</v>
      </c>
      <c r="J40" s="85">
        <f t="shared" ref="J40:J70" si="23">H40-$G$13/12-I40</f>
        <v>6.6066325472766418E-3</v>
      </c>
      <c r="K40" s="223">
        <v>97.450485</v>
      </c>
      <c r="L40" s="84">
        <f t="shared" ref="L40:L97" si="24">K40/K39-1</f>
        <v>6.5494243965237953E-2</v>
      </c>
      <c r="M40" s="84">
        <f t="shared" si="9"/>
        <v>6.130257729857129E-2</v>
      </c>
      <c r="N40" s="84">
        <f t="shared" ref="N40:N70" si="25">$H$17*E40</f>
        <v>1.7076175549844832E-2</v>
      </c>
      <c r="O40" s="85">
        <f t="shared" ref="O40:O70" si="26">M40-$G$13/12-N40</f>
        <v>3.3936438133581881E-2</v>
      </c>
      <c r="P40" s="223">
        <v>8.2795799999999993</v>
      </c>
      <c r="Q40" s="84">
        <f t="shared" ref="Q40:Q97" si="27">P40/P39-1</f>
        <v>7.4580165670250054E-2</v>
      </c>
      <c r="R40" s="84">
        <f t="shared" ref="R40:R70" si="28">Q40-$E$7/12</f>
        <v>7.0388499003583391E-2</v>
      </c>
      <c r="S40" s="84">
        <f t="shared" ref="S40:S71" si="29">$G$17*O40</f>
        <v>3.598868752654532E-2</v>
      </c>
      <c r="T40" s="85">
        <f t="shared" si="10"/>
        <v>2.8460641448825562E-2</v>
      </c>
      <c r="U40" s="223">
        <v>59.304820999999997</v>
      </c>
      <c r="V40" s="84">
        <f t="shared" ref="V40:V97" si="30">U40/U39-1</f>
        <v>1.8151181236624847E-2</v>
      </c>
      <c r="W40" s="84">
        <f t="shared" si="11"/>
        <v>1.3959514569958181E-2</v>
      </c>
      <c r="X40" s="84">
        <f t="shared" si="12"/>
        <v>2.9769965514856559E-2</v>
      </c>
      <c r="Y40" s="85">
        <f t="shared" si="13"/>
        <v>-1.7097234887684262E-2</v>
      </c>
      <c r="Z40" s="199">
        <v>184.13867200000001</v>
      </c>
      <c r="AA40" s="84">
        <f t="shared" ref="AA40:AA97" si="31">Z40/Z39-1</f>
        <v>9.544416750181961E-2</v>
      </c>
      <c r="AB40" s="84">
        <f t="shared" si="14"/>
        <v>9.1252500835152947E-2</v>
      </c>
      <c r="AC40" s="84">
        <f t="shared" si="15"/>
        <v>5.3564481369045881E-2</v>
      </c>
      <c r="AD40" s="85">
        <f t="shared" si="16"/>
        <v>3.0264909880697001E-2</v>
      </c>
      <c r="AE40" s="200">
        <f t="shared" ref="AE40:AE70" si="32">AE39*(1+AF40)</f>
        <v>114.45719811099804</v>
      </c>
      <c r="AF40" s="85">
        <f t="shared" si="17"/>
        <v>7.3366599847376396E-2</v>
      </c>
      <c r="AG40" s="199">
        <v>106.78228</v>
      </c>
      <c r="AH40" s="84">
        <f t="shared" ref="AH40:AH94" si="33">AG40/AG39-1</f>
        <v>3.2345762976269565E-2</v>
      </c>
      <c r="AI40" s="84">
        <f t="shared" si="18"/>
        <v>2.8154096309602899E-2</v>
      </c>
    </row>
    <row r="41" spans="2:35">
      <c r="B41" s="224">
        <v>43647</v>
      </c>
      <c r="C41" s="81">
        <v>114.07710299999999</v>
      </c>
      <c r="D41" s="84">
        <f t="shared" si="19"/>
        <v>1.3886194179317135E-2</v>
      </c>
      <c r="E41" s="85">
        <f t="shared" si="8"/>
        <v>9.6945275126504686E-3</v>
      </c>
      <c r="F41" s="223">
        <v>191.08999600000001</v>
      </c>
      <c r="G41" s="84">
        <f t="shared" si="20"/>
        <v>6.037394471662183E-2</v>
      </c>
      <c r="H41" s="84">
        <f t="shared" si="21"/>
        <v>5.6182278049955167E-2</v>
      </c>
      <c r="I41" s="84">
        <f t="shared" si="22"/>
        <v>1.0280787865743227E-2</v>
      </c>
      <c r="J41" s="85">
        <f t="shared" si="23"/>
        <v>3.561152656906736E-2</v>
      </c>
      <c r="K41" s="223">
        <v>104.906998</v>
      </c>
      <c r="L41" s="84">
        <f t="shared" si="24"/>
        <v>7.6515914723256584E-2</v>
      </c>
      <c r="M41" s="84">
        <f t="shared" si="9"/>
        <v>7.2324248056589921E-2</v>
      </c>
      <c r="N41" s="84">
        <f t="shared" si="25"/>
        <v>2.6123644634175164E-3</v>
      </c>
      <c r="O41" s="85">
        <f t="shared" si="26"/>
        <v>5.9421919978027822E-2</v>
      </c>
      <c r="P41" s="223">
        <v>7.7130390000000002</v>
      </c>
      <c r="Q41" s="84">
        <f t="shared" si="27"/>
        <v>-6.8426296986078938E-2</v>
      </c>
      <c r="R41" s="84">
        <f t="shared" si="28"/>
        <v>-7.2617963652745601E-2</v>
      </c>
      <c r="S41" s="84">
        <f t="shared" si="29"/>
        <v>6.3015361302765874E-2</v>
      </c>
      <c r="T41" s="85">
        <f t="shared" si="10"/>
        <v>-0.14157249498372398</v>
      </c>
      <c r="U41" s="223">
        <v>64.094436999999999</v>
      </c>
      <c r="V41" s="84">
        <f t="shared" si="30"/>
        <v>8.0762675263786887E-2</v>
      </c>
      <c r="W41" s="84">
        <f t="shared" si="11"/>
        <v>7.6571008597120224E-2</v>
      </c>
      <c r="X41" s="84">
        <f t="shared" si="12"/>
        <v>4.5542984587601584E-3</v>
      </c>
      <c r="Y41" s="85">
        <f t="shared" si="13"/>
        <v>7.0729926195574194E-2</v>
      </c>
      <c r="Z41" s="199">
        <v>190.53028900000001</v>
      </c>
      <c r="AA41" s="84">
        <f t="shared" si="31"/>
        <v>3.4710888976108079E-2</v>
      </c>
      <c r="AB41" s="84">
        <f t="shared" si="14"/>
        <v>3.0519222309441412E-2</v>
      </c>
      <c r="AC41" s="84">
        <f t="shared" si="15"/>
        <v>8.1944547373288528E-3</v>
      </c>
      <c r="AD41" s="85">
        <f t="shared" si="16"/>
        <v>1.4901657986702498E-2</v>
      </c>
      <c r="AE41" s="200">
        <f t="shared" si="32"/>
        <v>119.34062648930212</v>
      </c>
      <c r="AF41" s="85">
        <f t="shared" si="17"/>
        <v>4.2665978714316058E-2</v>
      </c>
      <c r="AG41" s="199">
        <v>107.07666</v>
      </c>
      <c r="AH41" s="84">
        <f t="shared" si="33"/>
        <v>2.7568244469027281E-3</v>
      </c>
      <c r="AI41" s="84">
        <f t="shared" si="18"/>
        <v>-1.4348422197639384E-3</v>
      </c>
    </row>
    <row r="42" spans="2:35">
      <c r="B42" s="224">
        <v>43678</v>
      </c>
      <c r="C42" s="81">
        <v>112.351555</v>
      </c>
      <c r="D42" s="84">
        <f t="shared" si="19"/>
        <v>-1.5126155509050609E-2</v>
      </c>
      <c r="E42" s="85">
        <f t="shared" si="8"/>
        <v>-1.9317822175717276E-2</v>
      </c>
      <c r="F42" s="223">
        <v>184.66999799999999</v>
      </c>
      <c r="G42" s="84">
        <f t="shared" si="20"/>
        <v>-3.3596724759992203E-2</v>
      </c>
      <c r="H42" s="84">
        <f t="shared" si="21"/>
        <v>-3.7788391426658866E-2</v>
      </c>
      <c r="I42" s="84">
        <f t="shared" si="22"/>
        <v>-2.0486035194344606E-2</v>
      </c>
      <c r="J42" s="85">
        <f t="shared" si="23"/>
        <v>-2.759231984745884E-2</v>
      </c>
      <c r="K42" s="223">
        <v>107.54534099999999</v>
      </c>
      <c r="L42" s="84">
        <f t="shared" si="24"/>
        <v>2.5149351809685694E-2</v>
      </c>
      <c r="M42" s="84">
        <f t="shared" si="9"/>
        <v>2.0957685143019027E-2</v>
      </c>
      <c r="N42" s="84">
        <f t="shared" si="25"/>
        <v>-5.2055339568236013E-3</v>
      </c>
      <c r="O42" s="85">
        <f t="shared" si="26"/>
        <v>1.5873255484698048E-2</v>
      </c>
      <c r="P42" s="223">
        <v>7.5324450000000001</v>
      </c>
      <c r="Q42" s="84">
        <f t="shared" si="27"/>
        <v>-2.3414117314848326E-2</v>
      </c>
      <c r="R42" s="84">
        <f t="shared" si="28"/>
        <v>-2.7605783981514993E-2</v>
      </c>
      <c r="S42" s="84">
        <f t="shared" si="29"/>
        <v>1.6833164088087677E-2</v>
      </c>
      <c r="T42" s="85">
        <f t="shared" si="10"/>
        <v>-5.0378118097815186E-2</v>
      </c>
      <c r="U42" s="223">
        <v>55.263343999999996</v>
      </c>
      <c r="V42" s="84">
        <f t="shared" si="30"/>
        <v>-0.13778251925358209</v>
      </c>
      <c r="W42" s="84">
        <f t="shared" si="11"/>
        <v>-0.14197418592024877</v>
      </c>
      <c r="X42" s="84">
        <f t="shared" si="12"/>
        <v>-9.0751331250199987E-3</v>
      </c>
      <c r="Y42" s="85">
        <f t="shared" si="13"/>
        <v>-0.13418583673801465</v>
      </c>
      <c r="Z42" s="199">
        <v>203.209137</v>
      </c>
      <c r="AA42" s="84">
        <f t="shared" si="31"/>
        <v>6.6545052057313425E-2</v>
      </c>
      <c r="AB42" s="84">
        <f t="shared" si="14"/>
        <v>6.2353385390646762E-2</v>
      </c>
      <c r="AC42" s="84">
        <f t="shared" si="15"/>
        <v>-1.6328698767022642E-2</v>
      </c>
      <c r="AD42" s="85">
        <f t="shared" si="16"/>
        <v>7.1258974572259354E-2</v>
      </c>
      <c r="AE42" s="200">
        <f t="shared" si="32"/>
        <v>120.73095092831802</v>
      </c>
      <c r="AF42" s="85">
        <f t="shared" si="17"/>
        <v>1.165005145285151E-2</v>
      </c>
      <c r="AG42" s="199">
        <v>111.243889</v>
      </c>
      <c r="AH42" s="84">
        <f t="shared" si="33"/>
        <v>3.8918182543235869E-2</v>
      </c>
      <c r="AI42" s="84">
        <f t="shared" si="18"/>
        <v>3.4726515876569206E-2</v>
      </c>
    </row>
    <row r="43" spans="2:35">
      <c r="B43" s="224">
        <v>43709</v>
      </c>
      <c r="C43" s="81">
        <v>114.9207</v>
      </c>
      <c r="D43" s="84">
        <f t="shared" si="19"/>
        <v>2.2867017728414929E-2</v>
      </c>
      <c r="E43" s="85">
        <f t="shared" si="8"/>
        <v>1.8675351061748263E-2</v>
      </c>
      <c r="F43" s="223">
        <v>192.529999</v>
      </c>
      <c r="G43" s="84">
        <f t="shared" si="20"/>
        <v>4.2562414496804202E-2</v>
      </c>
      <c r="H43" s="84">
        <f t="shared" si="21"/>
        <v>3.8370747830137539E-2</v>
      </c>
      <c r="I43" s="84">
        <f t="shared" si="22"/>
        <v>1.9804711713240025E-2</v>
      </c>
      <c r="J43" s="85">
        <f t="shared" si="23"/>
        <v>8.2760725017529332E-3</v>
      </c>
      <c r="K43" s="223">
        <v>111.25749999999999</v>
      </c>
      <c r="L43" s="84">
        <f t="shared" si="24"/>
        <v>3.4517153095455777E-2</v>
      </c>
      <c r="M43" s="84">
        <f t="shared" si="9"/>
        <v>3.0325486428789111E-2</v>
      </c>
      <c r="N43" s="84">
        <f t="shared" si="25"/>
        <v>5.0324085822537942E-3</v>
      </c>
      <c r="O43" s="85">
        <f t="shared" si="26"/>
        <v>1.5003114231390736E-2</v>
      </c>
      <c r="P43" s="223">
        <v>7.5242319999999996</v>
      </c>
      <c r="Q43" s="84">
        <f t="shared" si="27"/>
        <v>-1.0903498133740808E-3</v>
      </c>
      <c r="R43" s="84">
        <f t="shared" si="28"/>
        <v>-5.2820164800407472E-3</v>
      </c>
      <c r="S43" s="84">
        <f t="shared" si="29"/>
        <v>1.5910402496374099E-2</v>
      </c>
      <c r="T43" s="85">
        <f t="shared" si="10"/>
        <v>-2.7131589004627359E-2</v>
      </c>
      <c r="U43" s="223">
        <v>58.207039000000002</v>
      </c>
      <c r="V43" s="84">
        <f t="shared" si="30"/>
        <v>5.326668252286737E-2</v>
      </c>
      <c r="W43" s="84">
        <f t="shared" si="11"/>
        <v>4.9075015856200707E-2</v>
      </c>
      <c r="X43" s="84">
        <f t="shared" si="12"/>
        <v>8.7733128248218897E-3</v>
      </c>
      <c r="Y43" s="85">
        <f t="shared" si="13"/>
        <v>3.9014919088592934E-2</v>
      </c>
      <c r="Z43" s="199">
        <v>206.87370300000001</v>
      </c>
      <c r="AA43" s="84">
        <f t="shared" si="31"/>
        <v>1.8033470611117375E-2</v>
      </c>
      <c r="AB43" s="84">
        <f t="shared" si="14"/>
        <v>1.3841803944450708E-2</v>
      </c>
      <c r="AC43" s="84">
        <f t="shared" si="15"/>
        <v>1.578563976217786E-2</v>
      </c>
      <c r="AD43" s="85">
        <f t="shared" si="16"/>
        <v>-9.3669454031372126E-3</v>
      </c>
      <c r="AE43" s="200">
        <f t="shared" si="32"/>
        <v>123.6029404386809</v>
      </c>
      <c r="AF43" s="85">
        <f t="shared" si="17"/>
        <v>2.3788344979309359E-2</v>
      </c>
      <c r="AG43" s="199">
        <v>110.412857</v>
      </c>
      <c r="AH43" s="84">
        <f t="shared" si="33"/>
        <v>-7.4703609112406477E-3</v>
      </c>
      <c r="AI43" s="84">
        <f t="shared" si="18"/>
        <v>-1.1662027577907314E-2</v>
      </c>
    </row>
    <row r="44" spans="2:35">
      <c r="B44" s="224">
        <v>43739</v>
      </c>
      <c r="C44" s="81">
        <v>117.499405</v>
      </c>
      <c r="D44" s="84">
        <f t="shared" si="19"/>
        <v>2.2438994889519392E-2</v>
      </c>
      <c r="E44" s="85">
        <f t="shared" si="8"/>
        <v>1.8247328222852726E-2</v>
      </c>
      <c r="F44" s="223">
        <v>204.270004</v>
      </c>
      <c r="G44" s="84">
        <f t="shared" si="20"/>
        <v>6.0977536285137468E-2</v>
      </c>
      <c r="H44" s="84">
        <f t="shared" si="21"/>
        <v>5.6785869618470805E-2</v>
      </c>
      <c r="I44" s="84">
        <f t="shared" si="22"/>
        <v>1.9350804908330136E-2</v>
      </c>
      <c r="J44" s="85">
        <f t="shared" si="23"/>
        <v>2.7145101094996089E-2</v>
      </c>
      <c r="K44" s="223">
        <v>111.373802</v>
      </c>
      <c r="L44" s="84">
        <f t="shared" si="24"/>
        <v>1.0453407635440115E-3</v>
      </c>
      <c r="M44" s="84">
        <f t="shared" si="9"/>
        <v>-3.1463259031226549E-3</v>
      </c>
      <c r="N44" s="84">
        <f t="shared" si="25"/>
        <v>4.9170701449341107E-3</v>
      </c>
      <c r="O44" s="85">
        <f t="shared" si="26"/>
        <v>-1.8353359663201348E-2</v>
      </c>
      <c r="P44" s="223">
        <v>7.0560229999999997</v>
      </c>
      <c r="Q44" s="84">
        <f t="shared" si="27"/>
        <v>-6.2226815972713179E-2</v>
      </c>
      <c r="R44" s="84">
        <f t="shared" si="28"/>
        <v>-6.6418482639379842E-2</v>
      </c>
      <c r="S44" s="84">
        <f t="shared" si="29"/>
        <v>-1.9463248422869749E-2</v>
      </c>
      <c r="T44" s="85">
        <f t="shared" si="10"/>
        <v>-5.2894404244722602E-2</v>
      </c>
      <c r="U44" s="223">
        <v>63.462223000000002</v>
      </c>
      <c r="V44" s="84">
        <f t="shared" si="30"/>
        <v>9.0284338291112931E-2</v>
      </c>
      <c r="W44" s="84">
        <f t="shared" si="11"/>
        <v>8.6092671624446268E-2</v>
      </c>
      <c r="X44" s="84">
        <f t="shared" si="12"/>
        <v>8.5722361088135662E-3</v>
      </c>
      <c r="Y44" s="85">
        <f t="shared" si="13"/>
        <v>7.6233651572846825E-2</v>
      </c>
      <c r="Z44" s="199">
        <v>210.43345600000001</v>
      </c>
      <c r="AA44" s="84">
        <f t="shared" si="31"/>
        <v>1.720737313818943E-2</v>
      </c>
      <c r="AB44" s="84">
        <f t="shared" si="14"/>
        <v>1.3015706471522764E-2</v>
      </c>
      <c r="AC44" s="84">
        <f t="shared" si="15"/>
        <v>1.5423846598426907E-2</v>
      </c>
      <c r="AD44" s="85">
        <f t="shared" si="16"/>
        <v>-9.8312497123142044E-3</v>
      </c>
      <c r="AE44" s="200">
        <f t="shared" si="32"/>
        <v>125.44529409739381</v>
      </c>
      <c r="AF44" s="85">
        <f t="shared" si="17"/>
        <v>1.4905419338522168E-2</v>
      </c>
      <c r="AG44" s="199">
        <v>110.912628</v>
      </c>
      <c r="AH44" s="84">
        <f t="shared" si="33"/>
        <v>4.5263840967360025E-3</v>
      </c>
      <c r="AI44" s="84">
        <f t="shared" si="18"/>
        <v>3.3471743006933605E-4</v>
      </c>
    </row>
    <row r="45" spans="2:35">
      <c r="B45" s="224">
        <v>43770</v>
      </c>
      <c r="C45" s="81">
        <v>118.47721900000001</v>
      </c>
      <c r="D45" s="84">
        <f t="shared" si="19"/>
        <v>8.3218634170956207E-3</v>
      </c>
      <c r="E45" s="85">
        <f t="shared" si="8"/>
        <v>4.1301967504289543E-3</v>
      </c>
      <c r="F45" s="223">
        <v>225.69000199999999</v>
      </c>
      <c r="G45" s="84">
        <f t="shared" si="20"/>
        <v>0.1048612012559611</v>
      </c>
      <c r="H45" s="84">
        <f t="shared" si="21"/>
        <v>0.10066953458929444</v>
      </c>
      <c r="I45" s="84">
        <f t="shared" si="22"/>
        <v>4.3799634979150362E-3</v>
      </c>
      <c r="J45" s="85">
        <f t="shared" si="23"/>
        <v>8.5999607476234835E-2</v>
      </c>
      <c r="K45" s="223">
        <v>109.879707</v>
      </c>
      <c r="L45" s="84">
        <f t="shared" si="24"/>
        <v>-1.3415138687642214E-2</v>
      </c>
      <c r="M45" s="84">
        <f t="shared" si="9"/>
        <v>-1.7606805354308881E-2</v>
      </c>
      <c r="N45" s="84">
        <f t="shared" si="25"/>
        <v>1.112955654998523E-3</v>
      </c>
      <c r="O45" s="85">
        <f t="shared" si="26"/>
        <v>-2.9009724624451984E-2</v>
      </c>
      <c r="P45" s="223">
        <v>7.5642250000000004</v>
      </c>
      <c r="Q45" s="84">
        <f t="shared" si="27"/>
        <v>7.2023858198875024E-2</v>
      </c>
      <c r="R45" s="84">
        <f t="shared" si="28"/>
        <v>6.7832191532208361E-2</v>
      </c>
      <c r="S45" s="84">
        <f t="shared" si="29"/>
        <v>-3.0764039249817892E-2</v>
      </c>
      <c r="T45" s="85">
        <f t="shared" si="10"/>
        <v>9.2657060753813733E-2</v>
      </c>
      <c r="U45" s="223">
        <v>64.623290999999995</v>
      </c>
      <c r="V45" s="84">
        <f t="shared" si="30"/>
        <v>1.829541962310377E-2</v>
      </c>
      <c r="W45" s="84">
        <f t="shared" si="11"/>
        <v>1.4103752956437104E-2</v>
      </c>
      <c r="X45" s="84">
        <f t="shared" si="12"/>
        <v>1.9402852454964189E-3</v>
      </c>
      <c r="Y45" s="85">
        <f t="shared" si="13"/>
        <v>1.0876683768154803E-2</v>
      </c>
      <c r="Z45" s="199">
        <v>197.81178299999999</v>
      </c>
      <c r="AA45" s="84">
        <f t="shared" si="31"/>
        <v>-5.9979402704862794E-2</v>
      </c>
      <c r="AB45" s="84">
        <f t="shared" si="14"/>
        <v>-6.4171069371529457E-2</v>
      </c>
      <c r="AC45" s="84">
        <f t="shared" si="15"/>
        <v>3.4911149907500428E-3</v>
      </c>
      <c r="AD45" s="85">
        <f t="shared" si="16"/>
        <v>-7.5085293947689563E-2</v>
      </c>
      <c r="AE45" s="200">
        <f t="shared" si="32"/>
        <v>124.19193239062211</v>
      </c>
      <c r="AF45" s="85">
        <f t="shared" si="17"/>
        <v>-9.9913011148796589E-3</v>
      </c>
      <c r="AG45" s="199">
        <v>111.432114</v>
      </c>
      <c r="AH45" s="84">
        <f t="shared" si="33"/>
        <v>4.6837407909945394E-3</v>
      </c>
      <c r="AI45" s="84">
        <f t="shared" si="18"/>
        <v>4.9207412432787298E-4</v>
      </c>
    </row>
    <row r="46" spans="2:35">
      <c r="B46" s="224">
        <v>43800</v>
      </c>
      <c r="C46" s="81">
        <v>120.720406</v>
      </c>
      <c r="D46" s="84">
        <f t="shared" si="19"/>
        <v>1.89334879644667E-2</v>
      </c>
      <c r="E46" s="85">
        <f t="shared" si="8"/>
        <v>1.4741821297800033E-2</v>
      </c>
      <c r="F46" s="223">
        <v>231.66999799999999</v>
      </c>
      <c r="G46" s="84">
        <f t="shared" si="20"/>
        <v>2.6496503819429362E-2</v>
      </c>
      <c r="H46" s="84">
        <f t="shared" si="21"/>
        <v>2.2304837152762696E-2</v>
      </c>
      <c r="I46" s="84">
        <f t="shared" si="22"/>
        <v>1.5633308309209393E-2</v>
      </c>
      <c r="J46" s="85">
        <f t="shared" si="23"/>
        <v>-3.6184347715912772E-3</v>
      </c>
      <c r="K46" s="223">
        <v>112.436302</v>
      </c>
      <c r="L46" s="84">
        <f t="shared" si="24"/>
        <v>2.3267217121356154E-2</v>
      </c>
      <c r="M46" s="84">
        <f t="shared" si="9"/>
        <v>1.9075550454689488E-2</v>
      </c>
      <c r="N46" s="84">
        <f t="shared" si="25"/>
        <v>3.9724483771046053E-3</v>
      </c>
      <c r="O46" s="85">
        <f t="shared" si="26"/>
        <v>4.813138462440302E-3</v>
      </c>
      <c r="P46" s="223">
        <v>7.7646030000000001</v>
      </c>
      <c r="Q46" s="84">
        <f t="shared" si="27"/>
        <v>2.6490222065049585E-2</v>
      </c>
      <c r="R46" s="84">
        <f t="shared" si="28"/>
        <v>2.2298555398382918E-2</v>
      </c>
      <c r="S46" s="84">
        <f t="shared" si="29"/>
        <v>5.1042049688577069E-3</v>
      </c>
      <c r="T46" s="85">
        <f t="shared" si="10"/>
        <v>1.1255180401312698E-2</v>
      </c>
      <c r="U46" s="223">
        <v>66.306472999999997</v>
      </c>
      <c r="V46" s="84">
        <f t="shared" si="30"/>
        <v>2.6046058223806678E-2</v>
      </c>
      <c r="W46" s="84">
        <f t="shared" si="11"/>
        <v>2.1854391557140012E-2</v>
      </c>
      <c r="X46" s="84">
        <f t="shared" si="12"/>
        <v>6.9254178636636585E-3</v>
      </c>
      <c r="Y46" s="85">
        <f t="shared" si="13"/>
        <v>1.3642189750690474E-2</v>
      </c>
      <c r="Z46" s="199">
        <v>195.90100100000001</v>
      </c>
      <c r="AA46" s="84">
        <f t="shared" si="31"/>
        <v>-9.6595964660001199E-3</v>
      </c>
      <c r="AB46" s="84">
        <f t="shared" si="14"/>
        <v>-1.3851263132666786E-2</v>
      </c>
      <c r="AC46" s="84">
        <f t="shared" si="15"/>
        <v>1.2460760693388966E-2</v>
      </c>
      <c r="AD46" s="85">
        <f t="shared" si="16"/>
        <v>-3.3735133411465813E-2</v>
      </c>
      <c r="AE46" s="200">
        <f t="shared" si="32"/>
        <v>125.03370893104164</v>
      </c>
      <c r="AF46" s="85">
        <f t="shared" si="17"/>
        <v>6.7780291699776974E-3</v>
      </c>
      <c r="AG46" s="199">
        <v>111.725235</v>
      </c>
      <c r="AH46" s="84">
        <f t="shared" si="33"/>
        <v>2.6304894475932539E-3</v>
      </c>
      <c r="AI46" s="84">
        <f t="shared" si="18"/>
        <v>-1.5611772190734126E-3</v>
      </c>
    </row>
    <row r="47" spans="2:35">
      <c r="B47" s="224">
        <v>43831</v>
      </c>
      <c r="C47" s="81">
        <v>118.445061</v>
      </c>
      <c r="D47" s="84">
        <f t="shared" si="19"/>
        <v>-1.8848056226716148E-2</v>
      </c>
      <c r="E47" s="85">
        <f t="shared" si="8"/>
        <v>-2.3039722893382814E-2</v>
      </c>
      <c r="F47" s="223">
        <v>239.38999899999999</v>
      </c>
      <c r="G47" s="84">
        <f t="shared" si="20"/>
        <v>3.3323266139968721E-2</v>
      </c>
      <c r="H47" s="84">
        <f t="shared" si="21"/>
        <v>2.9131599473302055E-2</v>
      </c>
      <c r="I47" s="84">
        <f t="shared" si="22"/>
        <v>-2.4433011639121909E-2</v>
      </c>
      <c r="J47" s="85">
        <f t="shared" si="23"/>
        <v>4.3274647497279384E-2</v>
      </c>
      <c r="K47" s="223">
        <v>112.18425000000001</v>
      </c>
      <c r="L47" s="84">
        <f t="shared" si="24"/>
        <v>-2.2417315005610616E-3</v>
      </c>
      <c r="M47" s="84">
        <f t="shared" si="9"/>
        <v>-6.4333981672277281E-3</v>
      </c>
      <c r="N47" s="84">
        <f t="shared" si="25"/>
        <v>-6.2084669165279327E-3</v>
      </c>
      <c r="O47" s="85">
        <f t="shared" si="26"/>
        <v>-1.0514894865844376E-2</v>
      </c>
      <c r="P47" s="223">
        <v>7.3638479999999999</v>
      </c>
      <c r="Q47" s="84">
        <f t="shared" si="27"/>
        <v>-5.1613070236817049E-2</v>
      </c>
      <c r="R47" s="84">
        <f t="shared" si="28"/>
        <v>-5.5804736903483712E-2</v>
      </c>
      <c r="S47" s="84">
        <f t="shared" si="29"/>
        <v>-1.1150765563899448E-2</v>
      </c>
      <c r="T47" s="85">
        <f t="shared" si="10"/>
        <v>-5.059314136779678E-2</v>
      </c>
      <c r="U47" s="223">
        <v>65.333411999999996</v>
      </c>
      <c r="V47" s="84">
        <f t="shared" si="30"/>
        <v>-1.467520373161757E-2</v>
      </c>
      <c r="W47" s="84">
        <f t="shared" si="11"/>
        <v>-1.8866870398284236E-2</v>
      </c>
      <c r="X47" s="84">
        <f t="shared" si="12"/>
        <v>-1.0823608920256378E-2</v>
      </c>
      <c r="Y47" s="85">
        <f t="shared" si="13"/>
        <v>-9.3300454208137384E-3</v>
      </c>
      <c r="Z47" s="199">
        <v>205.929214</v>
      </c>
      <c r="AA47" s="84">
        <f t="shared" si="31"/>
        <v>5.1190208058201847E-2</v>
      </c>
      <c r="AB47" s="84">
        <f t="shared" si="14"/>
        <v>4.6998541391535184E-2</v>
      </c>
      <c r="AC47" s="84">
        <f t="shared" si="15"/>
        <v>-1.9474694993031977E-2</v>
      </c>
      <c r="AD47" s="85">
        <f t="shared" si="16"/>
        <v>5.9050126799157103E-2</v>
      </c>
      <c r="AE47" s="200">
        <f t="shared" si="32"/>
        <v>126.97344332972365</v>
      </c>
      <c r="AF47" s="85">
        <f t="shared" si="17"/>
        <v>1.5513691589776019E-2</v>
      </c>
      <c r="AG47" s="199">
        <v>115.070702</v>
      </c>
      <c r="AH47" s="84">
        <f t="shared" si="33"/>
        <v>2.9943700722580679E-2</v>
      </c>
      <c r="AI47" s="84">
        <f t="shared" si="18"/>
        <v>2.5752034055914013E-2</v>
      </c>
    </row>
    <row r="48" spans="2:35" s="73" customFormat="1" ht="18">
      <c r="B48" s="224">
        <v>43862</v>
      </c>
      <c r="C48" s="81">
        <v>109.515625</v>
      </c>
      <c r="D48" s="84">
        <f t="shared" si="19"/>
        <v>-7.5388842089413877E-2</v>
      </c>
      <c r="E48" s="85">
        <f t="shared" si="8"/>
        <v>-7.958050875608054E-2</v>
      </c>
      <c r="F48" s="223">
        <v>217.41000399999999</v>
      </c>
      <c r="G48" s="84">
        <f t="shared" si="20"/>
        <v>-9.181668027827683E-2</v>
      </c>
      <c r="H48" s="84">
        <f t="shared" si="21"/>
        <v>-9.6008346944943493E-2</v>
      </c>
      <c r="I48" s="84">
        <f t="shared" si="22"/>
        <v>-8.4393007054915703E-2</v>
      </c>
      <c r="J48" s="85">
        <f t="shared" si="23"/>
        <v>-2.1905303505172363E-2</v>
      </c>
      <c r="K48" s="223">
        <v>102.536438</v>
      </c>
      <c r="L48" s="84">
        <f t="shared" si="24"/>
        <v>-8.5999701384106952E-2</v>
      </c>
      <c r="M48" s="84">
        <f t="shared" si="9"/>
        <v>-9.0191368050773615E-2</v>
      </c>
      <c r="N48" s="84">
        <f t="shared" si="25"/>
        <v>-2.1444396623124709E-2</v>
      </c>
      <c r="O48" s="85">
        <f t="shared" si="26"/>
        <v>-7.903693504279348E-2</v>
      </c>
      <c r="P48" s="223">
        <v>5.9097530000000003</v>
      </c>
      <c r="Q48" s="84">
        <f t="shared" si="27"/>
        <v>-0.19746401609593245</v>
      </c>
      <c r="R48" s="84">
        <f t="shared" si="28"/>
        <v>-0.20165568276259913</v>
      </c>
      <c r="S48" s="84">
        <f t="shared" si="29"/>
        <v>-8.3816561629555239E-2</v>
      </c>
      <c r="T48" s="85">
        <f t="shared" si="10"/>
        <v>-0.1237782911612564</v>
      </c>
      <c r="U48" s="223">
        <v>64.677704000000006</v>
      </c>
      <c r="V48" s="84">
        <f t="shared" si="30"/>
        <v>-1.003633485420885E-2</v>
      </c>
      <c r="W48" s="84">
        <f t="shared" si="11"/>
        <v>-1.4228001520875517E-2</v>
      </c>
      <c r="X48" s="84">
        <f t="shared" si="12"/>
        <v>-3.7385358688417213E-2</v>
      </c>
      <c r="Y48" s="85">
        <f t="shared" si="13"/>
        <v>2.1870573224755815E-2</v>
      </c>
      <c r="Z48" s="199">
        <v>196.666473</v>
      </c>
      <c r="AA48" s="84">
        <f t="shared" si="31"/>
        <v>-4.4980218299672692E-2</v>
      </c>
      <c r="AB48" s="84">
        <f t="shared" si="14"/>
        <v>-4.9171884966339355E-2</v>
      </c>
      <c r="AC48" s="84">
        <f t="shared" si="15"/>
        <v>-6.7266700323904291E-2</v>
      </c>
      <c r="AD48" s="85">
        <f t="shared" si="16"/>
        <v>1.0671705772154878E-2</v>
      </c>
      <c r="AE48" s="200">
        <f t="shared" si="32"/>
        <v>117.26361448872315</v>
      </c>
      <c r="AF48" s="85">
        <f t="shared" si="17"/>
        <v>-7.6471335945313301E-2</v>
      </c>
      <c r="AG48" s="199">
        <v>116.027473</v>
      </c>
      <c r="AH48" s="84">
        <f t="shared" si="33"/>
        <v>8.3146359878816245E-3</v>
      </c>
      <c r="AI48" s="84">
        <f t="shared" si="18"/>
        <v>4.122969321214958E-3</v>
      </c>
    </row>
    <row r="49" spans="2:35">
      <c r="B49" s="224">
        <v>43891</v>
      </c>
      <c r="C49" s="81">
        <v>91.222854999999996</v>
      </c>
      <c r="D49" s="84">
        <f t="shared" si="19"/>
        <v>-0.16703342559566281</v>
      </c>
      <c r="E49" s="85">
        <f t="shared" si="8"/>
        <v>-0.17122509226232949</v>
      </c>
      <c r="F49" s="223">
        <v>189.550003</v>
      </c>
      <c r="G49" s="84">
        <f t="shared" si="20"/>
        <v>-0.12814498177369971</v>
      </c>
      <c r="H49" s="84">
        <f t="shared" si="21"/>
        <v>-0.13233664844036638</v>
      </c>
      <c r="I49" s="84">
        <f t="shared" si="22"/>
        <v>-0.18157964362309084</v>
      </c>
      <c r="J49" s="85">
        <f t="shared" si="23"/>
        <v>3.8953031567579871E-2</v>
      </c>
      <c r="K49" s="223">
        <v>99.611480999999998</v>
      </c>
      <c r="L49" s="84">
        <f t="shared" si="24"/>
        <v>-2.8526025060476634E-2</v>
      </c>
      <c r="M49" s="84">
        <f t="shared" si="9"/>
        <v>-3.2717691727143297E-2</v>
      </c>
      <c r="N49" s="84">
        <f t="shared" si="25"/>
        <v>-4.613967474823364E-2</v>
      </c>
      <c r="O49" s="85">
        <f t="shared" si="26"/>
        <v>3.1320194059457629E-3</v>
      </c>
      <c r="P49" s="223">
        <v>4.1011649999999999</v>
      </c>
      <c r="Q49" s="84">
        <f t="shared" si="27"/>
        <v>-0.30603444847864203</v>
      </c>
      <c r="R49" s="84">
        <f t="shared" si="28"/>
        <v>-0.31022611514530868</v>
      </c>
      <c r="S49" s="84">
        <f t="shared" si="29"/>
        <v>3.3214230463425834E-3</v>
      </c>
      <c r="T49" s="85">
        <f t="shared" si="10"/>
        <v>-0.3194867082198638</v>
      </c>
      <c r="U49" s="223">
        <v>57.638767000000001</v>
      </c>
      <c r="V49" s="84">
        <f t="shared" si="30"/>
        <v>-0.10883096592297092</v>
      </c>
      <c r="W49" s="84">
        <f t="shared" si="11"/>
        <v>-0.11302263258963759</v>
      </c>
      <c r="X49" s="84">
        <f t="shared" si="12"/>
        <v>-8.0438182549259094E-2</v>
      </c>
      <c r="Y49" s="85">
        <f t="shared" si="13"/>
        <v>-3.387123398316437E-2</v>
      </c>
      <c r="Z49" s="199">
        <v>168.56220999999999</v>
      </c>
      <c r="AA49" s="84">
        <f t="shared" si="31"/>
        <v>-0.14290317292668386</v>
      </c>
      <c r="AB49" s="84">
        <f t="shared" si="14"/>
        <v>-0.14709483959335054</v>
      </c>
      <c r="AC49" s="84">
        <f t="shared" si="15"/>
        <v>-0.14473075316024467</v>
      </c>
      <c r="AD49" s="85">
        <f t="shared" si="16"/>
        <v>-9.7871960185159368E-3</v>
      </c>
      <c r="AE49" s="200">
        <f t="shared" si="32"/>
        <v>103.09671271758086</v>
      </c>
      <c r="AF49" s="85">
        <f t="shared" si="17"/>
        <v>-0.12081242619810842</v>
      </c>
      <c r="AG49" s="199">
        <v>108.696388</v>
      </c>
      <c r="AH49" s="84">
        <f t="shared" si="33"/>
        <v>-6.3184044351289104E-2</v>
      </c>
      <c r="AI49" s="84">
        <f t="shared" si="18"/>
        <v>-6.7375711017955767E-2</v>
      </c>
    </row>
    <row r="50" spans="2:35">
      <c r="B50" s="224">
        <v>43922</v>
      </c>
      <c r="C50" s="81">
        <v>104.375908</v>
      </c>
      <c r="D50" s="84">
        <f t="shared" si="19"/>
        <v>0.14418593892944931</v>
      </c>
      <c r="E50" s="85">
        <f t="shared" si="8"/>
        <v>0.13999427226278263</v>
      </c>
      <c r="F50" s="223">
        <v>223.479996</v>
      </c>
      <c r="G50" s="84">
        <f t="shared" si="20"/>
        <v>0.17900286184643321</v>
      </c>
      <c r="H50" s="84">
        <f t="shared" si="21"/>
        <v>0.17481119517976654</v>
      </c>
      <c r="I50" s="84">
        <f t="shared" si="22"/>
        <v>0.14846019196651702</v>
      </c>
      <c r="J50" s="85">
        <f t="shared" si="23"/>
        <v>1.6061039598104926E-2</v>
      </c>
      <c r="K50" s="223">
        <v>106.738243</v>
      </c>
      <c r="L50" s="84">
        <f t="shared" si="24"/>
        <v>7.154558820383361E-2</v>
      </c>
      <c r="M50" s="84">
        <f t="shared" si="9"/>
        <v>6.7353921537166947E-2</v>
      </c>
      <c r="N50" s="84">
        <f t="shared" si="25"/>
        <v>3.7723969679189E-2</v>
      </c>
      <c r="O50" s="85">
        <f t="shared" si="26"/>
        <v>1.9339988242833367E-2</v>
      </c>
      <c r="P50" s="223">
        <v>4.3219320000000003</v>
      </c>
      <c r="Q50" s="84">
        <f t="shared" si="27"/>
        <v>5.383031406929506E-2</v>
      </c>
      <c r="R50" s="84">
        <f t="shared" si="28"/>
        <v>4.9638647402628397E-2</v>
      </c>
      <c r="S50" s="84">
        <f t="shared" si="29"/>
        <v>2.0509541717333067E-2</v>
      </c>
      <c r="T50" s="85">
        <f t="shared" si="10"/>
        <v>2.3189935657082814E-2</v>
      </c>
      <c r="U50" s="223">
        <v>59.990955</v>
      </c>
      <c r="V50" s="84">
        <f t="shared" si="30"/>
        <v>4.0809131118297426E-2</v>
      </c>
      <c r="W50" s="84">
        <f t="shared" si="11"/>
        <v>3.6617464451630763E-2</v>
      </c>
      <c r="X50" s="84">
        <f t="shared" si="12"/>
        <v>6.5766557222068145E-2</v>
      </c>
      <c r="Y50" s="85">
        <f t="shared" si="13"/>
        <v>-3.0435876713223266E-2</v>
      </c>
      <c r="Z50" s="199">
        <v>199.79083299999999</v>
      </c>
      <c r="AA50" s="84">
        <f t="shared" si="31"/>
        <v>0.18526467468598096</v>
      </c>
      <c r="AB50" s="84">
        <f t="shared" si="14"/>
        <v>0.18107300801931428</v>
      </c>
      <c r="AC50" s="84">
        <f t="shared" si="15"/>
        <v>0.11833240207381988</v>
      </c>
      <c r="AD50" s="85">
        <f t="shared" si="16"/>
        <v>5.5317496360084331E-2</v>
      </c>
      <c r="AE50" s="200">
        <f t="shared" si="32"/>
        <v>115.97132334166952</v>
      </c>
      <c r="AF50" s="85">
        <f t="shared" si="17"/>
        <v>0.12487896349670123</v>
      </c>
      <c r="AG50" s="199">
        <v>113.978523</v>
      </c>
      <c r="AH50" s="84">
        <f t="shared" si="33"/>
        <v>4.8595313029168974E-2</v>
      </c>
      <c r="AI50" s="84">
        <f t="shared" si="18"/>
        <v>4.4403646362502311E-2</v>
      </c>
    </row>
    <row r="51" spans="2:35">
      <c r="B51" s="224">
        <v>43952</v>
      </c>
      <c r="C51" s="81">
        <v>112.11924</v>
      </c>
      <c r="D51" s="84">
        <f t="shared" si="19"/>
        <v>7.4186966593861925E-2</v>
      </c>
      <c r="E51" s="85">
        <f t="shared" si="8"/>
        <v>6.9995299927195262E-2</v>
      </c>
      <c r="F51" s="223">
        <v>300.10000600000001</v>
      </c>
      <c r="G51" s="84">
        <f t="shared" si="20"/>
        <v>0.3428495228718369</v>
      </c>
      <c r="H51" s="84">
        <f t="shared" si="21"/>
        <v>0.33865785620517025</v>
      </c>
      <c r="I51" s="84">
        <f t="shared" si="22"/>
        <v>7.4228148737681743E-2</v>
      </c>
      <c r="J51" s="85">
        <f t="shared" si="23"/>
        <v>0.25413974385234395</v>
      </c>
      <c r="K51" s="223">
        <v>105.67244700000001</v>
      </c>
      <c r="L51" s="84">
        <f t="shared" si="24"/>
        <v>-9.9851371921120258E-3</v>
      </c>
      <c r="M51" s="84">
        <f t="shared" si="9"/>
        <v>-1.4176803858778692E-2</v>
      </c>
      <c r="N51" s="84">
        <f t="shared" si="25"/>
        <v>1.8861490041412424E-2</v>
      </c>
      <c r="O51" s="85">
        <f t="shared" si="26"/>
        <v>-4.33282575153357E-2</v>
      </c>
      <c r="P51" s="223">
        <v>4.8483749999999999</v>
      </c>
      <c r="Q51" s="84">
        <f t="shared" si="27"/>
        <v>0.12180733061047677</v>
      </c>
      <c r="R51" s="84">
        <f t="shared" si="28"/>
        <v>0.11761566394381011</v>
      </c>
      <c r="S51" s="84">
        <f t="shared" si="29"/>
        <v>-4.5948461492959967E-2</v>
      </c>
      <c r="T51" s="85">
        <f t="shared" si="10"/>
        <v>0.15762495540855756</v>
      </c>
      <c r="U51" s="223">
        <v>58.993792999999997</v>
      </c>
      <c r="V51" s="84">
        <f t="shared" si="30"/>
        <v>-1.6621872413933092E-2</v>
      </c>
      <c r="W51" s="84">
        <f t="shared" si="11"/>
        <v>-2.0813539080599758E-2</v>
      </c>
      <c r="X51" s="84">
        <f t="shared" si="12"/>
        <v>3.2882415998397287E-2</v>
      </c>
      <c r="Y51" s="85">
        <f t="shared" si="13"/>
        <v>-5.4982739021782925E-2</v>
      </c>
      <c r="Z51" s="199">
        <v>225.82916299999999</v>
      </c>
      <c r="AA51" s="84">
        <f t="shared" si="31"/>
        <v>0.13032795153319165</v>
      </c>
      <c r="AB51" s="84">
        <f t="shared" si="14"/>
        <v>0.12613628486652498</v>
      </c>
      <c r="AC51" s="84">
        <f t="shared" si="15"/>
        <v>5.9164648955887592E-2</v>
      </c>
      <c r="AD51" s="85">
        <f t="shared" si="16"/>
        <v>5.9548526325227322E-2</v>
      </c>
      <c r="AE51" s="200">
        <f t="shared" si="32"/>
        <v>127.92930126607708</v>
      </c>
      <c r="AF51" s="85">
        <f t="shared" si="17"/>
        <v>0.10311150705056184</v>
      </c>
      <c r="AG51" s="199">
        <v>116.786438</v>
      </c>
      <c r="AH51" s="84">
        <f t="shared" si="33"/>
        <v>2.463547452707382E-2</v>
      </c>
      <c r="AI51" s="84">
        <f t="shared" si="18"/>
        <v>2.0443807860407153E-2</v>
      </c>
    </row>
    <row r="52" spans="2:35">
      <c r="B52" s="224">
        <v>43983</v>
      </c>
      <c r="C52" s="81">
        <v>114.607124</v>
      </c>
      <c r="D52" s="84">
        <f t="shared" si="19"/>
        <v>2.2189625973204841E-2</v>
      </c>
      <c r="E52" s="85">
        <f t="shared" si="8"/>
        <v>1.7997959306538174E-2</v>
      </c>
      <c r="F52" s="223">
        <v>312.01001000000002</v>
      </c>
      <c r="G52" s="84">
        <f t="shared" si="20"/>
        <v>3.9686783611727172E-2</v>
      </c>
      <c r="H52" s="84">
        <f t="shared" si="21"/>
        <v>3.5495116945060509E-2</v>
      </c>
      <c r="I52" s="84">
        <f t="shared" si="22"/>
        <v>1.9086355823462946E-2</v>
      </c>
      <c r="J52" s="85">
        <f t="shared" si="23"/>
        <v>6.1187975064529825E-3</v>
      </c>
      <c r="K52" s="223">
        <v>108.999786</v>
      </c>
      <c r="L52" s="84">
        <f t="shared" si="24"/>
        <v>3.1487290154263103E-2</v>
      </c>
      <c r="M52" s="84">
        <f t="shared" si="9"/>
        <v>2.7295623487596437E-2</v>
      </c>
      <c r="N52" s="84">
        <f t="shared" si="25"/>
        <v>4.8498732140459366E-3</v>
      </c>
      <c r="O52" s="85">
        <f t="shared" si="26"/>
        <v>1.215578665840592E-2</v>
      </c>
      <c r="P52" s="223">
        <v>5.1625430000000003</v>
      </c>
      <c r="Q52" s="84">
        <f t="shared" si="27"/>
        <v>6.4798618093691251E-2</v>
      </c>
      <c r="R52" s="84">
        <f t="shared" si="28"/>
        <v>6.0606951427024588E-2</v>
      </c>
      <c r="S52" s="84">
        <f t="shared" si="29"/>
        <v>1.2890887545909505E-2</v>
      </c>
      <c r="T52" s="85">
        <f t="shared" si="10"/>
        <v>4.1776893852902564E-2</v>
      </c>
      <c r="U52" s="223">
        <v>56.340041999999997</v>
      </c>
      <c r="V52" s="84">
        <f t="shared" si="30"/>
        <v>-4.4983562931781629E-2</v>
      </c>
      <c r="W52" s="84">
        <f t="shared" si="11"/>
        <v>-4.9175229598448292E-2</v>
      </c>
      <c r="X52" s="84">
        <f t="shared" si="12"/>
        <v>8.4550874938086502E-3</v>
      </c>
      <c r="Y52" s="85">
        <f t="shared" si="13"/>
        <v>-5.8917101035042829E-2</v>
      </c>
      <c r="Z52" s="199">
        <v>227.674103</v>
      </c>
      <c r="AA52" s="84">
        <f t="shared" si="31"/>
        <v>8.1696268785267367E-3</v>
      </c>
      <c r="AB52" s="84">
        <f t="shared" si="14"/>
        <v>3.9779602118600703E-3</v>
      </c>
      <c r="AC52" s="84">
        <f t="shared" si="15"/>
        <v>1.5213063525711929E-2</v>
      </c>
      <c r="AD52" s="85">
        <f t="shared" si="16"/>
        <v>-1.8658212899261919E-2</v>
      </c>
      <c r="AE52" s="200">
        <f t="shared" si="32"/>
        <v>129.86811458881519</v>
      </c>
      <c r="AF52" s="85">
        <f t="shared" si="17"/>
        <v>1.5155349896781046E-2</v>
      </c>
      <c r="AG52" s="199">
        <v>119.275749</v>
      </c>
      <c r="AH52" s="84">
        <f t="shared" si="33"/>
        <v>2.1315069134996589E-2</v>
      </c>
      <c r="AI52" s="84">
        <f t="shared" si="18"/>
        <v>1.7123402468329923E-2</v>
      </c>
    </row>
    <row r="53" spans="2:35">
      <c r="B53" s="224">
        <v>44013</v>
      </c>
      <c r="C53" s="81">
        <v>120.24015799999999</v>
      </c>
      <c r="D53" s="84">
        <f t="shared" si="19"/>
        <v>4.9150818931639861E-2</v>
      </c>
      <c r="E53" s="85">
        <f t="shared" si="8"/>
        <v>4.4959152264973198E-2</v>
      </c>
      <c r="F53" s="223">
        <v>325.58999599999999</v>
      </c>
      <c r="G53" s="84">
        <f t="shared" si="20"/>
        <v>4.3524199752437376E-2</v>
      </c>
      <c r="H53" s="84">
        <f t="shared" si="21"/>
        <v>3.9332533085770713E-2</v>
      </c>
      <c r="I53" s="84">
        <f t="shared" si="22"/>
        <v>4.7677981877578844E-2</v>
      </c>
      <c r="J53" s="85">
        <f t="shared" si="23"/>
        <v>-1.8635412406952712E-2</v>
      </c>
      <c r="K53" s="223">
        <v>119.52872499999999</v>
      </c>
      <c r="L53" s="84">
        <f t="shared" si="24"/>
        <v>9.6595960289316496E-2</v>
      </c>
      <c r="M53" s="84">
        <f t="shared" si="9"/>
        <v>9.2404293622649833E-2</v>
      </c>
      <c r="N53" s="84">
        <f t="shared" si="25"/>
        <v>1.2115050633373524E-2</v>
      </c>
      <c r="O53" s="85">
        <f t="shared" si="26"/>
        <v>6.9999279374131737E-2</v>
      </c>
      <c r="P53" s="223">
        <v>5.6125670000000003</v>
      </c>
      <c r="Q53" s="84">
        <f t="shared" si="27"/>
        <v>8.7170993055166734E-2</v>
      </c>
      <c r="R53" s="84">
        <f t="shared" si="28"/>
        <v>8.2979326388500071E-2</v>
      </c>
      <c r="S53" s="84">
        <f t="shared" si="29"/>
        <v>7.4232368835022586E-2</v>
      </c>
      <c r="T53" s="85">
        <f t="shared" si="10"/>
        <v>2.8077875252649764E-3</v>
      </c>
      <c r="U53" s="223">
        <v>62.752369000000002</v>
      </c>
      <c r="V53" s="84">
        <f t="shared" si="30"/>
        <v>0.11381473588535851</v>
      </c>
      <c r="W53" s="84">
        <f t="shared" si="11"/>
        <v>0.10962306921869185</v>
      </c>
      <c r="X53" s="84">
        <f t="shared" si="12"/>
        <v>2.1120925965741097E-2</v>
      </c>
      <c r="Y53" s="85">
        <f t="shared" si="13"/>
        <v>8.7215359310164872E-2</v>
      </c>
      <c r="Z53" s="199">
        <v>242.72934000000001</v>
      </c>
      <c r="AA53" s="84">
        <f t="shared" si="31"/>
        <v>6.6126260306381912E-2</v>
      </c>
      <c r="AB53" s="84">
        <f t="shared" si="14"/>
        <v>6.1934593639715249E-2</v>
      </c>
      <c r="AC53" s="84">
        <f t="shared" si="15"/>
        <v>3.8002443933781209E-2</v>
      </c>
      <c r="AD53" s="85">
        <f t="shared" si="16"/>
        <v>1.6509040120523982E-2</v>
      </c>
      <c r="AE53" s="200">
        <f t="shared" si="32"/>
        <v>139.36687086206106</v>
      </c>
      <c r="AF53" s="85">
        <f t="shared" si="17"/>
        <v>7.3141558290274605E-2</v>
      </c>
      <c r="AG53" s="199">
        <v>122.990005</v>
      </c>
      <c r="AH53" s="84">
        <f t="shared" si="33"/>
        <v>3.1140076932151484E-2</v>
      </c>
      <c r="AI53" s="84">
        <f t="shared" si="18"/>
        <v>2.6948410265484817E-2</v>
      </c>
    </row>
    <row r="54" spans="2:35">
      <c r="B54" s="224">
        <v>44044</v>
      </c>
      <c r="C54" s="81">
        <v>131.872849</v>
      </c>
      <c r="D54" s="84">
        <f t="shared" si="19"/>
        <v>9.674547333844985E-2</v>
      </c>
      <c r="E54" s="85">
        <f t="shared" si="8"/>
        <v>9.2553806671783187E-2</v>
      </c>
      <c r="F54" s="223">
        <v>375.67001299999998</v>
      </c>
      <c r="G54" s="84">
        <f t="shared" si="20"/>
        <v>0.15381313189978973</v>
      </c>
      <c r="H54" s="84">
        <f t="shared" si="21"/>
        <v>0.14962146523312306</v>
      </c>
      <c r="I54" s="84">
        <f t="shared" si="22"/>
        <v>9.8150843485457023E-2</v>
      </c>
      <c r="J54" s="85">
        <f t="shared" si="23"/>
        <v>4.1180658132521447E-2</v>
      </c>
      <c r="K54" s="223">
        <v>126.89709499999999</v>
      </c>
      <c r="L54" s="84">
        <f t="shared" si="24"/>
        <v>6.1645181942666882E-2</v>
      </c>
      <c r="M54" s="84">
        <f t="shared" si="9"/>
        <v>5.7453515276000219E-2</v>
      </c>
      <c r="N54" s="84">
        <f t="shared" si="25"/>
        <v>2.4940284628402479E-2</v>
      </c>
      <c r="O54" s="85">
        <f t="shared" si="26"/>
        <v>2.222326703245316E-2</v>
      </c>
      <c r="P54" s="223">
        <v>5.7908790000000003</v>
      </c>
      <c r="Q54" s="84">
        <f t="shared" si="27"/>
        <v>3.1770132989058286E-2</v>
      </c>
      <c r="R54" s="84">
        <f t="shared" si="28"/>
        <v>2.757846632239162E-2</v>
      </c>
      <c r="S54" s="84">
        <f t="shared" si="29"/>
        <v>2.3567181974189048E-2</v>
      </c>
      <c r="T54" s="85">
        <f t="shared" si="10"/>
        <v>-1.9278856800099414E-3</v>
      </c>
      <c r="U54" s="223">
        <v>65.186974000000006</v>
      </c>
      <c r="V54" s="84">
        <f t="shared" si="30"/>
        <v>3.8797021352293459E-2</v>
      </c>
      <c r="W54" s="84">
        <f t="shared" si="11"/>
        <v>3.4605354685626796E-2</v>
      </c>
      <c r="X54" s="84">
        <f t="shared" si="12"/>
        <v>4.3479959031282961E-2</v>
      </c>
      <c r="Y54" s="85">
        <f t="shared" si="13"/>
        <v>-1.0161388288442048E-2</v>
      </c>
      <c r="Z54" s="199">
        <v>260.60330199999999</v>
      </c>
      <c r="AA54" s="84">
        <f t="shared" si="31"/>
        <v>7.3637418533746279E-2</v>
      </c>
      <c r="AB54" s="84">
        <f t="shared" si="14"/>
        <v>6.9445751867079616E-2</v>
      </c>
      <c r="AC54" s="84">
        <f t="shared" si="15"/>
        <v>7.8232588287539914E-2</v>
      </c>
      <c r="AD54" s="85">
        <f t="shared" si="16"/>
        <v>-1.6209946005870356E-2</v>
      </c>
      <c r="AE54" s="200">
        <f t="shared" si="32"/>
        <v>149.3428903127153</v>
      </c>
      <c r="AF54" s="85">
        <f t="shared" si="17"/>
        <v>7.1580996178984599E-2</v>
      </c>
      <c r="AG54" s="199">
        <v>120.823784</v>
      </c>
      <c r="AH54" s="84">
        <f t="shared" si="33"/>
        <v>-1.7612984079478644E-2</v>
      </c>
      <c r="AI54" s="84">
        <f t="shared" si="18"/>
        <v>-2.1804650746145311E-2</v>
      </c>
    </row>
    <row r="55" spans="2:35">
      <c r="B55" s="224">
        <v>44075</v>
      </c>
      <c r="C55" s="81">
        <v>130.68151900000001</v>
      </c>
      <c r="D55" s="84">
        <f t="shared" si="19"/>
        <v>-9.0339293420436118E-3</v>
      </c>
      <c r="E55" s="85">
        <f t="shared" si="8"/>
        <v>-1.3225596008710278E-2</v>
      </c>
      <c r="F55" s="223">
        <v>329.36999500000002</v>
      </c>
      <c r="G55" s="84">
        <f t="shared" si="20"/>
        <v>-0.12324650996298703</v>
      </c>
      <c r="H55" s="84">
        <f t="shared" si="21"/>
        <v>-0.1274381766296537</v>
      </c>
      <c r="I55" s="84">
        <f t="shared" si="22"/>
        <v>-1.4025391829167837E-2</v>
      </c>
      <c r="J55" s="85">
        <f t="shared" si="23"/>
        <v>-0.12370274841563045</v>
      </c>
      <c r="K55" s="223">
        <v>127.50258599999999</v>
      </c>
      <c r="L55" s="84">
        <f t="shared" si="24"/>
        <v>4.7715119089211111E-3</v>
      </c>
      <c r="M55" s="84">
        <f t="shared" si="9"/>
        <v>5.7984524225444464E-4</v>
      </c>
      <c r="N55" s="84">
        <f t="shared" si="25"/>
        <v>-3.5638742554071449E-3</v>
      </c>
      <c r="O55" s="85">
        <f t="shared" si="26"/>
        <v>-6.1462441174829907E-3</v>
      </c>
      <c r="P55" s="223">
        <v>5.6550229999999999</v>
      </c>
      <c r="Q55" s="84">
        <f t="shared" si="27"/>
        <v>-2.3460341685605957E-2</v>
      </c>
      <c r="R55" s="84">
        <f t="shared" si="28"/>
        <v>-2.7652008352272623E-2</v>
      </c>
      <c r="S55" s="84">
        <f t="shared" si="29"/>
        <v>-6.517927960951163E-3</v>
      </c>
      <c r="T55" s="85">
        <f t="shared" si="10"/>
        <v>-2.7073250419533974E-2</v>
      </c>
      <c r="U55" s="223">
        <v>61.265453000000001</v>
      </c>
      <c r="V55" s="84">
        <f t="shared" si="30"/>
        <v>-6.0158046299250034E-2</v>
      </c>
      <c r="W55" s="84">
        <f t="shared" si="11"/>
        <v>-6.4349712965916697E-2</v>
      </c>
      <c r="X55" s="84">
        <f t="shared" si="12"/>
        <v>-6.2131250275018332E-3</v>
      </c>
      <c r="Y55" s="85">
        <f t="shared" si="13"/>
        <v>-5.942337188120074E-2</v>
      </c>
      <c r="Z55" s="199">
        <v>253.90167199999999</v>
      </c>
      <c r="AA55" s="84">
        <f t="shared" si="31"/>
        <v>-2.5715829187766714E-2</v>
      </c>
      <c r="AB55" s="84">
        <f t="shared" si="14"/>
        <v>-2.9907495854433381E-2</v>
      </c>
      <c r="AC55" s="84">
        <f t="shared" si="15"/>
        <v>-1.1179146969891215E-2</v>
      </c>
      <c r="AD55" s="85">
        <f t="shared" si="16"/>
        <v>-2.6151458469952225E-2</v>
      </c>
      <c r="AE55" s="200">
        <f t="shared" si="32"/>
        <v>143.67148435272989</v>
      </c>
      <c r="AF55" s="85">
        <f t="shared" si="17"/>
        <v>-3.7975734553615581E-2</v>
      </c>
      <c r="AG55" s="199">
        <v>120.287209</v>
      </c>
      <c r="AH55" s="84">
        <f t="shared" si="33"/>
        <v>-4.4409716550509737E-3</v>
      </c>
      <c r="AI55" s="84">
        <f t="shared" si="18"/>
        <v>-8.6326383217176401E-3</v>
      </c>
    </row>
    <row r="56" spans="2:35">
      <c r="B56" s="224">
        <v>44105</v>
      </c>
      <c r="C56" s="81">
        <v>129.10269199999999</v>
      </c>
      <c r="D56" s="84">
        <f t="shared" si="19"/>
        <v>-1.2081486441858802E-2</v>
      </c>
      <c r="E56" s="85">
        <f t="shared" si="8"/>
        <v>-1.6273153108525468E-2</v>
      </c>
      <c r="F56" s="223">
        <v>319.290009</v>
      </c>
      <c r="G56" s="84">
        <f t="shared" si="20"/>
        <v>-3.060383809399525E-2</v>
      </c>
      <c r="H56" s="84">
        <f t="shared" si="21"/>
        <v>-3.4795504760661913E-2</v>
      </c>
      <c r="I56" s="84">
        <f t="shared" si="22"/>
        <v>-1.7257244852541608E-2</v>
      </c>
      <c r="J56" s="85">
        <f t="shared" si="23"/>
        <v>-2.7828223523264885E-2</v>
      </c>
      <c r="K56" s="223">
        <v>125.76879099999999</v>
      </c>
      <c r="L56" s="84">
        <f t="shared" si="24"/>
        <v>-1.3598116355067469E-2</v>
      </c>
      <c r="M56" s="84">
        <f t="shared" si="9"/>
        <v>-1.7789783021734135E-2</v>
      </c>
      <c r="N56" s="84">
        <f t="shared" si="25"/>
        <v>-4.3850932222318974E-3</v>
      </c>
      <c r="O56" s="85">
        <f t="shared" si="26"/>
        <v>-2.369465341464682E-2</v>
      </c>
      <c r="P56" s="223">
        <v>6.5635620000000001</v>
      </c>
      <c r="Q56" s="84">
        <f t="shared" si="27"/>
        <v>0.1606605313541607</v>
      </c>
      <c r="R56" s="84">
        <f t="shared" si="28"/>
        <v>0.15646886468749402</v>
      </c>
      <c r="S56" s="84">
        <f t="shared" si="29"/>
        <v>-2.5127547989359674E-2</v>
      </c>
      <c r="T56" s="85">
        <f t="shared" si="10"/>
        <v>0.17565724264864119</v>
      </c>
      <c r="U56" s="223">
        <v>58.940463999999999</v>
      </c>
      <c r="V56" s="84">
        <f t="shared" si="30"/>
        <v>-3.7949429672869628E-2</v>
      </c>
      <c r="W56" s="84">
        <f t="shared" si="11"/>
        <v>-4.2141096339536291E-2</v>
      </c>
      <c r="X56" s="84">
        <f t="shared" si="12"/>
        <v>-7.6448074467389184E-3</v>
      </c>
      <c r="Y56" s="85">
        <f t="shared" si="13"/>
        <v>-3.5783072835583254E-2</v>
      </c>
      <c r="Z56" s="199">
        <v>245.13064600000001</v>
      </c>
      <c r="AA56" s="84">
        <f t="shared" si="31"/>
        <v>-3.4544971409246839E-2</v>
      </c>
      <c r="AB56" s="84">
        <f t="shared" si="14"/>
        <v>-3.8736638075913501E-2</v>
      </c>
      <c r="AC56" s="84">
        <f t="shared" si="15"/>
        <v>-1.3755143446385112E-2</v>
      </c>
      <c r="AD56" s="85">
        <f t="shared" si="16"/>
        <v>-3.2404604214938446E-2</v>
      </c>
      <c r="AE56" s="200">
        <f t="shared" si="32"/>
        <v>141.12574128358054</v>
      </c>
      <c r="AF56" s="85">
        <f t="shared" si="17"/>
        <v>-1.7719195152875671E-2</v>
      </c>
      <c r="AG56" s="199">
        <v>119.672478</v>
      </c>
      <c r="AH56" s="84">
        <f t="shared" si="33"/>
        <v>-5.1105267560078715E-3</v>
      </c>
      <c r="AI56" s="84">
        <f t="shared" si="18"/>
        <v>-9.302193422674538E-3</v>
      </c>
    </row>
    <row r="57" spans="2:35">
      <c r="B57" s="224">
        <v>44136</v>
      </c>
      <c r="C57" s="81">
        <v>144.51290900000001</v>
      </c>
      <c r="D57" s="84">
        <f t="shared" si="19"/>
        <v>0.11936402534503321</v>
      </c>
      <c r="E57" s="85">
        <f t="shared" si="8"/>
        <v>0.11517235867836655</v>
      </c>
      <c r="F57" s="223">
        <v>370.22000100000002</v>
      </c>
      <c r="G57" s="84">
        <f t="shared" si="20"/>
        <v>0.15951013362275313</v>
      </c>
      <c r="H57" s="84">
        <f t="shared" si="21"/>
        <v>0.15531846695608645</v>
      </c>
      <c r="I57" s="84">
        <f t="shared" si="22"/>
        <v>0.12213721463211945</v>
      </c>
      <c r="J57" s="85">
        <f t="shared" si="23"/>
        <v>2.2891288708822413E-2</v>
      </c>
      <c r="K57" s="223">
        <v>128.09982299999999</v>
      </c>
      <c r="L57" s="84">
        <f t="shared" si="24"/>
        <v>1.8534264195956052E-2</v>
      </c>
      <c r="M57" s="84">
        <f t="shared" si="9"/>
        <v>1.4342597529289385E-2</v>
      </c>
      <c r="N57" s="84">
        <f t="shared" si="25"/>
        <v>3.103525948910147E-2</v>
      </c>
      <c r="O57" s="85">
        <f t="shared" si="26"/>
        <v>-2.6982625574956665E-2</v>
      </c>
      <c r="P57" s="223">
        <v>7.7098500000000003</v>
      </c>
      <c r="Q57" s="84">
        <f t="shared" si="27"/>
        <v>0.17464419472231696</v>
      </c>
      <c r="R57" s="84">
        <f t="shared" si="28"/>
        <v>0.17045252805565028</v>
      </c>
      <c r="S57" s="84">
        <f t="shared" si="29"/>
        <v>-2.8614354772310703E-2</v>
      </c>
      <c r="T57" s="85">
        <f t="shared" si="10"/>
        <v>0.19312771279974847</v>
      </c>
      <c r="U57" s="223">
        <v>62.865955</v>
      </c>
      <c r="V57" s="84">
        <f t="shared" si="30"/>
        <v>6.6600951767193495E-2</v>
      </c>
      <c r="W57" s="84">
        <f t="shared" si="11"/>
        <v>6.2409285100526832E-2</v>
      </c>
      <c r="X57" s="84">
        <f t="shared" si="12"/>
        <v>5.410571014793597E-2</v>
      </c>
      <c r="Y57" s="85">
        <f t="shared" si="13"/>
        <v>7.0167910098049777E-3</v>
      </c>
      <c r="Z57" s="199">
        <v>254.964935</v>
      </c>
      <c r="AA57" s="84">
        <f t="shared" si="31"/>
        <v>4.0118561919834317E-2</v>
      </c>
      <c r="AB57" s="84">
        <f t="shared" si="14"/>
        <v>3.5926895253167654E-2</v>
      </c>
      <c r="AC57" s="84">
        <f t="shared" si="15"/>
        <v>9.7351281839134413E-2</v>
      </c>
      <c r="AD57" s="85">
        <f t="shared" si="16"/>
        <v>-6.8847496171376824E-2</v>
      </c>
      <c r="AE57" s="200">
        <f t="shared" si="32"/>
        <v>149.50201882394384</v>
      </c>
      <c r="AF57" s="85">
        <f t="shared" si="17"/>
        <v>5.9353293482667151E-2</v>
      </c>
      <c r="AG57" s="199">
        <v>124.194237</v>
      </c>
      <c r="AH57" s="84">
        <f t="shared" si="33"/>
        <v>3.7784451994050006E-2</v>
      </c>
      <c r="AI57" s="84">
        <f t="shared" si="18"/>
        <v>3.3592785327383343E-2</v>
      </c>
    </row>
    <row r="58" spans="2:35">
      <c r="B58" s="224">
        <v>44166</v>
      </c>
      <c r="C58" s="81">
        <v>150.653717</v>
      </c>
      <c r="D58" s="84">
        <f t="shared" si="19"/>
        <v>4.2493145024158352E-2</v>
      </c>
      <c r="E58" s="85">
        <f t="shared" si="8"/>
        <v>3.8301478357491689E-2</v>
      </c>
      <c r="F58" s="223">
        <v>348.02999899999998</v>
      </c>
      <c r="G58" s="84">
        <f t="shared" si="20"/>
        <v>-5.993733979812732E-2</v>
      </c>
      <c r="H58" s="84">
        <f t="shared" si="21"/>
        <v>-6.4129006464793983E-2</v>
      </c>
      <c r="I58" s="84">
        <f t="shared" si="22"/>
        <v>4.061769626460851E-2</v>
      </c>
      <c r="J58" s="85">
        <f t="shared" si="23"/>
        <v>-0.11503666634454707</v>
      </c>
      <c r="K58" s="223">
        <v>128.34889200000001</v>
      </c>
      <c r="L58" s="84">
        <f t="shared" si="24"/>
        <v>1.9443352392456426E-3</v>
      </c>
      <c r="M58" s="84">
        <f t="shared" si="9"/>
        <v>-2.2473314274210239E-3</v>
      </c>
      <c r="N58" s="84">
        <f t="shared" si="25"/>
        <v>1.0321020888011369E-2</v>
      </c>
      <c r="O58" s="85">
        <f t="shared" si="26"/>
        <v>-2.2858315930576974E-2</v>
      </c>
      <c r="P58" s="223">
        <v>7.4636110000000002</v>
      </c>
      <c r="Q58" s="84">
        <f t="shared" si="27"/>
        <v>-3.1938234855412251E-2</v>
      </c>
      <c r="R58" s="84">
        <f t="shared" si="28"/>
        <v>-3.6129901522078914E-2</v>
      </c>
      <c r="S58" s="84">
        <f t="shared" si="29"/>
        <v>-2.4240634393346706E-2</v>
      </c>
      <c r="T58" s="85">
        <f t="shared" si="10"/>
        <v>-1.7828437156944724E-2</v>
      </c>
      <c r="U58" s="223">
        <v>68.708564999999993</v>
      </c>
      <c r="V58" s="84">
        <f t="shared" si="30"/>
        <v>9.2937584420692998E-2</v>
      </c>
      <c r="W58" s="84">
        <f t="shared" si="11"/>
        <v>8.8745917754026335E-2</v>
      </c>
      <c r="X58" s="84">
        <f t="shared" si="12"/>
        <v>1.7993281634833314E-2</v>
      </c>
      <c r="Y58" s="85">
        <f t="shared" si="13"/>
        <v>6.9465852176407147E-2</v>
      </c>
      <c r="Z58" s="199">
        <v>244.12887599999999</v>
      </c>
      <c r="AA58" s="84">
        <f t="shared" si="31"/>
        <v>-4.2500193212843151E-2</v>
      </c>
      <c r="AB58" s="84">
        <f t="shared" si="14"/>
        <v>-4.6691859879509814E-2</v>
      </c>
      <c r="AC58" s="84">
        <f t="shared" si="15"/>
        <v>3.2374938372570314E-2</v>
      </c>
      <c r="AD58" s="85">
        <f t="shared" si="16"/>
        <v>-8.6489907837490193E-2</v>
      </c>
      <c r="AE58" s="200">
        <f t="shared" si="32"/>
        <v>145.91022738817961</v>
      </c>
      <c r="AF58" s="85">
        <f t="shared" si="17"/>
        <v>-2.4025036344117831E-2</v>
      </c>
      <c r="AG58" s="199">
        <v>124.143044</v>
      </c>
      <c r="AH58" s="84">
        <f t="shared" si="33"/>
        <v>-4.1220109110218228E-4</v>
      </c>
      <c r="AI58" s="84">
        <f t="shared" si="18"/>
        <v>-4.6038677577688487E-3</v>
      </c>
    </row>
    <row r="59" spans="2:35">
      <c r="B59" s="224">
        <v>44197</v>
      </c>
      <c r="C59" s="81">
        <v>151.17077599999999</v>
      </c>
      <c r="D59" s="84">
        <f t="shared" si="19"/>
        <v>3.4321025082970635E-3</v>
      </c>
      <c r="E59" s="85">
        <f t="shared" si="8"/>
        <v>-7.5956415836960292E-4</v>
      </c>
      <c r="F59" s="223">
        <v>328.67999300000002</v>
      </c>
      <c r="G59" s="84">
        <f t="shared" si="20"/>
        <v>-5.5598672687982686E-2</v>
      </c>
      <c r="H59" s="84">
        <f t="shared" si="21"/>
        <v>-5.9790339354649349E-2</v>
      </c>
      <c r="I59" s="84">
        <f t="shared" si="22"/>
        <v>-8.0549753171877216E-4</v>
      </c>
      <c r="J59" s="85">
        <f t="shared" si="23"/>
        <v>-6.9274805438075154E-2</v>
      </c>
      <c r="K59" s="223">
        <v>118.266571</v>
      </c>
      <c r="L59" s="84">
        <f t="shared" si="24"/>
        <v>-7.8554016656411818E-2</v>
      </c>
      <c r="M59" s="84">
        <f t="shared" si="9"/>
        <v>-8.2745683323078481E-2</v>
      </c>
      <c r="N59" s="84">
        <f t="shared" si="25"/>
        <v>-2.0467819730472783E-4</v>
      </c>
      <c r="O59" s="85">
        <f t="shared" si="26"/>
        <v>-9.2830968740918327E-2</v>
      </c>
      <c r="P59" s="223">
        <v>8.9410500000000006</v>
      </c>
      <c r="Q59" s="84">
        <f t="shared" si="27"/>
        <v>0.1979523048561882</v>
      </c>
      <c r="R59" s="84">
        <f t="shared" si="28"/>
        <v>0.19376063818952152</v>
      </c>
      <c r="S59" s="84">
        <f t="shared" si="29"/>
        <v>-9.8444766467623041E-2</v>
      </c>
      <c r="T59" s="85">
        <f t="shared" si="10"/>
        <v>0.28626623462893208</v>
      </c>
      <c r="U59" s="223">
        <v>67.058684999999997</v>
      </c>
      <c r="V59" s="84">
        <f t="shared" si="30"/>
        <v>-2.4012726797597916E-2</v>
      </c>
      <c r="W59" s="84">
        <f t="shared" si="11"/>
        <v>-2.8204393464264583E-2</v>
      </c>
      <c r="X59" s="84">
        <f t="shared" si="12"/>
        <v>-3.5682831074315837E-4</v>
      </c>
      <c r="Y59" s="85">
        <f t="shared" si="13"/>
        <v>-2.9134349096307306E-2</v>
      </c>
      <c r="Z59" s="199">
        <v>250.265366</v>
      </c>
      <c r="AA59" s="84">
        <f t="shared" si="31"/>
        <v>2.5136272695574169E-2</v>
      </c>
      <c r="AB59" s="84">
        <f t="shared" si="14"/>
        <v>2.0944606028907502E-2</v>
      </c>
      <c r="AC59" s="84">
        <f t="shared" si="15"/>
        <v>-6.4203377707010138E-4</v>
      </c>
      <c r="AD59" s="85">
        <f t="shared" si="16"/>
        <v>1.4163530220567542E-2</v>
      </c>
      <c r="AE59" s="200">
        <f t="shared" si="32"/>
        <v>144.10117711823978</v>
      </c>
      <c r="AF59" s="85">
        <f t="shared" si="17"/>
        <v>-1.2398378799911269E-2</v>
      </c>
      <c r="AG59" s="199">
        <v>122.362053</v>
      </c>
      <c r="AH59" s="84">
        <f t="shared" si="33"/>
        <v>-1.4346281053008503E-2</v>
      </c>
      <c r="AI59" s="84">
        <f t="shared" si="18"/>
        <v>-1.8537947719675169E-2</v>
      </c>
    </row>
    <row r="60" spans="2:35">
      <c r="B60" s="224">
        <v>44228</v>
      </c>
      <c r="C60" s="81">
        <v>153.23081999999999</v>
      </c>
      <c r="D60" s="84">
        <f t="shared" si="19"/>
        <v>1.3627263512889565E-2</v>
      </c>
      <c r="E60" s="85">
        <f t="shared" si="8"/>
        <v>9.4355968462228983E-3</v>
      </c>
      <c r="F60" s="223">
        <v>311.67999300000002</v>
      </c>
      <c r="G60" s="84">
        <f t="shared" si="20"/>
        <v>-5.1722040775387224E-2</v>
      </c>
      <c r="H60" s="84">
        <f t="shared" si="21"/>
        <v>-5.5913707442053887E-2</v>
      </c>
      <c r="I60" s="84">
        <f t="shared" si="22"/>
        <v>1.0006198799901318E-2</v>
      </c>
      <c r="J60" s="85">
        <f t="shared" si="23"/>
        <v>-7.620986985709978E-2</v>
      </c>
      <c r="K60" s="223">
        <v>114.636864</v>
      </c>
      <c r="L60" s="84">
        <f t="shared" si="24"/>
        <v>-3.0690895739253321E-2</v>
      </c>
      <c r="M60" s="84">
        <f t="shared" si="9"/>
        <v>-3.4882562405919984E-2</v>
      </c>
      <c r="N60" s="84">
        <f t="shared" si="25"/>
        <v>2.5425909473197248E-3</v>
      </c>
      <c r="O60" s="85">
        <f t="shared" si="26"/>
        <v>-4.7715116968384291E-2</v>
      </c>
      <c r="P60" s="223">
        <v>9.9344979999999996</v>
      </c>
      <c r="Q60" s="84">
        <f t="shared" si="27"/>
        <v>0.11111088742373654</v>
      </c>
      <c r="R60" s="84">
        <f t="shared" si="28"/>
        <v>0.10691922075706987</v>
      </c>
      <c r="S60" s="84">
        <f t="shared" si="29"/>
        <v>-5.0600608941587154E-2</v>
      </c>
      <c r="T60" s="85">
        <f t="shared" si="10"/>
        <v>0.15158065967044451</v>
      </c>
      <c r="U60" s="223">
        <v>70.737853999999999</v>
      </c>
      <c r="V60" s="84">
        <f t="shared" si="30"/>
        <v>5.4864914216555372E-2</v>
      </c>
      <c r="W60" s="84">
        <f t="shared" si="11"/>
        <v>5.0673247549888709E-2</v>
      </c>
      <c r="X60" s="84">
        <f t="shared" si="12"/>
        <v>4.4326579215088055E-3</v>
      </c>
      <c r="Y60" s="85">
        <f t="shared" si="13"/>
        <v>4.4953805685594019E-2</v>
      </c>
      <c r="Z60" s="199">
        <v>238.732529</v>
      </c>
      <c r="AA60" s="84">
        <f t="shared" si="31"/>
        <v>-4.6082433156172331E-2</v>
      </c>
      <c r="AB60" s="84">
        <f t="shared" si="14"/>
        <v>-5.0274099822838994E-2</v>
      </c>
      <c r="AC60" s="84">
        <f t="shared" si="15"/>
        <v>7.975589442101378E-3</v>
      </c>
      <c r="AD60" s="85">
        <f t="shared" si="16"/>
        <v>-6.5672798850350433E-2</v>
      </c>
      <c r="AE60" s="200">
        <f t="shared" si="32"/>
        <v>140.30808196013137</v>
      </c>
      <c r="AF60" s="85">
        <f t="shared" si="17"/>
        <v>-2.6322443951974445E-2</v>
      </c>
      <c r="AG60" s="199">
        <v>119.35717</v>
      </c>
      <c r="AH60" s="84">
        <f t="shared" si="33"/>
        <v>-2.4557311080748212E-2</v>
      </c>
      <c r="AI60" s="84">
        <f t="shared" si="18"/>
        <v>-2.8748977747414878E-2</v>
      </c>
    </row>
    <row r="61" spans="2:35">
      <c r="B61" s="224">
        <v>44256</v>
      </c>
      <c r="C61" s="81">
        <v>158.42950400000001</v>
      </c>
      <c r="D61" s="84">
        <f t="shared" si="19"/>
        <v>3.3927143377552982E-2</v>
      </c>
      <c r="E61" s="85">
        <f t="shared" si="8"/>
        <v>2.9735476710886315E-2</v>
      </c>
      <c r="F61" s="223">
        <v>306.709991</v>
      </c>
      <c r="G61" s="84">
        <f t="shared" si="20"/>
        <v>-1.5945848664081663E-2</v>
      </c>
      <c r="H61" s="84">
        <f t="shared" si="21"/>
        <v>-2.013751533074833E-2</v>
      </c>
      <c r="I61" s="84">
        <f t="shared" si="22"/>
        <v>3.1533679981046475E-2</v>
      </c>
      <c r="J61" s="85">
        <f t="shared" si="23"/>
        <v>-6.1961158926939389E-2</v>
      </c>
      <c r="K61" s="223">
        <v>125.680145</v>
      </c>
      <c r="L61" s="84">
        <f t="shared" si="24"/>
        <v>9.6332720685729845E-2</v>
      </c>
      <c r="M61" s="84">
        <f t="shared" si="9"/>
        <v>9.2141054019063182E-2</v>
      </c>
      <c r="N61" s="84">
        <f t="shared" si="25"/>
        <v>8.0127579772127557E-3</v>
      </c>
      <c r="O61" s="85">
        <f t="shared" si="26"/>
        <v>7.3838332426705858E-2</v>
      </c>
      <c r="P61" s="223">
        <v>10.401503999999999</v>
      </c>
      <c r="Q61" s="84">
        <f t="shared" si="27"/>
        <v>4.7008515176106602E-2</v>
      </c>
      <c r="R61" s="84">
        <f t="shared" si="28"/>
        <v>4.2816848509439939E-2</v>
      </c>
      <c r="S61" s="84">
        <f t="shared" si="29"/>
        <v>7.8303582206416478E-2</v>
      </c>
      <c r="T61" s="85">
        <f t="shared" si="10"/>
        <v>-4.1425903725189055E-2</v>
      </c>
      <c r="U61" s="223">
        <v>74.711708000000002</v>
      </c>
      <c r="V61" s="84">
        <f t="shared" si="30"/>
        <v>5.6177191917640146E-2</v>
      </c>
      <c r="W61" s="84">
        <f t="shared" si="11"/>
        <v>5.1985525250973483E-2</v>
      </c>
      <c r="X61" s="84">
        <f t="shared" si="12"/>
        <v>1.3969142444350376E-2</v>
      </c>
      <c r="Y61" s="85">
        <f t="shared" si="13"/>
        <v>3.6729598863837226E-2</v>
      </c>
      <c r="Z61" s="199">
        <v>282.08218399999998</v>
      </c>
      <c r="AA61" s="84">
        <f t="shared" si="31"/>
        <v>0.18158252325974389</v>
      </c>
      <c r="AB61" s="84">
        <f t="shared" si="14"/>
        <v>0.17739085659307721</v>
      </c>
      <c r="AC61" s="84">
        <f t="shared" si="15"/>
        <v>2.513438820842917E-2</v>
      </c>
      <c r="AD61" s="85">
        <f t="shared" si="16"/>
        <v>0.14483335879923798</v>
      </c>
      <c r="AE61" s="200">
        <f t="shared" si="32"/>
        <v>154.75310952712232</v>
      </c>
      <c r="AF61" s="85">
        <f t="shared" si="17"/>
        <v>0.10295221319535613</v>
      </c>
      <c r="AG61" s="199">
        <v>117.585403</v>
      </c>
      <c r="AH61" s="84">
        <f t="shared" si="33"/>
        <v>-1.4844244380123883E-2</v>
      </c>
      <c r="AI61" s="84">
        <f t="shared" si="18"/>
        <v>-1.903591104679055E-2</v>
      </c>
    </row>
    <row r="62" spans="2:35">
      <c r="B62" s="224">
        <v>44287</v>
      </c>
      <c r="C62" s="81">
        <v>164.745712</v>
      </c>
      <c r="D62" s="84">
        <f t="shared" si="19"/>
        <v>3.9867624656579004E-2</v>
      </c>
      <c r="E62" s="85">
        <f t="shared" si="8"/>
        <v>3.5675957989912341E-2</v>
      </c>
      <c r="F62" s="223">
        <v>335.26998900000001</v>
      </c>
      <c r="G62" s="84">
        <f t="shared" si="20"/>
        <v>9.31172731181098E-2</v>
      </c>
      <c r="H62" s="84">
        <f t="shared" si="21"/>
        <v>8.8925606451443137E-2</v>
      </c>
      <c r="I62" s="84">
        <f t="shared" si="22"/>
        <v>3.7833401939686657E-2</v>
      </c>
      <c r="J62" s="85">
        <f t="shared" si="23"/>
        <v>4.0802240896611906E-2</v>
      </c>
      <c r="K62" s="223">
        <v>123.814842</v>
      </c>
      <c r="L62" s="84">
        <f t="shared" si="24"/>
        <v>-1.4841668109151218E-2</v>
      </c>
      <c r="M62" s="84">
        <f t="shared" si="9"/>
        <v>-1.9033334775817885E-2</v>
      </c>
      <c r="N62" s="84">
        <f t="shared" si="25"/>
        <v>9.6135272946110666E-3</v>
      </c>
      <c r="O62" s="85">
        <f t="shared" si="26"/>
        <v>-3.893682568557353E-2</v>
      </c>
      <c r="P62" s="223">
        <v>9.7986419999999992</v>
      </c>
      <c r="Q62" s="84">
        <f t="shared" si="27"/>
        <v>-5.7959118219826689E-2</v>
      </c>
      <c r="R62" s="84">
        <f t="shared" si="28"/>
        <v>-6.2150784886493352E-2</v>
      </c>
      <c r="S62" s="84">
        <f t="shared" si="29"/>
        <v>-4.1291465160777266E-2</v>
      </c>
      <c r="T62" s="85">
        <f t="shared" si="10"/>
        <v>-2.6798489753928595E-2</v>
      </c>
      <c r="U62" s="223">
        <v>81.056160000000006</v>
      </c>
      <c r="V62" s="84">
        <f t="shared" si="30"/>
        <v>8.4919113347000419E-2</v>
      </c>
      <c r="W62" s="84">
        <f t="shared" si="11"/>
        <v>8.0727446680333756E-2</v>
      </c>
      <c r="X62" s="84">
        <f t="shared" si="12"/>
        <v>1.6759863776365565E-2</v>
      </c>
      <c r="Y62" s="85">
        <f t="shared" si="13"/>
        <v>6.268079896118231E-2</v>
      </c>
      <c r="Z62" s="199">
        <v>300.97848499999998</v>
      </c>
      <c r="AA62" s="84">
        <f t="shared" si="31"/>
        <v>6.6988636900230381E-2</v>
      </c>
      <c r="AB62" s="84">
        <f t="shared" si="14"/>
        <v>6.2796970233563718E-2</v>
      </c>
      <c r="AC62" s="84">
        <f t="shared" si="15"/>
        <v>3.0155675207244385E-2</v>
      </c>
      <c r="AD62" s="85">
        <f t="shared" si="16"/>
        <v>2.5218185440909275E-2</v>
      </c>
      <c r="AE62" s="200">
        <f t="shared" si="32"/>
        <v>160.14552555446716</v>
      </c>
      <c r="AF62" s="85">
        <f t="shared" si="17"/>
        <v>3.4845283844844019E-2</v>
      </c>
      <c r="AG62" s="199">
        <v>118.821648</v>
      </c>
      <c r="AH62" s="84">
        <f t="shared" si="33"/>
        <v>1.051359240568317E-2</v>
      </c>
      <c r="AI62" s="84">
        <f t="shared" si="18"/>
        <v>6.3219257390165033E-3</v>
      </c>
    </row>
    <row r="63" spans="2:35">
      <c r="B63" s="224">
        <v>44317</v>
      </c>
      <c r="C63" s="81">
        <v>163.90034499999999</v>
      </c>
      <c r="D63" s="84">
        <f t="shared" si="19"/>
        <v>-5.1313444807595809E-3</v>
      </c>
      <c r="E63" s="85">
        <f t="shared" si="8"/>
        <v>-9.3230111474262474E-3</v>
      </c>
      <c r="F63" s="223">
        <v>323.13000499999998</v>
      </c>
      <c r="G63" s="84">
        <f t="shared" si="20"/>
        <v>-3.6209575560907203E-2</v>
      </c>
      <c r="H63" s="84">
        <f t="shared" si="21"/>
        <v>-4.0401242227573866E-2</v>
      </c>
      <c r="I63" s="84">
        <f t="shared" si="22"/>
        <v>-9.8868046690853053E-3</v>
      </c>
      <c r="J63" s="85">
        <f t="shared" si="23"/>
        <v>-4.080440117363314E-2</v>
      </c>
      <c r="K63" s="223">
        <v>125.942566</v>
      </c>
      <c r="L63" s="84">
        <f t="shared" si="24"/>
        <v>1.7184724913673843E-2</v>
      </c>
      <c r="M63" s="84">
        <f t="shared" si="9"/>
        <v>1.2993058247007177E-2</v>
      </c>
      <c r="N63" s="84">
        <f t="shared" si="25"/>
        <v>-2.5122527097685282E-3</v>
      </c>
      <c r="O63" s="85">
        <f t="shared" si="26"/>
        <v>5.2153473416311248E-3</v>
      </c>
      <c r="P63" s="223">
        <v>12.337459000000001</v>
      </c>
      <c r="Q63" s="84">
        <f t="shared" si="27"/>
        <v>0.25909886288324468</v>
      </c>
      <c r="R63" s="84">
        <f t="shared" si="28"/>
        <v>0.25490719621657804</v>
      </c>
      <c r="S63" s="84">
        <f t="shared" si="29"/>
        <v>5.5307367579813509E-3</v>
      </c>
      <c r="T63" s="85">
        <f t="shared" si="10"/>
        <v>0.24343728943038417</v>
      </c>
      <c r="U63" s="223">
        <v>82.276268000000002</v>
      </c>
      <c r="V63" s="84">
        <f t="shared" si="30"/>
        <v>1.5052625241560813E-2</v>
      </c>
      <c r="W63" s="84">
        <f t="shared" si="11"/>
        <v>1.0860958574894147E-2</v>
      </c>
      <c r="X63" s="84">
        <f t="shared" si="12"/>
        <v>-4.3797673733269645E-3</v>
      </c>
      <c r="Y63" s="85">
        <f t="shared" si="13"/>
        <v>1.3953942005435229E-2</v>
      </c>
      <c r="Z63" s="199">
        <v>296.55218500000001</v>
      </c>
      <c r="AA63" s="84">
        <f t="shared" si="31"/>
        <v>-1.4706366802264892E-2</v>
      </c>
      <c r="AB63" s="84">
        <f t="shared" si="14"/>
        <v>-1.8898033468931558E-2</v>
      </c>
      <c r="AC63" s="84">
        <f t="shared" si="15"/>
        <v>-7.8804245759791433E-3</v>
      </c>
      <c r="AD63" s="85">
        <f t="shared" si="16"/>
        <v>-1.8440718478362476E-2</v>
      </c>
      <c r="AE63" s="200">
        <f t="shared" si="32"/>
        <v>161.79183128681186</v>
      </c>
      <c r="AF63" s="85">
        <f t="shared" si="17"/>
        <v>1.0280060755021128E-2</v>
      </c>
      <c r="AG63" s="199">
        <v>119.562485</v>
      </c>
      <c r="AH63" s="84">
        <f t="shared" si="33"/>
        <v>6.2348655524453456E-3</v>
      </c>
      <c r="AI63" s="84">
        <f t="shared" si="18"/>
        <v>2.0431988857786791E-3</v>
      </c>
    </row>
    <row r="64" spans="2:35">
      <c r="B64" s="224">
        <v>44348</v>
      </c>
      <c r="C64" s="81">
        <v>166.582245</v>
      </c>
      <c r="D64" s="84">
        <f t="shared" si="19"/>
        <v>1.6362991792360226E-2</v>
      </c>
      <c r="E64" s="85">
        <f t="shared" si="8"/>
        <v>1.217132512569356E-2</v>
      </c>
      <c r="F64" s="223">
        <v>364.97000100000002</v>
      </c>
      <c r="G64" s="84">
        <f t="shared" si="20"/>
        <v>0.12948347523468162</v>
      </c>
      <c r="H64" s="84">
        <f t="shared" si="21"/>
        <v>0.12529180856801495</v>
      </c>
      <c r="I64" s="84">
        <f t="shared" si="22"/>
        <v>1.2907365676043704E-2</v>
      </c>
      <c r="J64" s="85">
        <f t="shared" si="23"/>
        <v>0.10209447927682666</v>
      </c>
      <c r="K64" s="223">
        <v>126.017273</v>
      </c>
      <c r="L64" s="84">
        <f t="shared" si="24"/>
        <v>5.9318308632838601E-4</v>
      </c>
      <c r="M64" s="84">
        <f t="shared" si="9"/>
        <v>-3.5984835803382804E-3</v>
      </c>
      <c r="N64" s="84">
        <f t="shared" si="25"/>
        <v>3.2797820409062547E-3</v>
      </c>
      <c r="O64" s="85">
        <f t="shared" si="26"/>
        <v>-1.7168229236389117E-2</v>
      </c>
      <c r="P64" s="223">
        <v>12.617660000000001</v>
      </c>
      <c r="Q64" s="84">
        <f t="shared" si="27"/>
        <v>2.2711402728876395E-2</v>
      </c>
      <c r="R64" s="84">
        <f t="shared" si="28"/>
        <v>1.8519736062209729E-2</v>
      </c>
      <c r="S64" s="84">
        <f t="shared" si="29"/>
        <v>-1.8206449213687539E-2</v>
      </c>
      <c r="T64" s="85">
        <f t="shared" si="10"/>
        <v>3.0787015247684756E-2</v>
      </c>
      <c r="U64" s="223">
        <v>84.562904000000003</v>
      </c>
      <c r="V64" s="84">
        <f t="shared" si="30"/>
        <v>2.7792169669144551E-2</v>
      </c>
      <c r="W64" s="84">
        <f t="shared" si="11"/>
        <v>2.3600503002477884E-2</v>
      </c>
      <c r="X64" s="84">
        <f t="shared" si="12"/>
        <v>5.71784929061076E-3</v>
      </c>
      <c r="Y64" s="85">
        <f t="shared" si="13"/>
        <v>1.6595869769081242E-2</v>
      </c>
      <c r="Z64" s="199">
        <v>296.53363000000002</v>
      </c>
      <c r="AA64" s="84">
        <f t="shared" si="31"/>
        <v>-6.2569088809749651E-5</v>
      </c>
      <c r="AB64" s="84">
        <f t="shared" si="14"/>
        <v>-4.2542357554764161E-3</v>
      </c>
      <c r="AC64" s="84">
        <f t="shared" si="15"/>
        <v>1.0288007611063165E-2</v>
      </c>
      <c r="AD64" s="85">
        <f t="shared" si="16"/>
        <v>-2.1965352951949645E-2</v>
      </c>
      <c r="AE64" s="200">
        <f t="shared" si="32"/>
        <v>164.85248974907421</v>
      </c>
      <c r="AF64" s="85">
        <f t="shared" si="17"/>
        <v>1.8917262002162864E-2</v>
      </c>
      <c r="AG64" s="199">
        <v>122.20573400000001</v>
      </c>
      <c r="AH64" s="84">
        <f t="shared" si="33"/>
        <v>2.2107678675296949E-2</v>
      </c>
      <c r="AI64" s="84">
        <f t="shared" si="18"/>
        <v>1.7916012008630283E-2</v>
      </c>
    </row>
    <row r="65" spans="2:35">
      <c r="B65" s="224">
        <v>44378</v>
      </c>
      <c r="C65" s="81">
        <v>165.30325300000001</v>
      </c>
      <c r="D65" s="84">
        <f t="shared" si="19"/>
        <v>-7.6778410568304478E-3</v>
      </c>
      <c r="E65" s="85">
        <f t="shared" si="8"/>
        <v>-1.1869507723497114E-2</v>
      </c>
      <c r="F65" s="223">
        <v>400.17001299999998</v>
      </c>
      <c r="G65" s="84">
        <f t="shared" si="20"/>
        <v>9.644631587131447E-2</v>
      </c>
      <c r="H65" s="84">
        <f t="shared" si="21"/>
        <v>9.2254649204647807E-2</v>
      </c>
      <c r="I65" s="84">
        <f t="shared" si="22"/>
        <v>-1.2587296370745191E-2</v>
      </c>
      <c r="J65" s="85">
        <f t="shared" si="23"/>
        <v>9.455198196024843E-2</v>
      </c>
      <c r="K65" s="223">
        <v>132.835083</v>
      </c>
      <c r="L65" s="84">
        <f t="shared" si="24"/>
        <v>5.4102186451852496E-2</v>
      </c>
      <c r="M65" s="84">
        <f t="shared" si="9"/>
        <v>4.9910519785185833E-2</v>
      </c>
      <c r="N65" s="84">
        <f t="shared" si="25"/>
        <v>-3.1984519240016275E-3</v>
      </c>
      <c r="O65" s="85">
        <f t="shared" si="26"/>
        <v>4.2819008094042883E-2</v>
      </c>
      <c r="P65" s="223">
        <v>11.844977999999999</v>
      </c>
      <c r="Q65" s="84">
        <f t="shared" si="27"/>
        <v>-6.1238137657854241E-2</v>
      </c>
      <c r="R65" s="84">
        <f t="shared" si="28"/>
        <v>-6.5429804324520904E-2</v>
      </c>
      <c r="S65" s="84">
        <f t="shared" si="29"/>
        <v>4.5408416063800874E-2</v>
      </c>
      <c r="T65" s="85">
        <f t="shared" si="10"/>
        <v>-0.11677739041653429</v>
      </c>
      <c r="U65" s="223">
        <v>86.435776000000004</v>
      </c>
      <c r="V65" s="84">
        <f t="shared" si="30"/>
        <v>2.2147678372067325E-2</v>
      </c>
      <c r="W65" s="84">
        <f t="shared" si="11"/>
        <v>1.7956011705400659E-2</v>
      </c>
      <c r="X65" s="84">
        <f t="shared" si="12"/>
        <v>-5.5760614079257515E-3</v>
      </c>
      <c r="Y65" s="85">
        <f t="shared" si="13"/>
        <v>2.2245289170540531E-2</v>
      </c>
      <c r="Z65" s="199">
        <v>306.78185999999999</v>
      </c>
      <c r="AA65" s="84">
        <f t="shared" si="31"/>
        <v>3.456009357184886E-2</v>
      </c>
      <c r="AB65" s="84">
        <f t="shared" si="14"/>
        <v>3.0368426905182194E-2</v>
      </c>
      <c r="AC65" s="84">
        <f t="shared" si="15"/>
        <v>-1.0032891615156235E-2</v>
      </c>
      <c r="AD65" s="85">
        <f t="shared" si="16"/>
        <v>3.2978208934928366E-2</v>
      </c>
      <c r="AE65" s="200">
        <f t="shared" si="32"/>
        <v>170.93767737568842</v>
      </c>
      <c r="AF65" s="85">
        <f t="shared" si="17"/>
        <v>3.6912925221066518E-2</v>
      </c>
      <c r="AG65" s="199">
        <v>123.948318</v>
      </c>
      <c r="AH65" s="84">
        <f t="shared" si="33"/>
        <v>1.4259429103383958E-2</v>
      </c>
      <c r="AI65" s="84">
        <f t="shared" si="18"/>
        <v>1.0067762436717292E-2</v>
      </c>
    </row>
    <row r="66" spans="2:35">
      <c r="B66" s="224">
        <v>44409</v>
      </c>
      <c r="C66" s="81">
        <v>164.522797</v>
      </c>
      <c r="D66" s="84">
        <f t="shared" si="19"/>
        <v>-4.7213589922517896E-3</v>
      </c>
      <c r="E66" s="85">
        <f t="shared" si="8"/>
        <v>-8.913025658918456E-3</v>
      </c>
      <c r="F66" s="223">
        <v>400.17001299999998</v>
      </c>
      <c r="G66" s="84">
        <f t="shared" si="20"/>
        <v>0</v>
      </c>
      <c r="H66" s="84">
        <f t="shared" si="21"/>
        <v>-4.1916666666666665E-3</v>
      </c>
      <c r="I66" s="84">
        <f t="shared" si="22"/>
        <v>-9.4520259931899029E-3</v>
      </c>
      <c r="J66" s="85">
        <f t="shared" si="23"/>
        <v>-5.0296042886213439E-3</v>
      </c>
      <c r="K66" s="223">
        <v>133.82089199999999</v>
      </c>
      <c r="L66" s="84">
        <f t="shared" si="24"/>
        <v>7.4212999889493592E-3</v>
      </c>
      <c r="M66" s="84">
        <f t="shared" si="9"/>
        <v>3.2296333222826927E-3</v>
      </c>
      <c r="N66" s="84">
        <f t="shared" si="25"/>
        <v>-2.4017747602968261E-3</v>
      </c>
      <c r="O66" s="85">
        <f t="shared" si="26"/>
        <v>-4.6585555325650615E-3</v>
      </c>
      <c r="P66" s="223">
        <v>11.063805</v>
      </c>
      <c r="Q66" s="84">
        <f t="shared" si="27"/>
        <v>-6.5949721476899259E-2</v>
      </c>
      <c r="R66" s="84">
        <f t="shared" si="28"/>
        <v>-7.0141388143565922E-2</v>
      </c>
      <c r="S66" s="84">
        <f t="shared" si="29"/>
        <v>-4.9402738945852776E-3</v>
      </c>
      <c r="T66" s="85">
        <f t="shared" si="10"/>
        <v>-7.1140284277193155E-2</v>
      </c>
      <c r="U66" s="223">
        <v>88.948784000000003</v>
      </c>
      <c r="V66" s="84">
        <f t="shared" si="30"/>
        <v>2.9073702074474239E-2</v>
      </c>
      <c r="W66" s="84">
        <f t="shared" si="11"/>
        <v>2.4882035407807573E-2</v>
      </c>
      <c r="X66" s="84">
        <f t="shared" si="12"/>
        <v>-4.1871642499680855E-3</v>
      </c>
      <c r="Y66" s="85">
        <f t="shared" si="13"/>
        <v>2.7782415714989777E-2</v>
      </c>
      <c r="Z66" s="199">
        <v>304.902985</v>
      </c>
      <c r="AA66" s="84">
        <f t="shared" si="31"/>
        <v>-6.124465768608367E-3</v>
      </c>
      <c r="AB66" s="84">
        <f t="shared" si="14"/>
        <v>-1.0316132435275033E-2</v>
      </c>
      <c r="AC66" s="84">
        <f t="shared" si="15"/>
        <v>-7.5338777716965448E-3</v>
      </c>
      <c r="AD66" s="85">
        <f t="shared" si="16"/>
        <v>-1.020536424898855E-2</v>
      </c>
      <c r="AE66" s="200">
        <f>AE65*(1+AF66)</f>
        <v>169.74703882629959</v>
      </c>
      <c r="AF66" s="85">
        <f t="shared" si="17"/>
        <v>-6.9653371197505847E-3</v>
      </c>
      <c r="AG66" s="199">
        <v>123.533897</v>
      </c>
      <c r="AH66" s="84">
        <f t="shared" si="33"/>
        <v>-3.343498376476628E-3</v>
      </c>
      <c r="AI66" s="84">
        <f t="shared" si="18"/>
        <v>-7.5351650431432944E-3</v>
      </c>
    </row>
    <row r="67" spans="2:35">
      <c r="B67" s="224">
        <v>44440</v>
      </c>
      <c r="C67" s="81">
        <v>160.94238300000001</v>
      </c>
      <c r="D67" s="84">
        <f t="shared" si="19"/>
        <v>-2.1762418736413713E-2</v>
      </c>
      <c r="E67" s="85">
        <f t="shared" si="8"/>
        <v>-2.595408540308038E-2</v>
      </c>
      <c r="F67" s="223">
        <v>404.70001200000002</v>
      </c>
      <c r="G67" s="84">
        <f t="shared" si="20"/>
        <v>1.132018605302143E-2</v>
      </c>
      <c r="H67" s="84">
        <f t="shared" si="21"/>
        <v>7.128519386354764E-3</v>
      </c>
      <c r="I67" s="84">
        <f t="shared" si="22"/>
        <v>-2.7523615352090705E-2</v>
      </c>
      <c r="J67" s="85">
        <f t="shared" si="23"/>
        <v>2.4362171123300889E-2</v>
      </c>
      <c r="K67" s="223">
        <v>131.38677999999999</v>
      </c>
      <c r="L67" s="84">
        <f t="shared" si="24"/>
        <v>-1.8189327268869238E-2</v>
      </c>
      <c r="M67" s="84">
        <f t="shared" si="9"/>
        <v>-2.2380993935535904E-2</v>
      </c>
      <c r="N67" s="84">
        <f t="shared" si="25"/>
        <v>-6.9937942100876697E-3</v>
      </c>
      <c r="O67" s="85">
        <f t="shared" si="26"/>
        <v>-2.5677163340592817E-2</v>
      </c>
      <c r="P67" s="223">
        <v>12.023292</v>
      </c>
      <c r="Q67" s="84">
        <f t="shared" si="27"/>
        <v>8.6723057754542809E-2</v>
      </c>
      <c r="R67" s="84">
        <f t="shared" si="28"/>
        <v>8.2531391087876146E-2</v>
      </c>
      <c r="S67" s="84">
        <f t="shared" si="29"/>
        <v>-2.7229946890573248E-2</v>
      </c>
      <c r="T67" s="85">
        <f t="shared" si="10"/>
        <v>0.10382216795023688</v>
      </c>
      <c r="U67" s="223">
        <v>81.858795000000001</v>
      </c>
      <c r="V67" s="84">
        <f t="shared" si="30"/>
        <v>-7.9708666956031737E-2</v>
      </c>
      <c r="W67" s="84">
        <f t="shared" si="11"/>
        <v>-8.39003336226984E-2</v>
      </c>
      <c r="X67" s="84">
        <f t="shared" si="12"/>
        <v>-1.2192719139280887E-2</v>
      </c>
      <c r="Y67" s="85">
        <f t="shared" si="13"/>
        <v>-7.2994398426203394E-2</v>
      </c>
      <c r="Z67" s="199">
        <v>306.84722900000003</v>
      </c>
      <c r="AA67" s="84">
        <f t="shared" si="31"/>
        <v>6.3765987728852114E-3</v>
      </c>
      <c r="AB67" s="84">
        <f t="shared" si="14"/>
        <v>2.1849321062185449E-3</v>
      </c>
      <c r="AC67" s="84">
        <f t="shared" si="15"/>
        <v>-2.1938106607751879E-2</v>
      </c>
      <c r="AD67" s="85">
        <f t="shared" si="16"/>
        <v>1.6699929128560363E-2</v>
      </c>
      <c r="AE67" s="200">
        <f t="shared" si="32"/>
        <v>168.80841055355256</v>
      </c>
      <c r="AF67" s="85">
        <f t="shared" si="17"/>
        <v>-5.5295708204223708E-3</v>
      </c>
      <c r="AG67" s="199">
        <v>121.67868</v>
      </c>
      <c r="AH67" s="84">
        <f t="shared" si="33"/>
        <v>-1.501787804848409E-2</v>
      </c>
      <c r="AI67" s="84">
        <f t="shared" si="18"/>
        <v>-1.9209544715150757E-2</v>
      </c>
    </row>
    <row r="68" spans="2:35">
      <c r="B68" s="224">
        <v>44470</v>
      </c>
      <c r="C68" s="81">
        <v>175.29325900000001</v>
      </c>
      <c r="D68" s="84">
        <f t="shared" si="19"/>
        <v>8.9167786213281142E-2</v>
      </c>
      <c r="E68" s="85">
        <f t="shared" si="8"/>
        <v>8.4976119546614479E-2</v>
      </c>
      <c r="F68" s="223">
        <v>466.01001000000002</v>
      </c>
      <c r="G68" s="84">
        <f t="shared" si="20"/>
        <v>0.15149492508539875</v>
      </c>
      <c r="H68" s="84">
        <f t="shared" si="21"/>
        <v>0.14730325841873207</v>
      </c>
      <c r="I68" s="84">
        <f t="shared" si="22"/>
        <v>9.0114908392676607E-2</v>
      </c>
      <c r="J68" s="85">
        <f t="shared" si="23"/>
        <v>4.6898386410910875E-2</v>
      </c>
      <c r="K68" s="223">
        <v>134.38479599999999</v>
      </c>
      <c r="L68" s="84">
        <f t="shared" si="24"/>
        <v>2.2818247010848447E-2</v>
      </c>
      <c r="M68" s="84">
        <f t="shared" si="9"/>
        <v>1.8626580344181781E-2</v>
      </c>
      <c r="N68" s="84">
        <f t="shared" si="25"/>
        <v>2.2898340806503412E-2</v>
      </c>
      <c r="O68" s="85">
        <f t="shared" si="26"/>
        <v>-1.4561724077466212E-2</v>
      </c>
      <c r="P68" s="223">
        <v>14.502666</v>
      </c>
      <c r="Q68" s="84">
        <f t="shared" si="27"/>
        <v>0.2062142381637242</v>
      </c>
      <c r="R68" s="84">
        <f t="shared" si="28"/>
        <v>0.20202257149705752</v>
      </c>
      <c r="S68" s="84">
        <f t="shared" si="29"/>
        <v>-1.5442320010393805E-2</v>
      </c>
      <c r="T68" s="85">
        <f t="shared" si="10"/>
        <v>0.21152572147923882</v>
      </c>
      <c r="U68" s="223">
        <v>82.650741999999994</v>
      </c>
      <c r="V68" s="84">
        <f t="shared" si="30"/>
        <v>9.674549936875998E-3</v>
      </c>
      <c r="W68" s="84">
        <f t="shared" si="11"/>
        <v>5.4828832702093315E-3</v>
      </c>
      <c r="X68" s="84">
        <f t="shared" si="12"/>
        <v>3.9920110575534205E-2</v>
      </c>
      <c r="Y68" s="85">
        <f t="shared" si="13"/>
        <v>-3.5724011248110754E-2</v>
      </c>
      <c r="Z68" s="199">
        <v>349.257721</v>
      </c>
      <c r="AA68" s="84">
        <f t="shared" si="31"/>
        <v>0.13821370373202879</v>
      </c>
      <c r="AB68" s="84">
        <f t="shared" si="14"/>
        <v>0.13402203706536212</v>
      </c>
      <c r="AC68" s="84">
        <f t="shared" si="15"/>
        <v>7.1827426810633865E-2</v>
      </c>
      <c r="AD68" s="85">
        <f t="shared" si="16"/>
        <v>5.4771500669318185E-2</v>
      </c>
      <c r="AE68" s="200">
        <f t="shared" si="32"/>
        <v>185.09061775925053</v>
      </c>
      <c r="AF68" s="85">
        <f t="shared" si="17"/>
        <v>9.6453767631042409E-2</v>
      </c>
      <c r="AG68" s="199">
        <v>122.301811</v>
      </c>
      <c r="AH68" s="84">
        <f t="shared" si="33"/>
        <v>5.1211189996471784E-3</v>
      </c>
      <c r="AI68" s="84">
        <f t="shared" si="18"/>
        <v>9.2945233298051197E-4</v>
      </c>
    </row>
    <row r="69" spans="2:35">
      <c r="B69" s="224">
        <v>44501</v>
      </c>
      <c r="C69" s="81">
        <v>172.698196</v>
      </c>
      <c r="D69" s="84">
        <f t="shared" si="19"/>
        <v>-1.480412318650548E-2</v>
      </c>
      <c r="E69" s="85">
        <f t="shared" si="8"/>
        <v>-1.8995789853172147E-2</v>
      </c>
      <c r="F69" s="223">
        <v>454.41000400000001</v>
      </c>
      <c r="G69" s="84">
        <f t="shared" si="20"/>
        <v>-2.4892182037033916E-2</v>
      </c>
      <c r="H69" s="84">
        <f t="shared" si="21"/>
        <v>-2.9083848703700583E-2</v>
      </c>
      <c r="I69" s="84">
        <f t="shared" si="22"/>
        <v>-2.0144528505165703E-2</v>
      </c>
      <c r="J69" s="85">
        <f t="shared" si="23"/>
        <v>-1.9229283813679464E-2</v>
      </c>
      <c r="K69" s="223">
        <v>136.72146599999999</v>
      </c>
      <c r="L69" s="84">
        <f t="shared" si="24"/>
        <v>1.738790450669736E-2</v>
      </c>
      <c r="M69" s="84">
        <f t="shared" si="9"/>
        <v>1.3196237840030694E-2</v>
      </c>
      <c r="N69" s="84">
        <f t="shared" si="25"/>
        <v>-5.1187565667557581E-3</v>
      </c>
      <c r="O69" s="85">
        <f t="shared" si="26"/>
        <v>8.0250307916418726E-3</v>
      </c>
      <c r="P69" s="223">
        <v>16.294279</v>
      </c>
      <c r="Q69" s="84">
        <f t="shared" si="27"/>
        <v>0.12353680350909269</v>
      </c>
      <c r="R69" s="84">
        <f t="shared" si="28"/>
        <v>0.11934513684242602</v>
      </c>
      <c r="S69" s="84">
        <f t="shared" si="29"/>
        <v>8.5103311200332189E-3</v>
      </c>
      <c r="T69" s="85">
        <f t="shared" si="10"/>
        <v>0.1048956356941803</v>
      </c>
      <c r="U69" s="223">
        <v>75.132271000000003</v>
      </c>
      <c r="V69" s="84">
        <f t="shared" si="30"/>
        <v>-9.0966769542129344E-2</v>
      </c>
      <c r="W69" s="84">
        <f t="shared" si="11"/>
        <v>-9.5158436208796007E-2</v>
      </c>
      <c r="X69" s="84">
        <f t="shared" si="12"/>
        <v>-8.923848670122695E-3</v>
      </c>
      <c r="Y69" s="85">
        <f t="shared" si="13"/>
        <v>-8.7521371481459193E-2</v>
      </c>
      <c r="Z69" s="199">
        <v>376.381775</v>
      </c>
      <c r="AA69" s="84">
        <f t="shared" si="31"/>
        <v>7.7662002495858973E-2</v>
      </c>
      <c r="AB69" s="84">
        <f t="shared" si="14"/>
        <v>7.347033582919231E-2</v>
      </c>
      <c r="AC69" s="84">
        <f t="shared" si="15"/>
        <v>-1.6056495785741764E-2</v>
      </c>
      <c r="AD69" s="85">
        <f t="shared" si="16"/>
        <v>8.2103722029524012E-2</v>
      </c>
      <c r="AE69" s="200">
        <f t="shared" si="32"/>
        <v>190.65531755972088</v>
      </c>
      <c r="AF69" s="85">
        <f t="shared" si="17"/>
        <v>3.0064731901799667E-2</v>
      </c>
      <c r="AG69" s="199">
        <v>122.151146</v>
      </c>
      <c r="AH69" s="84">
        <f t="shared" si="33"/>
        <v>-1.2319114391527997E-3</v>
      </c>
      <c r="AI69" s="84">
        <f t="shared" si="18"/>
        <v>-5.4235781058194661E-3</v>
      </c>
    </row>
    <row r="70" spans="2:35">
      <c r="B70" s="224">
        <v>44531</v>
      </c>
      <c r="C70" s="81">
        <v>174.912781</v>
      </c>
      <c r="D70" s="84">
        <f t="shared" si="19"/>
        <v>1.282344026338289E-2</v>
      </c>
      <c r="E70" s="85">
        <f t="shared" si="8"/>
        <v>8.6317735967162239E-3</v>
      </c>
      <c r="F70" s="223">
        <v>391.45001200000002</v>
      </c>
      <c r="G70" s="84">
        <f t="shared" si="20"/>
        <v>-0.13855327005520768</v>
      </c>
      <c r="H70" s="84">
        <f t="shared" si="21"/>
        <v>-0.14274493672187435</v>
      </c>
      <c r="I70" s="84">
        <f t="shared" si="22"/>
        <v>9.1537656824598728E-3</v>
      </c>
      <c r="J70" s="85">
        <f t="shared" si="23"/>
        <v>-0.16218866601947882</v>
      </c>
      <c r="K70" s="223">
        <v>154.68873600000001</v>
      </c>
      <c r="L70" s="84">
        <f t="shared" si="24"/>
        <v>0.1314151356451958</v>
      </c>
      <c r="M70" s="84">
        <f t="shared" si="9"/>
        <v>0.12722346897852913</v>
      </c>
      <c r="N70" s="84">
        <f t="shared" si="25"/>
        <v>2.3259863434192379E-3</v>
      </c>
      <c r="O70" s="85">
        <f t="shared" si="26"/>
        <v>0.1146075190199653</v>
      </c>
      <c r="P70" s="223">
        <v>17.724661000000001</v>
      </c>
      <c r="Q70" s="84">
        <f t="shared" si="27"/>
        <v>8.7784307608824053E-2</v>
      </c>
      <c r="R70" s="84">
        <f t="shared" si="28"/>
        <v>8.359264094215739E-2</v>
      </c>
      <c r="S70" s="84">
        <f t="shared" si="29"/>
        <v>0.12153821723914651</v>
      </c>
      <c r="T70" s="85">
        <f t="shared" si="10"/>
        <v>-4.3884746325201632E-2</v>
      </c>
      <c r="U70" s="223">
        <v>83.052895000000007</v>
      </c>
      <c r="V70" s="84">
        <f t="shared" si="30"/>
        <v>0.10542239565738676</v>
      </c>
      <c r="W70" s="84">
        <f t="shared" si="11"/>
        <v>0.1012307289907201</v>
      </c>
      <c r="X70" s="84">
        <f t="shared" si="12"/>
        <v>4.0550375597565953E-3</v>
      </c>
      <c r="Y70" s="85">
        <f t="shared" si="13"/>
        <v>9.5888907488177619E-2</v>
      </c>
      <c r="Z70" s="199">
        <v>389.910889</v>
      </c>
      <c r="AA70" s="84">
        <f t="shared" si="31"/>
        <v>3.594518889762921E-2</v>
      </c>
      <c r="AB70" s="84">
        <f t="shared" si="14"/>
        <v>3.1753522230962547E-2</v>
      </c>
      <c r="AC70" s="84">
        <f t="shared" si="15"/>
        <v>7.2961449589845108E-3</v>
      </c>
      <c r="AD70" s="85">
        <f t="shared" si="16"/>
        <v>1.7034267686567975E-2</v>
      </c>
      <c r="AE70" s="200">
        <f t="shared" si="32"/>
        <v>199.02934927990415</v>
      </c>
      <c r="AF70" s="85">
        <f t="shared" si="17"/>
        <v>4.3922361187540337E-2</v>
      </c>
      <c r="AG70" s="199">
        <v>121.894684</v>
      </c>
      <c r="AH70" s="84">
        <f t="shared" si="33"/>
        <v>-2.0995464094949456E-3</v>
      </c>
      <c r="AI70" s="84">
        <f t="shared" si="18"/>
        <v>-6.2912130761616121E-3</v>
      </c>
    </row>
    <row r="71" spans="2:35">
      <c r="B71" s="224">
        <v>44562</v>
      </c>
      <c r="C71" s="81">
        <v>163.10536200000001</v>
      </c>
      <c r="D71" s="84">
        <f t="shared" si="19"/>
        <v>-6.7504609625982592E-2</v>
      </c>
      <c r="E71" s="85">
        <f t="shared" ref="E71:E97" si="34">D71-$E$7/12</f>
        <v>-7.1696276292649255E-2</v>
      </c>
      <c r="F71" s="223">
        <v>333.76001000000002</v>
      </c>
      <c r="G71" s="84">
        <f t="shared" si="20"/>
        <v>-0.14737514428789955</v>
      </c>
      <c r="H71" s="84">
        <f t="shared" ref="H71:H97" si="35">G71-$E$7/12</f>
        <v>-0.15156681095456623</v>
      </c>
      <c r="I71" s="84">
        <f t="shared" ref="I71:I97" si="36">$G$17*E71</f>
        <v>-7.6031988806736783E-2</v>
      </c>
      <c r="J71" s="85">
        <f t="shared" ref="J71:J97" si="37">H71-$G$13/12-I71</f>
        <v>-8.5824785762974032E-2</v>
      </c>
      <c r="K71" s="223">
        <v>151.72885099999999</v>
      </c>
      <c r="L71" s="84">
        <f t="shared" si="24"/>
        <v>-1.9134457210898792E-2</v>
      </c>
      <c r="M71" s="84">
        <f t="shared" ref="M71:M97" si="38">L71-$E$7/12</f>
        <v>-2.3326123877565458E-2</v>
      </c>
      <c r="N71" s="84">
        <f t="shared" ref="N71:N97" si="39">$H$17*E71</f>
        <v>-1.9319848657077462E-2</v>
      </c>
      <c r="O71" s="85">
        <f t="shared" ref="O71:O97" si="40">M71-$G$13/12-N71</f>
        <v>-1.429623883563258E-2</v>
      </c>
      <c r="P71" s="223">
        <v>17.323571999999999</v>
      </c>
      <c r="Q71" s="84">
        <f t="shared" si="27"/>
        <v>-2.2628867203722702E-2</v>
      </c>
      <c r="R71" s="84">
        <f t="shared" ref="R71:R97" si="41">Q71-$E$7/12</f>
        <v>-2.6820533870389369E-2</v>
      </c>
      <c r="S71" s="84">
        <f t="shared" si="29"/>
        <v>-1.5160779992149955E-2</v>
      </c>
      <c r="T71" s="85">
        <f t="shared" ref="T71:T97" si="42">R71-$I$13/12-S71</f>
        <v>-1.7598923906451926E-2</v>
      </c>
      <c r="U71" s="223">
        <v>91.140152</v>
      </c>
      <c r="V71" s="84">
        <f t="shared" si="30"/>
        <v>9.7374775436786409E-2</v>
      </c>
      <c r="W71" s="84">
        <f t="shared" ref="W71:W97" si="43">V71-$E$7/12</f>
        <v>9.3183108770119746E-2</v>
      </c>
      <c r="X71" s="84">
        <f t="shared" ref="X71:X97" si="44">$J$17*E71</f>
        <v>-3.3681501258557289E-2</v>
      </c>
      <c r="Y71" s="85">
        <f t="shared" ref="Y71:Y97" si="45">W71-$J$13/12-X71</f>
        <v>0.12557782608589116</v>
      </c>
      <c r="Z71" s="199">
        <v>346.21163899999999</v>
      </c>
      <c r="AA71" s="84">
        <f t="shared" si="31"/>
        <v>-0.11207496695482133</v>
      </c>
      <c r="AB71" s="84">
        <f t="shared" ref="AB71:AB97" si="46">AA71-$E$7/12</f>
        <v>-0.11626663362148799</v>
      </c>
      <c r="AC71" s="84">
        <f t="shared" ref="AC71:AC97" si="47">$K$17*E71</f>
        <v>-6.0602426487365052E-2</v>
      </c>
      <c r="AD71" s="85">
        <f t="shared" ref="AD71:AD97" si="48">AB71-$K$13/12-AC71</f>
        <v>-6.3087316719533007E-2</v>
      </c>
      <c r="AE71" s="200">
        <f t="shared" ref="AE71:AE97" si="49">AE70*(1+AF71)</f>
        <v>185.12100675138481</v>
      </c>
      <c r="AF71" s="85">
        <f t="shared" ref="AF71:AF97" si="50">$F$32*E71+$G$32*H71+$H$32*M71+$I$32*R71+$J$32*W71+$K$32*AB71</f>
        <v>-6.9880862188618276E-2</v>
      </c>
      <c r="AG71" s="199">
        <v>117.954903</v>
      </c>
      <c r="AH71" s="84">
        <f t="shared" si="33"/>
        <v>-3.2321188018338831E-2</v>
      </c>
      <c r="AI71" s="84">
        <f t="shared" si="18"/>
        <v>-3.6512854685005494E-2</v>
      </c>
    </row>
    <row r="72" spans="2:35">
      <c r="B72" s="224">
        <v>44593</v>
      </c>
      <c r="C72" s="81">
        <v>153.083496</v>
      </c>
      <c r="D72" s="84">
        <f t="shared" si="19"/>
        <v>-6.1444123461741329E-2</v>
      </c>
      <c r="E72" s="85">
        <f t="shared" si="34"/>
        <v>-6.5635790128407992E-2</v>
      </c>
      <c r="F72" s="223">
        <v>319.94000199999999</v>
      </c>
      <c r="G72" s="84">
        <f t="shared" si="20"/>
        <v>-4.1407021769923946E-2</v>
      </c>
      <c r="H72" s="84">
        <f t="shared" si="35"/>
        <v>-4.5598688436590609E-2</v>
      </c>
      <c r="I72" s="84">
        <f t="shared" si="36"/>
        <v>-6.9605004867959785E-2</v>
      </c>
      <c r="J72" s="85">
        <f t="shared" si="37"/>
        <v>1.3716352816224596E-2</v>
      </c>
      <c r="K72" s="223">
        <v>148.21267700000001</v>
      </c>
      <c r="L72" s="84">
        <f t="shared" si="24"/>
        <v>-2.3174063316408922E-2</v>
      </c>
      <c r="M72" s="84">
        <f t="shared" si="38"/>
        <v>-2.7365729983075588E-2</v>
      </c>
      <c r="N72" s="84">
        <f t="shared" si="39"/>
        <v>-1.7686741869166668E-2</v>
      </c>
      <c r="O72" s="85">
        <f t="shared" si="40"/>
        <v>-1.9968951729053504E-2</v>
      </c>
      <c r="P72" s="223">
        <v>15.062359000000001</v>
      </c>
      <c r="Q72" s="84">
        <f t="shared" si="27"/>
        <v>-0.13052810355739553</v>
      </c>
      <c r="R72" s="84">
        <f t="shared" si="41"/>
        <v>-0.1347197702240622</v>
      </c>
      <c r="S72" s="84">
        <f t="shared" ref="S72:S97" si="51">$G$17*O72</f>
        <v>-2.1176540719470064E-2</v>
      </c>
      <c r="T72" s="85">
        <f t="shared" si="42"/>
        <v>-0.11948239953280465</v>
      </c>
      <c r="U72" s="223">
        <v>89.562820000000002</v>
      </c>
      <c r="V72" s="84">
        <f t="shared" si="30"/>
        <v>-1.730666413635118E-2</v>
      </c>
      <c r="W72" s="84">
        <f t="shared" si="43"/>
        <v>-2.1498330803017846E-2</v>
      </c>
      <c r="X72" s="84">
        <f t="shared" si="44"/>
        <v>-3.083440399042079E-2</v>
      </c>
      <c r="Y72" s="85">
        <f t="shared" si="45"/>
        <v>8.0492892446170639E-3</v>
      </c>
      <c r="Z72" s="199">
        <v>297.956299</v>
      </c>
      <c r="AA72" s="84">
        <f t="shared" si="31"/>
        <v>-0.13938104489895553</v>
      </c>
      <c r="AB72" s="84">
        <f t="shared" si="46"/>
        <v>-0.14357271156562221</v>
      </c>
      <c r="AC72" s="84">
        <f t="shared" si="47"/>
        <v>-5.5479703436212953E-2</v>
      </c>
      <c r="AD72" s="85">
        <f t="shared" si="48"/>
        <v>-9.5516117714819326E-2</v>
      </c>
      <c r="AE72" s="200">
        <f t="shared" si="49"/>
        <v>169.51359162105368</v>
      </c>
      <c r="AF72" s="85">
        <f t="shared" si="50"/>
        <v>-8.430926021967719E-2</v>
      </c>
      <c r="AG72" s="199">
        <v>115.222076</v>
      </c>
      <c r="AH72" s="84">
        <f t="shared" si="33"/>
        <v>-2.3168405301473571E-2</v>
      </c>
      <c r="AI72" s="84">
        <f t="shared" si="18"/>
        <v>-2.7360071968140238E-2</v>
      </c>
    </row>
    <row r="73" spans="2:35">
      <c r="B73" s="224">
        <v>44621</v>
      </c>
      <c r="C73" s="81">
        <v>153.29922500000001</v>
      </c>
      <c r="D73" s="84">
        <f t="shared" si="19"/>
        <v>1.4092244143679711E-3</v>
      </c>
      <c r="E73" s="85">
        <f t="shared" si="34"/>
        <v>-2.7824422522986954E-3</v>
      </c>
      <c r="F73" s="223">
        <v>365.23001099999999</v>
      </c>
      <c r="G73" s="84">
        <f t="shared" si="20"/>
        <v>0.14155781933138822</v>
      </c>
      <c r="H73" s="84">
        <f t="shared" si="35"/>
        <v>0.13736615266472155</v>
      </c>
      <c r="I73" s="84">
        <f t="shared" si="36"/>
        <v>-2.9507057984245102E-3</v>
      </c>
      <c r="J73" s="85">
        <f t="shared" si="37"/>
        <v>0.13002689484800148</v>
      </c>
      <c r="K73" s="223">
        <v>145.27482599999999</v>
      </c>
      <c r="L73" s="84">
        <f t="shared" si="24"/>
        <v>-1.9821860447200579E-2</v>
      </c>
      <c r="M73" s="84">
        <f t="shared" si="38"/>
        <v>-2.4013527113867245E-2</v>
      </c>
      <c r="N73" s="84">
        <f t="shared" si="39"/>
        <v>-7.4977901212116334E-4</v>
      </c>
      <c r="O73" s="85">
        <f t="shared" si="40"/>
        <v>-3.3553711716890665E-2</v>
      </c>
      <c r="P73" s="223">
        <v>14.504813</v>
      </c>
      <c r="Q73" s="84">
        <f t="shared" si="27"/>
        <v>-3.7015848579893817E-2</v>
      </c>
      <c r="R73" s="84">
        <f t="shared" si="41"/>
        <v>-4.120751524656048E-2</v>
      </c>
      <c r="S73" s="84">
        <f t="shared" si="51"/>
        <v>-3.5582816369288402E-2</v>
      </c>
      <c r="T73" s="85">
        <f t="shared" si="42"/>
        <v>-1.1563868905484595E-2</v>
      </c>
      <c r="U73" s="223">
        <v>83.244597999999996</v>
      </c>
      <c r="V73" s="84">
        <f t="shared" si="30"/>
        <v>-7.05451436209803E-2</v>
      </c>
      <c r="W73" s="84">
        <f t="shared" si="43"/>
        <v>-7.4736810287646963E-2</v>
      </c>
      <c r="X73" s="84">
        <f t="shared" si="44"/>
        <v>-1.3071366752734675E-3</v>
      </c>
      <c r="Y73" s="85">
        <f t="shared" si="45"/>
        <v>-7.4716457555159377E-2</v>
      </c>
      <c r="Z73" s="199">
        <v>282.39013699999998</v>
      </c>
      <c r="AA73" s="84">
        <f t="shared" si="31"/>
        <v>-5.2243104281544439E-2</v>
      </c>
      <c r="AB73" s="84">
        <f t="shared" si="46"/>
        <v>-5.6434770948211102E-2</v>
      </c>
      <c r="AC73" s="84">
        <f t="shared" si="47"/>
        <v>-2.3519039030979404E-3</v>
      </c>
      <c r="AD73" s="85">
        <f t="shared" si="48"/>
        <v>-6.1505976630523228E-2</v>
      </c>
      <c r="AE73" s="200">
        <f t="shared" si="49"/>
        <v>166.28565452688787</v>
      </c>
      <c r="AF73" s="85">
        <f t="shared" si="50"/>
        <v>-1.9042349721324098E-2</v>
      </c>
      <c r="AG73" s="199">
        <v>111.870216</v>
      </c>
      <c r="AH73" s="84">
        <f t="shared" si="33"/>
        <v>-2.9090432288340295E-2</v>
      </c>
      <c r="AI73" s="84">
        <f t="shared" si="18"/>
        <v>-3.3282098955006958E-2</v>
      </c>
    </row>
    <row r="74" spans="2:35">
      <c r="B74" s="224">
        <v>44652</v>
      </c>
      <c r="C74" s="81">
        <v>138.44293200000001</v>
      </c>
      <c r="D74" s="84">
        <f t="shared" si="19"/>
        <v>-9.6910424693927744E-2</v>
      </c>
      <c r="E74" s="85">
        <f t="shared" si="34"/>
        <v>-0.10110209136059441</v>
      </c>
      <c r="F74" s="223">
        <v>354.63000499999998</v>
      </c>
      <c r="G74" s="84">
        <f t="shared" si="20"/>
        <v>-2.9022823099824624E-2</v>
      </c>
      <c r="H74" s="84">
        <f t="shared" si="35"/>
        <v>-3.3214489766491287E-2</v>
      </c>
      <c r="I74" s="84">
        <f t="shared" si="36"/>
        <v>-0.10721607140780492</v>
      </c>
      <c r="J74" s="85">
        <f t="shared" si="37"/>
        <v>6.3711618026169065E-2</v>
      </c>
      <c r="K74" s="223">
        <v>152.64317299999999</v>
      </c>
      <c r="L74" s="84">
        <f t="shared" si="24"/>
        <v>5.0720053865354497E-2</v>
      </c>
      <c r="M74" s="84">
        <f t="shared" si="38"/>
        <v>4.6528387198687834E-2</v>
      </c>
      <c r="N74" s="84">
        <f t="shared" si="39"/>
        <v>-2.724377338688878E-2</v>
      </c>
      <c r="O74" s="85">
        <f t="shared" si="40"/>
        <v>6.3482196970432031E-2</v>
      </c>
      <c r="P74" s="223">
        <v>12.145958</v>
      </c>
      <c r="Q74" s="84">
        <f t="shared" si="27"/>
        <v>-0.16262567466398914</v>
      </c>
      <c r="R74" s="84">
        <f t="shared" si="41"/>
        <v>-0.16681734133065582</v>
      </c>
      <c r="S74" s="84">
        <f t="shared" si="51"/>
        <v>6.7321176762116006E-2</v>
      </c>
      <c r="T74" s="85">
        <f t="shared" si="42"/>
        <v>-0.24007768812098434</v>
      </c>
      <c r="U74" s="223">
        <v>89.813430999999994</v>
      </c>
      <c r="V74" s="84">
        <f t="shared" si="30"/>
        <v>7.8910021284504195E-2</v>
      </c>
      <c r="W74" s="84">
        <f t="shared" si="43"/>
        <v>7.4718354617837532E-2</v>
      </c>
      <c r="X74" s="84">
        <f t="shared" si="44"/>
        <v>-4.7495775143258923E-2</v>
      </c>
      <c r="Y74" s="85">
        <f t="shared" si="45"/>
        <v>0.12092734581831058</v>
      </c>
      <c r="Z74" s="199">
        <v>285.109802</v>
      </c>
      <c r="AA74" s="84">
        <f t="shared" si="31"/>
        <v>9.6308781492606688E-3</v>
      </c>
      <c r="AB74" s="84">
        <f t="shared" si="46"/>
        <v>5.4392114825940023E-3</v>
      </c>
      <c r="AC74" s="84">
        <f t="shared" si="47"/>
        <v>-8.5458162909186799E-2</v>
      </c>
      <c r="AD74" s="85">
        <f t="shared" si="48"/>
        <v>8.347426480637074E-2</v>
      </c>
      <c r="AE74" s="200">
        <f t="shared" si="49"/>
        <v>167.07865776302904</v>
      </c>
      <c r="AF74" s="85">
        <f t="shared" si="50"/>
        <v>4.7689215188009195E-3</v>
      </c>
      <c r="AG74" s="199">
        <v>104.36975099999999</v>
      </c>
      <c r="AH74" s="84">
        <f t="shared" si="33"/>
        <v>-6.7046129597175375E-2</v>
      </c>
      <c r="AI74" s="84">
        <f t="shared" si="18"/>
        <v>-7.1237796263842038E-2</v>
      </c>
    </row>
    <row r="75" spans="2:35">
      <c r="B75" s="224">
        <v>44682</v>
      </c>
      <c r="C75" s="81">
        <v>136.197327</v>
      </c>
      <c r="D75" s="84">
        <f t="shared" si="19"/>
        <v>-1.6220438035796647E-2</v>
      </c>
      <c r="E75" s="85">
        <f t="shared" si="34"/>
        <v>-2.0412104702463314E-2</v>
      </c>
      <c r="F75" s="223">
        <v>292.69000199999999</v>
      </c>
      <c r="G75" s="84">
        <f t="shared" si="20"/>
        <v>-0.17466092018919832</v>
      </c>
      <c r="H75" s="84">
        <f t="shared" si="35"/>
        <v>-0.178852586855865</v>
      </c>
      <c r="I75" s="84">
        <f t="shared" si="36"/>
        <v>-2.1646492628498586E-2</v>
      </c>
      <c r="J75" s="85">
        <f t="shared" si="37"/>
        <v>-0.16749605784251101</v>
      </c>
      <c r="K75" s="223">
        <v>141.385941</v>
      </c>
      <c r="L75" s="84">
        <f t="shared" si="24"/>
        <v>-7.3748676594923679E-2</v>
      </c>
      <c r="M75" s="84">
        <f t="shared" si="38"/>
        <v>-7.7940343261590342E-2</v>
      </c>
      <c r="N75" s="84">
        <f t="shared" si="39"/>
        <v>-5.5004080269708856E-3</v>
      </c>
      <c r="O75" s="85">
        <f t="shared" si="40"/>
        <v>-8.2729898849764033E-2</v>
      </c>
      <c r="P75" s="223">
        <v>11.812303999999999</v>
      </c>
      <c r="Q75" s="84">
        <f t="shared" si="27"/>
        <v>-2.7470373271503257E-2</v>
      </c>
      <c r="R75" s="84">
        <f t="shared" si="41"/>
        <v>-3.166203993816992E-2</v>
      </c>
      <c r="S75" s="84">
        <f t="shared" si="51"/>
        <v>-8.7732851252312907E-2</v>
      </c>
      <c r="T75" s="85">
        <f t="shared" si="42"/>
        <v>5.0131641285930471E-2</v>
      </c>
      <c r="U75" s="223">
        <v>95.426781000000005</v>
      </c>
      <c r="V75" s="84">
        <f t="shared" si="30"/>
        <v>6.2500117604904926E-2</v>
      </c>
      <c r="W75" s="84">
        <f t="shared" si="43"/>
        <v>5.8308450938238263E-2</v>
      </c>
      <c r="X75" s="84">
        <f t="shared" si="44"/>
        <v>-9.5892055456206302E-3</v>
      </c>
      <c r="Y75" s="85">
        <f t="shared" si="45"/>
        <v>6.6610872541073007E-2</v>
      </c>
      <c r="Z75" s="199">
        <v>287.34017899999998</v>
      </c>
      <c r="AA75" s="84">
        <f t="shared" si="31"/>
        <v>7.8228702919165283E-3</v>
      </c>
      <c r="AB75" s="84">
        <f t="shared" si="46"/>
        <v>3.6312036252498618E-3</v>
      </c>
      <c r="AC75" s="84">
        <f t="shared" si="47"/>
        <v>-1.7253658608909633E-2</v>
      </c>
      <c r="AD75" s="85">
        <f t="shared" si="48"/>
        <v>1.3461752648749433E-2</v>
      </c>
      <c r="AE75" s="200">
        <f t="shared" si="49"/>
        <v>159.5740266687171</v>
      </c>
      <c r="AF75" s="85">
        <f t="shared" si="50"/>
        <v>-4.4916754747670512E-2</v>
      </c>
      <c r="AG75" s="199">
        <v>106.29940000000001</v>
      </c>
      <c r="AH75" s="84">
        <f t="shared" si="33"/>
        <v>1.8488584877432768E-2</v>
      </c>
      <c r="AI75" s="84">
        <f t="shared" si="18"/>
        <v>1.4296918210766101E-2</v>
      </c>
    </row>
    <row r="76" spans="2:35">
      <c r="B76" s="224">
        <v>44713</v>
      </c>
      <c r="C76" s="81">
        <v>124.52803</v>
      </c>
      <c r="D76" s="84">
        <f t="shared" si="19"/>
        <v>-8.5679339360309137E-2</v>
      </c>
      <c r="E76" s="85">
        <f t="shared" si="34"/>
        <v>-8.98710060269758E-2</v>
      </c>
      <c r="F76" s="223">
        <v>272.60998499999999</v>
      </c>
      <c r="G76" s="84">
        <f t="shared" si="20"/>
        <v>-6.8605066325429176E-2</v>
      </c>
      <c r="H76" s="84">
        <f t="shared" si="35"/>
        <v>-7.2796732992095839E-2</v>
      </c>
      <c r="I76" s="84">
        <f t="shared" si="36"/>
        <v>-9.5305804954249299E-2</v>
      </c>
      <c r="J76" s="85">
        <f t="shared" si="37"/>
        <v>1.2219108347008886E-2</v>
      </c>
      <c r="K76" s="223">
        <v>137.47554</v>
      </c>
      <c r="L76" s="84">
        <f t="shared" si="24"/>
        <v>-2.765763676602051E-2</v>
      </c>
      <c r="M76" s="84">
        <f t="shared" si="38"/>
        <v>-3.1849303432687173E-2</v>
      </c>
      <c r="N76" s="84">
        <f t="shared" si="39"/>
        <v>-2.4217355836072683E-2</v>
      </c>
      <c r="O76" s="85">
        <f t="shared" si="40"/>
        <v>-1.7921911211759071E-2</v>
      </c>
      <c r="P76" s="223">
        <v>9.6104479999999999</v>
      </c>
      <c r="Q76" s="84">
        <f t="shared" si="27"/>
        <v>-0.18640360085551466</v>
      </c>
      <c r="R76" s="84">
        <f t="shared" si="41"/>
        <v>-0.19059526752218134</v>
      </c>
      <c r="S76" s="84">
        <f t="shared" si="51"/>
        <v>-1.9005708847218084E-2</v>
      </c>
      <c r="T76" s="85">
        <f t="shared" si="42"/>
        <v>-0.17752872870317576</v>
      </c>
      <c r="U76" s="223">
        <v>88.681777999999994</v>
      </c>
      <c r="V76" s="84">
        <f t="shared" si="30"/>
        <v>-7.0682495304960624E-2</v>
      </c>
      <c r="W76" s="84">
        <f t="shared" si="43"/>
        <v>-7.4874161971627287E-2</v>
      </c>
      <c r="X76" s="84">
        <f t="shared" si="44"/>
        <v>-4.2219632024539891E-2</v>
      </c>
      <c r="Y76" s="85">
        <f t="shared" si="45"/>
        <v>-3.3941313889873273E-2</v>
      </c>
      <c r="Z76" s="199">
        <v>260.30981400000002</v>
      </c>
      <c r="AA76" s="84">
        <f t="shared" si="31"/>
        <v>-9.4070954831555142E-2</v>
      </c>
      <c r="AB76" s="84">
        <f t="shared" si="46"/>
        <v>-9.8262621498221805E-2</v>
      </c>
      <c r="AC76" s="84">
        <f t="shared" si="47"/>
        <v>-7.5964908049956023E-2</v>
      </c>
      <c r="AD76" s="85">
        <f t="shared" si="48"/>
        <v>-2.9720823033675847E-2</v>
      </c>
      <c r="AE76" s="200">
        <f t="shared" si="49"/>
        <v>146.8000746364273</v>
      </c>
      <c r="AF76" s="85">
        <f t="shared" si="50"/>
        <v>-8.0050320838297245E-2</v>
      </c>
      <c r="AG76" s="199">
        <v>102.434174</v>
      </c>
      <c r="AH76" s="84">
        <f t="shared" si="33"/>
        <v>-3.636169159938818E-2</v>
      </c>
      <c r="AI76" s="84">
        <f t="shared" si="18"/>
        <v>-4.0553358266054843E-2</v>
      </c>
    </row>
    <row r="77" spans="2:35">
      <c r="B77" s="224">
        <v>44743</v>
      </c>
      <c r="C77" s="81">
        <v>139.314346</v>
      </c>
      <c r="D77" s="84">
        <f t="shared" si="19"/>
        <v>0.11873885742832346</v>
      </c>
      <c r="E77" s="85">
        <f t="shared" si="34"/>
        <v>0.1145471907616568</v>
      </c>
      <c r="F77" s="223">
        <v>310.51001000000002</v>
      </c>
      <c r="G77" s="84">
        <f t="shared" si="20"/>
        <v>0.13902654739517351</v>
      </c>
      <c r="H77" s="84">
        <f t="shared" si="35"/>
        <v>0.13483488072850683</v>
      </c>
      <c r="I77" s="84">
        <f t="shared" si="36"/>
        <v>0.12147424073021711</v>
      </c>
      <c r="J77" s="85">
        <f t="shared" si="37"/>
        <v>3.070676383145135E-3</v>
      </c>
      <c r="K77" s="223">
        <v>132.809845</v>
      </c>
      <c r="L77" s="84">
        <f t="shared" si="24"/>
        <v>-3.3938364599258919E-2</v>
      </c>
      <c r="M77" s="84">
        <f t="shared" si="38"/>
        <v>-3.8130031265925582E-2</v>
      </c>
      <c r="N77" s="84">
        <f t="shared" si="39"/>
        <v>3.0866796771640496E-2</v>
      </c>
      <c r="O77" s="85">
        <f t="shared" si="40"/>
        <v>-7.9286791652710659E-2</v>
      </c>
      <c r="P77" s="223">
        <v>12.68441</v>
      </c>
      <c r="Q77" s="84">
        <f t="shared" si="27"/>
        <v>0.31985626476518059</v>
      </c>
      <c r="R77" s="84">
        <f t="shared" si="41"/>
        <v>0.31566459809851394</v>
      </c>
      <c r="S77" s="84">
        <f t="shared" si="51"/>
        <v>-8.4081527900480804E-2</v>
      </c>
      <c r="T77" s="85">
        <f t="shared" si="42"/>
        <v>0.39380695597078219</v>
      </c>
      <c r="U77" s="223">
        <v>88.348579000000001</v>
      </c>
      <c r="V77" s="84">
        <f t="shared" si="30"/>
        <v>-3.7572431170695975E-3</v>
      </c>
      <c r="W77" s="84">
        <f t="shared" si="43"/>
        <v>-7.9489097837362639E-3</v>
      </c>
      <c r="X77" s="84">
        <f t="shared" si="44"/>
        <v>5.3812018549678896E-2</v>
      </c>
      <c r="Y77" s="85">
        <f t="shared" si="45"/>
        <v>-6.304771227620104E-2</v>
      </c>
      <c r="Z77" s="199">
        <v>287.42614700000001</v>
      </c>
      <c r="AA77" s="84">
        <f t="shared" si="31"/>
        <v>0.10416946093319401</v>
      </c>
      <c r="AB77" s="84">
        <f t="shared" si="46"/>
        <v>9.9977794266527351E-2</v>
      </c>
      <c r="AC77" s="84">
        <f t="shared" si="47"/>
        <v>9.6822848639061154E-2</v>
      </c>
      <c r="AD77" s="85">
        <f t="shared" si="48"/>
        <v>-4.2681639579438685E-3</v>
      </c>
      <c r="AE77" s="200">
        <f t="shared" si="49"/>
        <v>157.32630281600211</v>
      </c>
      <c r="AF77" s="85">
        <f t="shared" si="50"/>
        <v>7.170451517578999E-2</v>
      </c>
      <c r="AG77" s="199">
        <v>106.95405599999999</v>
      </c>
      <c r="AH77" s="84">
        <f t="shared" si="33"/>
        <v>4.4124746883788868E-2</v>
      </c>
      <c r="AI77" s="84">
        <f t="shared" si="18"/>
        <v>3.9933080217122205E-2</v>
      </c>
    </row>
    <row r="78" spans="2:35">
      <c r="B78" s="224">
        <v>44774</v>
      </c>
      <c r="C78" s="81">
        <v>133.187408</v>
      </c>
      <c r="D78" s="84">
        <f t="shared" si="19"/>
        <v>-4.3979232404392832E-2</v>
      </c>
      <c r="E78" s="85">
        <f t="shared" si="34"/>
        <v>-4.8170899071059495E-2</v>
      </c>
      <c r="F78" s="223">
        <v>299.959991</v>
      </c>
      <c r="G78" s="84">
        <f t="shared" si="20"/>
        <v>-3.3976421565282244E-2</v>
      </c>
      <c r="H78" s="84">
        <f t="shared" si="35"/>
        <v>-3.8168088231948907E-2</v>
      </c>
      <c r="I78" s="84">
        <f t="shared" si="36"/>
        <v>-5.1083953705371839E-2</v>
      </c>
      <c r="J78" s="85">
        <f t="shared" si="37"/>
        <v>2.6259018582783511E-3</v>
      </c>
      <c r="K78" s="223">
        <v>132.73860199999999</v>
      </c>
      <c r="L78" s="84">
        <f t="shared" si="24"/>
        <v>-5.3642860587643781E-4</v>
      </c>
      <c r="M78" s="84">
        <f t="shared" si="38"/>
        <v>-4.7280952725431043E-3</v>
      </c>
      <c r="N78" s="84">
        <f t="shared" si="39"/>
        <v>-1.2980513463899926E-2</v>
      </c>
      <c r="O78" s="85">
        <f t="shared" si="40"/>
        <v>-2.0375454237877583E-3</v>
      </c>
      <c r="P78" s="223">
        <v>13.159319999999999</v>
      </c>
      <c r="Q78" s="84">
        <f t="shared" si="27"/>
        <v>3.7440448550622341E-2</v>
      </c>
      <c r="R78" s="84">
        <f t="shared" si="41"/>
        <v>3.3248781883955678E-2</v>
      </c>
      <c r="S78" s="84">
        <f t="shared" si="51"/>
        <v>-2.1607625788304967E-3</v>
      </c>
      <c r="T78" s="85">
        <f t="shared" si="42"/>
        <v>2.9470374434573662E-2</v>
      </c>
      <c r="U78" s="223">
        <v>86.838965999999999</v>
      </c>
      <c r="V78" s="84">
        <f t="shared" si="30"/>
        <v>-1.7087009401701936E-2</v>
      </c>
      <c r="W78" s="84">
        <f t="shared" si="43"/>
        <v>-2.1278676068368602E-2</v>
      </c>
      <c r="X78" s="84">
        <f t="shared" si="44"/>
        <v>-2.262974148148433E-2</v>
      </c>
      <c r="Y78" s="85">
        <f t="shared" si="45"/>
        <v>6.4281470329847351E-5</v>
      </c>
      <c r="Z78" s="199">
        <v>275.46838400000001</v>
      </c>
      <c r="AA78" s="84">
        <f t="shared" si="31"/>
        <v>-4.1602906084949876E-2</v>
      </c>
      <c r="AB78" s="84">
        <f t="shared" si="46"/>
        <v>-4.5794572751616539E-2</v>
      </c>
      <c r="AC78" s="84">
        <f t="shared" si="47"/>
        <v>-4.0717224390682427E-2</v>
      </c>
      <c r="AD78" s="85">
        <f t="shared" si="48"/>
        <v>-1.2500457946344169E-2</v>
      </c>
      <c r="AE78" s="200">
        <f t="shared" si="49"/>
        <v>153.44224371332709</v>
      </c>
      <c r="AF78" s="85">
        <f t="shared" si="50"/>
        <v>-2.468791952237984E-2</v>
      </c>
      <c r="AG78" s="199">
        <v>102.246773</v>
      </c>
      <c r="AH78" s="84">
        <f t="shared" si="33"/>
        <v>-4.4012197162489941E-2</v>
      </c>
      <c r="AI78" s="84">
        <f t="shared" si="18"/>
        <v>-4.8203863829156604E-2</v>
      </c>
    </row>
    <row r="79" spans="2:35">
      <c r="B79" s="224">
        <v>44805</v>
      </c>
      <c r="C79" s="81">
        <v>120.273506</v>
      </c>
      <c r="D79" s="84">
        <f t="shared" si="19"/>
        <v>-9.6960382320827265E-2</v>
      </c>
      <c r="E79" s="85">
        <f t="shared" si="34"/>
        <v>-0.10115204898749393</v>
      </c>
      <c r="F79" s="223">
        <v>279.55999800000001</v>
      </c>
      <c r="G79" s="84">
        <f t="shared" si="20"/>
        <v>-6.8009046579815324E-2</v>
      </c>
      <c r="H79" s="84">
        <f t="shared" si="35"/>
        <v>-7.2200713246481987E-2</v>
      </c>
      <c r="I79" s="84">
        <f t="shared" si="36"/>
        <v>-0.10726905013871881</v>
      </c>
      <c r="J79" s="85">
        <f t="shared" si="37"/>
        <v>2.4778373277092244E-2</v>
      </c>
      <c r="K79" s="223">
        <v>121.489403</v>
      </c>
      <c r="L79" s="84">
        <f t="shared" si="24"/>
        <v>-8.474700524569323E-2</v>
      </c>
      <c r="M79" s="84">
        <f t="shared" si="38"/>
        <v>-8.8938671912359893E-2</v>
      </c>
      <c r="N79" s="84">
        <f t="shared" si="39"/>
        <v>-2.7257235366239366E-2</v>
      </c>
      <c r="O79" s="85">
        <f t="shared" si="40"/>
        <v>-7.1971400161265103E-2</v>
      </c>
      <c r="P79" s="223">
        <v>9.7673439999999996</v>
      </c>
      <c r="Q79" s="84">
        <f t="shared" si="27"/>
        <v>-0.2577622551925175</v>
      </c>
      <c r="R79" s="84">
        <f t="shared" si="41"/>
        <v>-0.26195392185918415</v>
      </c>
      <c r="S79" s="84">
        <f t="shared" si="51"/>
        <v>-7.6323750331612678E-2</v>
      </c>
      <c r="T79" s="85">
        <f t="shared" si="42"/>
        <v>-0.19156934155578401</v>
      </c>
      <c r="U79" s="223">
        <v>75.489615999999998</v>
      </c>
      <c r="V79" s="84">
        <f t="shared" si="30"/>
        <v>-0.13069420932533904</v>
      </c>
      <c r="W79" s="84">
        <f t="shared" si="43"/>
        <v>-0.13488587599200572</v>
      </c>
      <c r="X79" s="84">
        <f t="shared" si="44"/>
        <v>-4.7519244254352257E-2</v>
      </c>
      <c r="Y79" s="85">
        <f t="shared" si="45"/>
        <v>-8.8653415680439357E-2</v>
      </c>
      <c r="Z79" s="199">
        <v>265.26840199999998</v>
      </c>
      <c r="AA79" s="84">
        <f t="shared" si="31"/>
        <v>-3.7027777387331762E-2</v>
      </c>
      <c r="AB79" s="84">
        <f t="shared" si="46"/>
        <v>-4.1219444053998425E-2</v>
      </c>
      <c r="AC79" s="84">
        <f t="shared" si="47"/>
        <v>-8.5500390393907263E-2</v>
      </c>
      <c r="AD79" s="85">
        <f t="shared" si="48"/>
        <v>3.6857836754498781E-2</v>
      </c>
      <c r="AE79" s="200">
        <f t="shared" si="49"/>
        <v>140.53529526702368</v>
      </c>
      <c r="AF79" s="85">
        <f t="shared" si="50"/>
        <v>-8.41160043932698E-2</v>
      </c>
      <c r="AG79" s="199">
        <v>96.096519000000001</v>
      </c>
      <c r="AH79" s="84">
        <f t="shared" si="33"/>
        <v>-6.0151081736339984E-2</v>
      </c>
      <c r="AI79" s="84">
        <f t="shared" si="18"/>
        <v>-6.4342748403006647E-2</v>
      </c>
    </row>
    <row r="80" spans="2:35">
      <c r="B80" s="224">
        <v>44835</v>
      </c>
      <c r="C80" s="81">
        <v>122.992226</v>
      </c>
      <c r="D80" s="84">
        <f t="shared" si="19"/>
        <v>2.2604479493596896E-2</v>
      </c>
      <c r="E80" s="85">
        <f t="shared" si="34"/>
        <v>1.841281282693023E-2</v>
      </c>
      <c r="F80" s="223">
        <v>329.040009</v>
      </c>
      <c r="G80" s="84">
        <f t="shared" si="20"/>
        <v>0.17699245726851087</v>
      </c>
      <c r="H80" s="84">
        <f t="shared" si="35"/>
        <v>0.1728007906018442</v>
      </c>
      <c r="I80" s="84">
        <f t="shared" si="36"/>
        <v>1.9526296917336997E-2</v>
      </c>
      <c r="J80" s="85">
        <f t="shared" si="37"/>
        <v>0.14298453006936263</v>
      </c>
      <c r="K80" s="223">
        <v>129.591904</v>
      </c>
      <c r="L80" s="84">
        <f t="shared" si="24"/>
        <v>6.6693067871936185E-2</v>
      </c>
      <c r="M80" s="84">
        <f t="shared" si="38"/>
        <v>6.2501401205269522E-2</v>
      </c>
      <c r="N80" s="84">
        <f t="shared" si="39"/>
        <v>4.9616629420942268E-3</v>
      </c>
      <c r="O80" s="85">
        <f t="shared" si="40"/>
        <v>4.7249774648030714E-2</v>
      </c>
      <c r="P80" s="223">
        <v>11.659765999999999</v>
      </c>
      <c r="Q80" s="84">
        <f t="shared" si="27"/>
        <v>0.19374990785621971</v>
      </c>
      <c r="R80" s="84">
        <f t="shared" si="41"/>
        <v>0.18955824118955303</v>
      </c>
      <c r="S80" s="84">
        <f t="shared" si="51"/>
        <v>5.0107125821933815E-2</v>
      </c>
      <c r="T80" s="85">
        <f t="shared" si="42"/>
        <v>0.13351194533940669</v>
      </c>
      <c r="U80" s="223">
        <v>84.721999999999994</v>
      </c>
      <c r="V80" s="84">
        <f t="shared" si="30"/>
        <v>0.12230005249993581</v>
      </c>
      <c r="W80" s="84">
        <f t="shared" si="43"/>
        <v>0.11810838583326914</v>
      </c>
      <c r="X80" s="84">
        <f t="shared" si="44"/>
        <v>8.6499775228551738E-3</v>
      </c>
      <c r="Y80" s="85">
        <f t="shared" si="45"/>
        <v>0.10817162436762809</v>
      </c>
      <c r="Z80" s="199">
        <v>284.67755099999999</v>
      </c>
      <c r="AA80" s="84">
        <f t="shared" si="31"/>
        <v>7.3167964422690801E-2</v>
      </c>
      <c r="AB80" s="84">
        <f t="shared" si="46"/>
        <v>6.8976297756024138E-2</v>
      </c>
      <c r="AC80" s="84">
        <f t="shared" si="47"/>
        <v>1.5563725111956148E-2</v>
      </c>
      <c r="AD80" s="85">
        <f t="shared" si="48"/>
        <v>4.5989463058657934E-2</v>
      </c>
      <c r="AE80" s="200">
        <f t="shared" si="49"/>
        <v>153.94451625897807</v>
      </c>
      <c r="AF80" s="85">
        <f t="shared" si="50"/>
        <v>9.5415325854449812E-2</v>
      </c>
      <c r="AG80" s="199">
        <v>95.329955999999996</v>
      </c>
      <c r="AH80" s="84">
        <f t="shared" si="33"/>
        <v>-7.9770111131705068E-3</v>
      </c>
      <c r="AI80" s="84">
        <f t="shared" si="18"/>
        <v>-1.2168677779837173E-2</v>
      </c>
    </row>
    <row r="81" spans="2:35">
      <c r="B81" s="224">
        <v>44866</v>
      </c>
      <c r="C81" s="81">
        <v>134.635391</v>
      </c>
      <c r="D81" s="84">
        <f t="shared" si="19"/>
        <v>9.4665861239067173E-2</v>
      </c>
      <c r="E81" s="85">
        <f t="shared" si="34"/>
        <v>9.047419457240051E-2</v>
      </c>
      <c r="F81" s="223">
        <v>380.30999800000001</v>
      </c>
      <c r="G81" s="84">
        <f t="shared" si="20"/>
        <v>0.15581688426224183</v>
      </c>
      <c r="H81" s="84">
        <f t="shared" si="35"/>
        <v>0.15162521759557515</v>
      </c>
      <c r="I81" s="84">
        <f t="shared" si="36"/>
        <v>9.5945470319112686E-2</v>
      </c>
      <c r="J81" s="85">
        <f t="shared" si="37"/>
        <v>4.5389783661317878E-2</v>
      </c>
      <c r="K81" s="223">
        <v>144.55419900000001</v>
      </c>
      <c r="L81" s="84">
        <f t="shared" si="24"/>
        <v>0.11545701959900212</v>
      </c>
      <c r="M81" s="84">
        <f t="shared" si="38"/>
        <v>0.11126535293233546</v>
      </c>
      <c r="N81" s="84">
        <f t="shared" si="39"/>
        <v>2.4379895817392225E-2</v>
      </c>
      <c r="O81" s="85">
        <f t="shared" si="40"/>
        <v>7.6595493499798661E-2</v>
      </c>
      <c r="P81" s="223">
        <v>12.121969999999999</v>
      </c>
      <c r="Q81" s="84">
        <f t="shared" si="27"/>
        <v>3.9640932759714032E-2</v>
      </c>
      <c r="R81" s="84">
        <f t="shared" si="41"/>
        <v>3.5449266093047369E-2</v>
      </c>
      <c r="S81" s="84">
        <f t="shared" si="51"/>
        <v>8.1227477988564029E-2</v>
      </c>
      <c r="T81" s="85">
        <f t="shared" si="42"/>
        <v>-5.1717381923729169E-2</v>
      </c>
      <c r="U81" s="223">
        <v>91.935135000000002</v>
      </c>
      <c r="V81" s="84">
        <f t="shared" si="30"/>
        <v>8.5138865938009012E-2</v>
      </c>
      <c r="W81" s="84">
        <f t="shared" si="43"/>
        <v>8.0947199271342349E-2</v>
      </c>
      <c r="X81" s="84">
        <f t="shared" si="44"/>
        <v>4.2502998146218836E-2</v>
      </c>
      <c r="Y81" s="85">
        <f t="shared" si="45"/>
        <v>3.7157417182337636E-2</v>
      </c>
      <c r="Z81" s="199">
        <v>311.46011399999998</v>
      </c>
      <c r="AA81" s="84">
        <f t="shared" si="31"/>
        <v>9.4080347768623174E-2</v>
      </c>
      <c r="AB81" s="84">
        <f t="shared" si="46"/>
        <v>8.9888681101956511E-2</v>
      </c>
      <c r="AC81" s="84">
        <f t="shared" si="47"/>
        <v>7.6474762834225607E-2</v>
      </c>
      <c r="AD81" s="85">
        <f t="shared" si="48"/>
        <v>5.990808682320839E-3</v>
      </c>
      <c r="AE81" s="200">
        <f t="shared" si="49"/>
        <v>169.39045594338307</v>
      </c>
      <c r="AF81" s="85">
        <f t="shared" si="50"/>
        <v>0.10033445854232681</v>
      </c>
      <c r="AG81" s="199">
        <v>101.695724</v>
      </c>
      <c r="AH81" s="84">
        <f t="shared" si="33"/>
        <v>6.6776155860178932E-2</v>
      </c>
      <c r="AI81" s="84">
        <f t="shared" si="18"/>
        <v>6.2584489193512269E-2</v>
      </c>
    </row>
    <row r="82" spans="2:35">
      <c r="B82" s="224">
        <v>44896</v>
      </c>
      <c r="C82" s="81">
        <v>124.095474</v>
      </c>
      <c r="D82" s="84">
        <f t="shared" si="19"/>
        <v>-7.828489167458208E-2</v>
      </c>
      <c r="E82" s="85">
        <f t="shared" si="34"/>
        <v>-8.2476558341248743E-2</v>
      </c>
      <c r="F82" s="223">
        <v>320.38000499999998</v>
      </c>
      <c r="G82" s="84">
        <f t="shared" si="20"/>
        <v>-0.15758195502396444</v>
      </c>
      <c r="H82" s="84">
        <f t="shared" si="35"/>
        <v>-0.16177362169063111</v>
      </c>
      <c r="I82" s="84">
        <f t="shared" si="36"/>
        <v>-8.7464190399842628E-2</v>
      </c>
      <c r="J82" s="85">
        <f t="shared" si="37"/>
        <v>-8.4599394905933073E-2</v>
      </c>
      <c r="K82" s="223">
        <v>146.880066</v>
      </c>
      <c r="L82" s="84">
        <f t="shared" si="24"/>
        <v>1.6089930393512697E-2</v>
      </c>
      <c r="M82" s="84">
        <f t="shared" si="38"/>
        <v>1.189826372684603E-2</v>
      </c>
      <c r="N82" s="84">
        <f t="shared" si="39"/>
        <v>-2.2224789170437215E-2</v>
      </c>
      <c r="O82" s="85">
        <f t="shared" si="40"/>
        <v>2.3833089282138665E-2</v>
      </c>
      <c r="P82" s="223">
        <v>10.248357</v>
      </c>
      <c r="Q82" s="84">
        <f t="shared" si="27"/>
        <v>-0.15456340842288829</v>
      </c>
      <c r="R82" s="84">
        <f t="shared" si="41"/>
        <v>-0.15875507508955497</v>
      </c>
      <c r="S82" s="84">
        <f t="shared" si="51"/>
        <v>2.5274355534630616E-2</v>
      </c>
      <c r="T82" s="85">
        <f t="shared" si="42"/>
        <v>-0.1899686006523981</v>
      </c>
      <c r="U82" s="223">
        <v>93.355620999999999</v>
      </c>
      <c r="V82" s="84">
        <f t="shared" si="30"/>
        <v>1.5450958983200369E-2</v>
      </c>
      <c r="W82" s="84">
        <f t="shared" si="43"/>
        <v>1.1259292316533703E-2</v>
      </c>
      <c r="X82" s="84">
        <f t="shared" si="44"/>
        <v>-3.8745865855477547E-2</v>
      </c>
      <c r="Y82" s="85">
        <f t="shared" si="45"/>
        <v>4.871837422922537E-2</v>
      </c>
      <c r="Z82" s="199">
        <v>305.48147599999999</v>
      </c>
      <c r="AA82" s="84">
        <f t="shared" si="31"/>
        <v>-1.9195517278979723E-2</v>
      </c>
      <c r="AB82" s="84">
        <f t="shared" si="46"/>
        <v>-2.338718394564639E-2</v>
      </c>
      <c r="AC82" s="84">
        <f t="shared" si="47"/>
        <v>-6.9714632645696495E-2</v>
      </c>
      <c r="AD82" s="85">
        <f t="shared" si="48"/>
        <v>3.8904339114640044E-2</v>
      </c>
      <c r="AE82" s="200">
        <f t="shared" si="49"/>
        <v>162.53220271148354</v>
      </c>
      <c r="AF82" s="85">
        <f t="shared" si="50"/>
        <v>-4.0487837367837426E-2</v>
      </c>
      <c r="AG82" s="199">
        <v>99.799164000000005</v>
      </c>
      <c r="AH82" s="84">
        <f t="shared" si="33"/>
        <v>-1.8649358354536072E-2</v>
      </c>
      <c r="AI82" s="84">
        <f t="shared" si="18"/>
        <v>-2.2841025021202738E-2</v>
      </c>
    </row>
    <row r="83" spans="2:35">
      <c r="B83" s="224">
        <v>44927</v>
      </c>
      <c r="C83" s="81">
        <v>143.23182700000001</v>
      </c>
      <c r="D83" s="84">
        <f t="shared" si="19"/>
        <v>0.1542066957252608</v>
      </c>
      <c r="E83" s="85">
        <f t="shared" si="34"/>
        <v>0.15001502905859412</v>
      </c>
      <c r="F83" s="223">
        <v>306.88000499999998</v>
      </c>
      <c r="G83" s="84">
        <f t="shared" si="20"/>
        <v>-4.2137461106538154E-2</v>
      </c>
      <c r="H83" s="84">
        <f t="shared" si="35"/>
        <v>-4.6329127773204817E-2</v>
      </c>
      <c r="I83" s="84">
        <f t="shared" si="36"/>
        <v>0.15908693728623574</v>
      </c>
      <c r="J83" s="85">
        <f t="shared" si="37"/>
        <v>-0.21570602867458513</v>
      </c>
      <c r="K83" s="223">
        <v>137.98355100000001</v>
      </c>
      <c r="L83" s="84">
        <f t="shared" si="24"/>
        <v>-6.0569927848480143E-2</v>
      </c>
      <c r="M83" s="84">
        <f t="shared" si="38"/>
        <v>-6.4761594515146806E-2</v>
      </c>
      <c r="N83" s="84">
        <f t="shared" si="39"/>
        <v>4.0424242479051374E-2</v>
      </c>
      <c r="O83" s="85">
        <f t="shared" si="40"/>
        <v>-0.11547580060934276</v>
      </c>
      <c r="P83" s="223">
        <v>11.905013</v>
      </c>
      <c r="Q83" s="84">
        <f t="shared" si="27"/>
        <v>0.1616508870641411</v>
      </c>
      <c r="R83" s="84">
        <f t="shared" si="41"/>
        <v>0.15745922039747443</v>
      </c>
      <c r="S83" s="84">
        <f t="shared" si="51"/>
        <v>-0.12245900670686133</v>
      </c>
      <c r="T83" s="85">
        <f t="shared" si="42"/>
        <v>0.27397905707612324</v>
      </c>
      <c r="U83" s="223">
        <v>97.375870000000006</v>
      </c>
      <c r="V83" s="84">
        <f t="shared" si="30"/>
        <v>4.3063812943839874E-2</v>
      </c>
      <c r="W83" s="84">
        <f t="shared" si="43"/>
        <v>3.8872146277173211E-2</v>
      </c>
      <c r="X83" s="84">
        <f t="shared" si="44"/>
        <v>7.0474111785322702E-2</v>
      </c>
      <c r="Y83" s="85">
        <f t="shared" si="45"/>
        <v>-3.2888749450935374E-2</v>
      </c>
      <c r="Z83" s="199">
        <v>313.518463</v>
      </c>
      <c r="AA83" s="84">
        <f t="shared" si="31"/>
        <v>2.6309245016218341E-2</v>
      </c>
      <c r="AB83" s="84">
        <f t="shared" si="46"/>
        <v>2.2117578349551675E-2</v>
      </c>
      <c r="AC83" s="84">
        <f t="shared" si="47"/>
        <v>0.12680260734064755</v>
      </c>
      <c r="AD83" s="85">
        <f t="shared" si="48"/>
        <v>-0.11210813857650594</v>
      </c>
      <c r="AE83" s="200">
        <f t="shared" si="49"/>
        <v>162.24663094130568</v>
      </c>
      <c r="AF83" s="85">
        <f t="shared" si="50"/>
        <v>-1.7570165506510423E-3</v>
      </c>
      <c r="AG83" s="199">
        <v>105.604118</v>
      </c>
      <c r="AH83" s="84">
        <f t="shared" si="33"/>
        <v>5.8166358988738676E-2</v>
      </c>
      <c r="AI83" s="84">
        <f t="shared" si="18"/>
        <v>5.3974692322072013E-2</v>
      </c>
    </row>
    <row r="84" spans="2:35">
      <c r="B84" s="224">
        <v>44958</v>
      </c>
      <c r="C84" s="81">
        <v>137.65971400000001</v>
      </c>
      <c r="D84" s="84">
        <f t="shared" si="19"/>
        <v>-3.8902757276146449E-2</v>
      </c>
      <c r="E84" s="85">
        <f t="shared" si="34"/>
        <v>-4.3094423942813112E-2</v>
      </c>
      <c r="F84" s="223">
        <v>309.20001200000002</v>
      </c>
      <c r="G84" s="84">
        <f t="shared" si="20"/>
        <v>7.5599809769295589E-3</v>
      </c>
      <c r="H84" s="84">
        <f t="shared" si="35"/>
        <v>3.3683143102628925E-3</v>
      </c>
      <c r="I84" s="84">
        <f t="shared" si="36"/>
        <v>-4.570048722584312E-2</v>
      </c>
      <c r="J84" s="85">
        <f t="shared" si="37"/>
        <v>3.8778837920961429E-2</v>
      </c>
      <c r="K84" s="223">
        <v>134.148911</v>
      </c>
      <c r="L84" s="84">
        <f t="shared" si="24"/>
        <v>-2.779055889060289E-2</v>
      </c>
      <c r="M84" s="84">
        <f t="shared" si="38"/>
        <v>-3.1982225557269553E-2</v>
      </c>
      <c r="N84" s="84">
        <f t="shared" si="39"/>
        <v>-1.1612566113485111E-2</v>
      </c>
      <c r="O84" s="85">
        <f t="shared" si="40"/>
        <v>-3.0659623058929022E-2</v>
      </c>
      <c r="P84" s="223">
        <v>10.636085</v>
      </c>
      <c r="Q84" s="84">
        <f t="shared" si="27"/>
        <v>-0.10658770385215044</v>
      </c>
      <c r="R84" s="84">
        <f t="shared" si="41"/>
        <v>-0.1107793705188171</v>
      </c>
      <c r="S84" s="84">
        <f t="shared" si="51"/>
        <v>-3.2513712535364413E-2</v>
      </c>
      <c r="T84" s="85">
        <f t="shared" si="42"/>
        <v>-8.4204828011665206E-2</v>
      </c>
      <c r="U84" s="223">
        <v>90.892876000000001</v>
      </c>
      <c r="V84" s="84">
        <f t="shared" si="30"/>
        <v>-6.6577007219550399E-2</v>
      </c>
      <c r="W84" s="84">
        <f t="shared" si="43"/>
        <v>-7.0768673886217062E-2</v>
      </c>
      <c r="X84" s="84">
        <f t="shared" si="44"/>
        <v>-2.0244913255215685E-2</v>
      </c>
      <c r="Y84" s="85">
        <f t="shared" si="45"/>
        <v>-5.1810544573787254E-2</v>
      </c>
      <c r="Z84" s="199">
        <v>286.79632600000002</v>
      </c>
      <c r="AA84" s="84">
        <f t="shared" si="31"/>
        <v>-8.5233056912504601E-2</v>
      </c>
      <c r="AB84" s="84">
        <f t="shared" si="46"/>
        <v>-8.9424723579171264E-2</v>
      </c>
      <c r="AC84" s="84">
        <f t="shared" si="47"/>
        <v>-3.6426252436731303E-2</v>
      </c>
      <c r="AD84" s="85">
        <f t="shared" si="48"/>
        <v>-6.0421580727850026E-2</v>
      </c>
      <c r="AE84" s="200">
        <f t="shared" si="49"/>
        <v>152.65951634187951</v>
      </c>
      <c r="AF84" s="85">
        <f t="shared" si="50"/>
        <v>-5.9089760716784387E-2</v>
      </c>
      <c r="AG84" s="199">
        <v>100.88922100000001</v>
      </c>
      <c r="AH84" s="84">
        <f t="shared" si="33"/>
        <v>-4.4646904773164131E-2</v>
      </c>
      <c r="AI84" s="84">
        <f t="shared" si="18"/>
        <v>-4.8838571439830794E-2</v>
      </c>
    </row>
    <row r="85" spans="2:35">
      <c r="B85" s="224">
        <v>44986</v>
      </c>
      <c r="C85" s="81">
        <v>143.6772</v>
      </c>
      <c r="D85" s="84">
        <f t="shared" si="19"/>
        <v>4.371275971123989E-2</v>
      </c>
      <c r="E85" s="85">
        <f t="shared" si="34"/>
        <v>3.9521093044573227E-2</v>
      </c>
      <c r="F85" s="223">
        <v>364.19000199999999</v>
      </c>
      <c r="G85" s="84">
        <f t="shared" si="20"/>
        <v>0.17784601509006404</v>
      </c>
      <c r="H85" s="84">
        <f t="shared" si="35"/>
        <v>0.17365434842339736</v>
      </c>
      <c r="I85" s="84">
        <f t="shared" si="36"/>
        <v>4.1911065112081314E-2</v>
      </c>
      <c r="J85" s="85">
        <f t="shared" si="37"/>
        <v>0.12145331969617146</v>
      </c>
      <c r="K85" s="223">
        <v>145.00292999999999</v>
      </c>
      <c r="L85" s="84">
        <f t="shared" si="24"/>
        <v>8.0910228186645394E-2</v>
      </c>
      <c r="M85" s="84">
        <f t="shared" si="38"/>
        <v>7.6718561519978731E-2</v>
      </c>
      <c r="N85" s="84">
        <f t="shared" si="39"/>
        <v>1.0649667958581476E-2</v>
      </c>
      <c r="O85" s="85">
        <f t="shared" si="40"/>
        <v>5.5778929946252678E-2</v>
      </c>
      <c r="P85" s="223">
        <v>11.803082</v>
      </c>
      <c r="Q85" s="84">
        <f t="shared" si="27"/>
        <v>0.10972054096972705</v>
      </c>
      <c r="R85" s="84">
        <f t="shared" si="41"/>
        <v>0.10552887430306039</v>
      </c>
      <c r="S85" s="84">
        <f t="shared" si="51"/>
        <v>5.9152067535759183E-2</v>
      </c>
      <c r="T85" s="85">
        <f t="shared" si="42"/>
        <v>4.0437636739088699E-2</v>
      </c>
      <c r="U85" s="223">
        <v>90.846160999999995</v>
      </c>
      <c r="V85" s="84">
        <f t="shared" si="30"/>
        <v>-5.1395667136777679E-4</v>
      </c>
      <c r="W85" s="84">
        <f t="shared" si="43"/>
        <v>-4.7056233380344432E-3</v>
      </c>
      <c r="X85" s="84">
        <f t="shared" si="44"/>
        <v>1.8566232640687762E-2</v>
      </c>
      <c r="Y85" s="85">
        <f t="shared" si="45"/>
        <v>-2.4558639921508085E-2</v>
      </c>
      <c r="Z85" s="199">
        <v>285.42297400000001</v>
      </c>
      <c r="AA85" s="84">
        <f t="shared" si="31"/>
        <v>-4.7885969083161228E-3</v>
      </c>
      <c r="AB85" s="84">
        <f t="shared" si="46"/>
        <v>-8.9802635749827893E-3</v>
      </c>
      <c r="AC85" s="84">
        <f t="shared" si="47"/>
        <v>3.3405837231460525E-2</v>
      </c>
      <c r="AD85" s="85">
        <f t="shared" si="48"/>
        <v>-4.9809210391853376E-2</v>
      </c>
      <c r="AE85" s="200">
        <f t="shared" si="49"/>
        <v>160.55128544570454</v>
      </c>
      <c r="AF85" s="85">
        <f t="shared" si="50"/>
        <v>5.1695231931375263E-2</v>
      </c>
      <c r="AG85" s="199">
        <v>104.72702</v>
      </c>
      <c r="AH85" s="84">
        <f t="shared" si="33"/>
        <v>3.8039732708412766E-2</v>
      </c>
      <c r="AI85" s="84">
        <f t="shared" si="18"/>
        <v>3.3848066041746103E-2</v>
      </c>
    </row>
    <row r="86" spans="2:35">
      <c r="B86" s="224">
        <v>45017</v>
      </c>
      <c r="C86" s="81">
        <v>142.36088599999999</v>
      </c>
      <c r="D86" s="84">
        <f t="shared" si="19"/>
        <v>-9.1616067128257317E-3</v>
      </c>
      <c r="E86" s="85">
        <f t="shared" si="34"/>
        <v>-1.3353273379492398E-2</v>
      </c>
      <c r="F86" s="223">
        <v>379.92999300000002</v>
      </c>
      <c r="G86" s="84">
        <f t="shared" si="20"/>
        <v>4.32191738201535E-2</v>
      </c>
      <c r="H86" s="84">
        <f t="shared" si="35"/>
        <v>3.9027507153486837E-2</v>
      </c>
      <c r="I86" s="84">
        <f t="shared" si="36"/>
        <v>-1.4160790275616513E-2</v>
      </c>
      <c r="J86" s="85">
        <f t="shared" si="37"/>
        <v>4.2898333813958772E-2</v>
      </c>
      <c r="K86" s="223">
        <v>152.50224299999999</v>
      </c>
      <c r="L86" s="84">
        <f t="shared" si="24"/>
        <v>5.1718354932552169E-2</v>
      </c>
      <c r="M86" s="84">
        <f t="shared" si="38"/>
        <v>4.7526688265885506E-2</v>
      </c>
      <c r="N86" s="84">
        <f t="shared" si="39"/>
        <v>-3.59827921488336E-3</v>
      </c>
      <c r="O86" s="85">
        <f t="shared" si="40"/>
        <v>4.0835003865624282E-2</v>
      </c>
      <c r="P86" s="223">
        <v>11.12862</v>
      </c>
      <c r="Q86" s="84">
        <f t="shared" si="27"/>
        <v>-5.7142871666908679E-2</v>
      </c>
      <c r="R86" s="84">
        <f t="shared" si="41"/>
        <v>-6.1334538333575342E-2</v>
      </c>
      <c r="S86" s="84">
        <f t="shared" si="51"/>
        <v>4.3304432494669441E-2</v>
      </c>
      <c r="T86" s="85">
        <f t="shared" si="42"/>
        <v>-0.11057814085645729</v>
      </c>
      <c r="U86" s="223">
        <v>94.643035999999995</v>
      </c>
      <c r="V86" s="84">
        <f t="shared" si="30"/>
        <v>4.1794556403984995E-2</v>
      </c>
      <c r="W86" s="84">
        <f t="shared" si="43"/>
        <v>3.7602889737318332E-2</v>
      </c>
      <c r="X86" s="84">
        <f t="shared" si="44"/>
        <v>-6.2731053465233414E-3</v>
      </c>
      <c r="Y86" s="85">
        <f t="shared" si="45"/>
        <v>4.2589211141055787E-2</v>
      </c>
      <c r="Z86" s="199">
        <v>292.769745</v>
      </c>
      <c r="AA86" s="84">
        <f t="shared" si="31"/>
        <v>2.5739942713931541E-2</v>
      </c>
      <c r="AB86" s="84">
        <f t="shared" si="46"/>
        <v>2.1548276047264874E-2</v>
      </c>
      <c r="AC86" s="84">
        <f t="shared" si="47"/>
        <v>-1.1287068313607035E-2</v>
      </c>
      <c r="AD86" s="85">
        <f t="shared" si="48"/>
        <v>2.5412234775461846E-2</v>
      </c>
      <c r="AE86" s="200">
        <f t="shared" si="49"/>
        <v>164.86287800280189</v>
      </c>
      <c r="AF86" s="85">
        <f t="shared" si="50"/>
        <v>2.685492392744154E-2</v>
      </c>
      <c r="AG86" s="199">
        <v>105.402931</v>
      </c>
      <c r="AH86" s="84">
        <f t="shared" si="33"/>
        <v>6.4540268595438821E-3</v>
      </c>
      <c r="AI86" s="84">
        <f t="shared" si="18"/>
        <v>2.2623601928772157E-3</v>
      </c>
    </row>
    <row r="87" spans="2:35">
      <c r="B87" s="224">
        <v>45047</v>
      </c>
      <c r="C87" s="81">
        <v>141.55920399999999</v>
      </c>
      <c r="D87" s="84">
        <f t="shared" si="19"/>
        <v>-5.6313361241654425E-3</v>
      </c>
      <c r="E87" s="85">
        <f t="shared" si="34"/>
        <v>-9.8230027908321089E-3</v>
      </c>
      <c r="F87" s="223">
        <v>331.92999300000002</v>
      </c>
      <c r="G87" s="84">
        <f t="shared" si="20"/>
        <v>-0.1263390647866014</v>
      </c>
      <c r="H87" s="84">
        <f t="shared" si="35"/>
        <v>-0.13053073145326807</v>
      </c>
      <c r="I87" s="84">
        <f t="shared" si="36"/>
        <v>-1.0417032471708214E-2</v>
      </c>
      <c r="J87" s="85">
        <f t="shared" si="37"/>
        <v>-0.13040366259670444</v>
      </c>
      <c r="K87" s="223">
        <v>139.83647199999999</v>
      </c>
      <c r="L87" s="84">
        <f t="shared" si="24"/>
        <v>-8.3053014505498179E-2</v>
      </c>
      <c r="M87" s="84">
        <f t="shared" si="38"/>
        <v>-8.7244681172164842E-2</v>
      </c>
      <c r="N87" s="84">
        <f t="shared" si="39"/>
        <v>-2.6469844333656583E-3</v>
      </c>
      <c r="O87" s="85">
        <f t="shared" si="40"/>
        <v>-9.4887660353943762E-2</v>
      </c>
      <c r="P87" s="223">
        <v>11.381425999999999</v>
      </c>
      <c r="Q87" s="84">
        <f t="shared" si="27"/>
        <v>2.271674295644921E-2</v>
      </c>
      <c r="R87" s="84">
        <f t="shared" si="41"/>
        <v>1.8525076289782543E-2</v>
      </c>
      <c r="S87" s="84">
        <f t="shared" si="51"/>
        <v>-0.1006258330694947</v>
      </c>
      <c r="T87" s="85">
        <f t="shared" si="42"/>
        <v>0.11321173933106474</v>
      </c>
      <c r="U87" s="223">
        <v>85.213759999999994</v>
      </c>
      <c r="V87" s="84">
        <f t="shared" si="30"/>
        <v>-9.9629897756027153E-2</v>
      </c>
      <c r="W87" s="84">
        <f t="shared" si="43"/>
        <v>-0.10382156442269382</v>
      </c>
      <c r="X87" s="84">
        <f t="shared" si="44"/>
        <v>-4.6146536189933833E-3</v>
      </c>
      <c r="Y87" s="85">
        <f t="shared" si="45"/>
        <v>-0.10049369474648631</v>
      </c>
      <c r="Z87" s="199">
        <v>276.12161300000002</v>
      </c>
      <c r="AA87" s="84">
        <f t="shared" si="31"/>
        <v>-5.6864250095241098E-2</v>
      </c>
      <c r="AB87" s="84">
        <f t="shared" si="46"/>
        <v>-6.1055916761907761E-2</v>
      </c>
      <c r="AC87" s="84">
        <f t="shared" si="47"/>
        <v>-8.3030505250607858E-3</v>
      </c>
      <c r="AD87" s="85">
        <f t="shared" si="48"/>
        <v>-6.017597582225704E-2</v>
      </c>
      <c r="AE87" s="200">
        <f t="shared" si="49"/>
        <v>152.24745480132685</v>
      </c>
      <c r="AF87" s="85">
        <f t="shared" si="50"/>
        <v>-7.6520702260581858E-2</v>
      </c>
      <c r="AG87" s="199">
        <v>103.50913199999999</v>
      </c>
      <c r="AH87" s="84">
        <f t="shared" si="33"/>
        <v>-1.796723280873469E-2</v>
      </c>
      <c r="AI87" s="84">
        <f t="shared" si="18"/>
        <v>-2.2158899475401356E-2</v>
      </c>
    </row>
    <row r="88" spans="2:35">
      <c r="B88" s="224">
        <v>45078</v>
      </c>
      <c r="C88" s="81">
        <v>155.09854100000001</v>
      </c>
      <c r="D88" s="84">
        <f t="shared" si="19"/>
        <v>9.564434256072829E-2</v>
      </c>
      <c r="E88" s="85">
        <f t="shared" si="34"/>
        <v>9.1452675894061627E-2</v>
      </c>
      <c r="F88" s="223">
        <v>378.5</v>
      </c>
      <c r="G88" s="84">
        <f t="shared" si="20"/>
        <v>0.14030068985058541</v>
      </c>
      <c r="H88" s="84">
        <f t="shared" si="35"/>
        <v>0.13610902318391874</v>
      </c>
      <c r="I88" s="84">
        <f t="shared" si="36"/>
        <v>9.6983123663792276E-2</v>
      </c>
      <c r="J88" s="85">
        <f t="shared" si="37"/>
        <v>2.8835935904981874E-2</v>
      </c>
      <c r="K88" s="223">
        <v>148.90374800000001</v>
      </c>
      <c r="L88" s="84">
        <f t="shared" si="24"/>
        <v>6.484199629979237E-2</v>
      </c>
      <c r="M88" s="84">
        <f t="shared" si="38"/>
        <v>6.0650329633125707E-2</v>
      </c>
      <c r="N88" s="84">
        <f t="shared" si="39"/>
        <v>2.4643565174097829E-2</v>
      </c>
      <c r="O88" s="85">
        <f t="shared" si="40"/>
        <v>2.5716800843883298E-2</v>
      </c>
      <c r="P88" s="223">
        <v>14.35008</v>
      </c>
      <c r="Q88" s="84">
        <f t="shared" si="27"/>
        <v>0.26083322072295689</v>
      </c>
      <c r="R88" s="84">
        <f t="shared" si="41"/>
        <v>0.25664155405629024</v>
      </c>
      <c r="S88" s="84">
        <f t="shared" si="51"/>
        <v>2.7271981405646354E-2</v>
      </c>
      <c r="T88" s="85">
        <f t="shared" si="42"/>
        <v>0.22343040262243136</v>
      </c>
      <c r="U88" s="223">
        <v>92.418243000000004</v>
      </c>
      <c r="V88" s="84">
        <f t="shared" si="30"/>
        <v>8.4546005246101119E-2</v>
      </c>
      <c r="W88" s="84">
        <f t="shared" si="43"/>
        <v>8.0354338579434456E-2</v>
      </c>
      <c r="X88" s="84">
        <f t="shared" si="44"/>
        <v>4.2962669436991049E-2</v>
      </c>
      <c r="Y88" s="85">
        <f t="shared" si="45"/>
        <v>3.610488519965753E-2</v>
      </c>
      <c r="Z88" s="199">
        <v>304.78717</v>
      </c>
      <c r="AA88" s="84">
        <f t="shared" si="31"/>
        <v>0.10381497010884111</v>
      </c>
      <c r="AB88" s="84">
        <f t="shared" si="46"/>
        <v>9.9623303442174446E-2</v>
      </c>
      <c r="AC88" s="84">
        <f t="shared" si="47"/>
        <v>7.7301839851770901E-2</v>
      </c>
      <c r="AD88" s="85">
        <f t="shared" si="48"/>
        <v>1.489835400499348E-2</v>
      </c>
      <c r="AE88" s="200">
        <f t="shared" si="49"/>
        <v>168.03162179452909</v>
      </c>
      <c r="AF88" s="85">
        <f t="shared" si="50"/>
        <v>0.10367442275997045</v>
      </c>
      <c r="AG88" s="199">
        <v>104.36245700000001</v>
      </c>
      <c r="AH88" s="84">
        <f t="shared" si="33"/>
        <v>8.243958610337998E-3</v>
      </c>
      <c r="AI88" s="84">
        <f t="shared" si="18"/>
        <v>4.0522919436713316E-3</v>
      </c>
    </row>
    <row r="89" spans="2:35">
      <c r="B89" s="224">
        <v>45108</v>
      </c>
      <c r="C89" s="81">
        <v>160.703247</v>
      </c>
      <c r="D89" s="84">
        <f t="shared" si="19"/>
        <v>3.6136419877734305E-2</v>
      </c>
      <c r="E89" s="85">
        <f t="shared" si="34"/>
        <v>3.1944753211067642E-2</v>
      </c>
      <c r="F89" s="223">
        <v>378.52999899999998</v>
      </c>
      <c r="G89" s="84">
        <f t="shared" si="20"/>
        <v>7.9257595772652678E-5</v>
      </c>
      <c r="H89" s="84">
        <f t="shared" si="35"/>
        <v>-4.1124090708940138E-3</v>
      </c>
      <c r="I89" s="84">
        <f t="shared" si="36"/>
        <v>3.3876558786176209E-2</v>
      </c>
      <c r="J89" s="85">
        <f t="shared" si="37"/>
        <v>-4.8278931472214806E-2</v>
      </c>
      <c r="K89" s="223">
        <v>153.378525</v>
      </c>
      <c r="L89" s="84">
        <f t="shared" si="24"/>
        <v>3.0051473251029082E-2</v>
      </c>
      <c r="M89" s="84">
        <f t="shared" si="38"/>
        <v>2.5859806584362415E-2</v>
      </c>
      <c r="N89" s="84">
        <f t="shared" si="39"/>
        <v>8.6080871886060843E-3</v>
      </c>
      <c r="O89" s="85">
        <f t="shared" si="40"/>
        <v>6.9617557806117506E-3</v>
      </c>
      <c r="P89" s="223">
        <v>12.529052</v>
      </c>
      <c r="Q89" s="84">
        <f t="shared" si="27"/>
        <v>-0.12690019846579248</v>
      </c>
      <c r="R89" s="84">
        <f t="shared" si="41"/>
        <v>-0.13109186513245916</v>
      </c>
      <c r="S89" s="84">
        <f t="shared" si="51"/>
        <v>7.3827563292987435E-3</v>
      </c>
      <c r="T89" s="85">
        <f t="shared" si="42"/>
        <v>-0.14441379148997041</v>
      </c>
      <c r="U89" s="223">
        <v>95.667350999999996</v>
      </c>
      <c r="V89" s="84">
        <f t="shared" si="30"/>
        <v>3.5156565354742764E-2</v>
      </c>
      <c r="W89" s="84">
        <f t="shared" si="43"/>
        <v>3.0964898688076097E-2</v>
      </c>
      <c r="X89" s="84">
        <f t="shared" si="44"/>
        <v>1.5007017116078446E-2</v>
      </c>
      <c r="Y89" s="85">
        <f t="shared" si="45"/>
        <v>1.467109762921177E-2</v>
      </c>
      <c r="Z89" s="199">
        <v>327.55001800000002</v>
      </c>
      <c r="AA89" s="84">
        <f t="shared" si="31"/>
        <v>7.4684403546251721E-2</v>
      </c>
      <c r="AB89" s="84">
        <f t="shared" si="46"/>
        <v>7.0492736879585058E-2</v>
      </c>
      <c r="AC89" s="84">
        <f t="shared" si="47"/>
        <v>2.7001814574423424E-2</v>
      </c>
      <c r="AD89" s="85">
        <f t="shared" si="48"/>
        <v>3.6067812719751569E-2</v>
      </c>
      <c r="AE89" s="200">
        <f t="shared" si="49"/>
        <v>172.7574560538138</v>
      </c>
      <c r="AF89" s="85">
        <f t="shared" si="50"/>
        <v>2.8124672063592381E-2</v>
      </c>
      <c r="AG89" s="199">
        <v>104.421188</v>
      </c>
      <c r="AH89" s="84">
        <f t="shared" si="33"/>
        <v>5.6275984380094179E-4</v>
      </c>
      <c r="AI89" s="84">
        <f t="shared" si="18"/>
        <v>-3.6289068228657247E-3</v>
      </c>
    </row>
    <row r="90" spans="2:35">
      <c r="B90" s="224">
        <v>45139</v>
      </c>
      <c r="C90" s="81">
        <v>154.02969400000001</v>
      </c>
      <c r="D90" s="84">
        <f t="shared" si="19"/>
        <v>-4.1527182086121717E-2</v>
      </c>
      <c r="E90" s="85">
        <f t="shared" si="34"/>
        <v>-4.571884875278838E-2</v>
      </c>
      <c r="F90" s="223">
        <v>381.26001000000002</v>
      </c>
      <c r="G90" s="84">
        <f t="shared" si="20"/>
        <v>7.212139083328184E-3</v>
      </c>
      <c r="H90" s="84">
        <f t="shared" si="35"/>
        <v>3.0204724166615175E-3</v>
      </c>
      <c r="I90" s="84">
        <f t="shared" si="36"/>
        <v>-4.848361974114531E-2</v>
      </c>
      <c r="J90" s="85">
        <f t="shared" si="37"/>
        <v>4.1214128542662251E-2</v>
      </c>
      <c r="K90" s="223">
        <v>152.409424</v>
      </c>
      <c r="L90" s="84">
        <f t="shared" si="24"/>
        <v>-6.3183617132841485E-3</v>
      </c>
      <c r="M90" s="84">
        <f t="shared" si="38"/>
        <v>-1.0510028379950815E-2</v>
      </c>
      <c r="N90" s="84">
        <f t="shared" si="39"/>
        <v>-1.2319764489222791E-2</v>
      </c>
      <c r="O90" s="85">
        <f t="shared" si="40"/>
        <v>-8.4802275058726041E-3</v>
      </c>
      <c r="P90" s="223">
        <v>11.629956999999999</v>
      </c>
      <c r="Q90" s="84">
        <f t="shared" si="27"/>
        <v>-7.1760816380999959E-2</v>
      </c>
      <c r="R90" s="84">
        <f t="shared" si="41"/>
        <v>-7.5952483047666622E-2</v>
      </c>
      <c r="S90" s="84">
        <f t="shared" si="51"/>
        <v>-8.9930550949853562E-3</v>
      </c>
      <c r="T90" s="85">
        <f t="shared" si="42"/>
        <v>-7.2898597980893778E-2</v>
      </c>
      <c r="U90" s="223">
        <v>92.156090000000006</v>
      </c>
      <c r="V90" s="84">
        <f t="shared" si="30"/>
        <v>-3.6702814108441117E-2</v>
      </c>
      <c r="W90" s="84">
        <f t="shared" si="43"/>
        <v>-4.089448077510778E-2</v>
      </c>
      <c r="X90" s="84">
        <f t="shared" si="44"/>
        <v>-2.1477816442256568E-2</v>
      </c>
      <c r="Y90" s="85">
        <f t="shared" si="45"/>
        <v>-2.0703448275637096E-2</v>
      </c>
      <c r="Z90" s="199">
        <v>324.07672100000002</v>
      </c>
      <c r="AA90" s="84">
        <f t="shared" si="31"/>
        <v>-1.060386752901965E-2</v>
      </c>
      <c r="AB90" s="84">
        <f t="shared" si="46"/>
        <v>-1.4795534195686317E-2</v>
      </c>
      <c r="AC90" s="84">
        <f t="shared" si="47"/>
        <v>-3.8644589564435797E-2</v>
      </c>
      <c r="AD90" s="85">
        <f t="shared" si="48"/>
        <v>1.6425945783339418E-2</v>
      </c>
      <c r="AE90" s="200">
        <f t="shared" si="49"/>
        <v>169.69699601100132</v>
      </c>
      <c r="AF90" s="85">
        <f t="shared" si="50"/>
        <v>-1.7715357199165727E-2</v>
      </c>
      <c r="AG90" s="199">
        <v>103.116776</v>
      </c>
      <c r="AH90" s="84">
        <f t="shared" si="33"/>
        <v>-1.2491832596273511E-2</v>
      </c>
      <c r="AI90" s="84">
        <f t="shared" si="18"/>
        <v>-1.6683499262940178E-2</v>
      </c>
    </row>
    <row r="91" spans="2:35">
      <c r="B91" s="224">
        <v>45170</v>
      </c>
      <c r="C91" s="81">
        <v>145.981583</v>
      </c>
      <c r="D91" s="84">
        <f t="shared" si="19"/>
        <v>-5.2250386214491851E-2</v>
      </c>
      <c r="E91" s="85">
        <f t="shared" si="34"/>
        <v>-5.6442052881158514E-2</v>
      </c>
      <c r="F91" s="223">
        <v>385.60998499999999</v>
      </c>
      <c r="G91" s="84">
        <f t="shared" si="20"/>
        <v>1.1409470927727261E-2</v>
      </c>
      <c r="H91" s="84">
        <f t="shared" si="35"/>
        <v>7.2178042610605946E-3</v>
      </c>
      <c r="I91" s="84">
        <f t="shared" si="36"/>
        <v>-5.9855291722165367E-2</v>
      </c>
      <c r="J91" s="85">
        <f t="shared" si="37"/>
        <v>5.6783132368081385E-2</v>
      </c>
      <c r="K91" s="223">
        <v>144.035507</v>
      </c>
      <c r="L91" s="84">
        <f t="shared" si="24"/>
        <v>-5.4943564382213039E-2</v>
      </c>
      <c r="M91" s="84">
        <f t="shared" si="38"/>
        <v>-5.9135231048879702E-2</v>
      </c>
      <c r="N91" s="84">
        <f t="shared" si="39"/>
        <v>-1.5209324332378826E-2</v>
      </c>
      <c r="O91" s="85">
        <f t="shared" si="40"/>
        <v>-5.4215870331645447E-2</v>
      </c>
      <c r="P91" s="223">
        <v>11.908002</v>
      </c>
      <c r="Q91" s="84">
        <f t="shared" si="27"/>
        <v>2.3907655032602504E-2</v>
      </c>
      <c r="R91" s="84">
        <f t="shared" si="41"/>
        <v>1.9715988365935837E-2</v>
      </c>
      <c r="S91" s="84">
        <f t="shared" si="51"/>
        <v>-5.7494484502618258E-2</v>
      </c>
      <c r="T91" s="85">
        <f t="shared" si="42"/>
        <v>7.1271302840341583E-2</v>
      </c>
      <c r="U91" s="223">
        <v>88.817520000000002</v>
      </c>
      <c r="V91" s="84">
        <f t="shared" si="30"/>
        <v>-3.6227339940312131E-2</v>
      </c>
      <c r="W91" s="84">
        <f t="shared" si="43"/>
        <v>-4.0419006606978794E-2</v>
      </c>
      <c r="X91" s="84">
        <f t="shared" si="44"/>
        <v>-2.6515366954241736E-2</v>
      </c>
      <c r="Y91" s="85">
        <f t="shared" si="45"/>
        <v>-1.5190423595522941E-2</v>
      </c>
      <c r="Z91" s="199">
        <v>298.36010700000003</v>
      </c>
      <c r="AA91" s="84">
        <f t="shared" si="31"/>
        <v>-7.9353475068022483E-2</v>
      </c>
      <c r="AB91" s="84">
        <f t="shared" si="46"/>
        <v>-8.3545141734689146E-2</v>
      </c>
      <c r="AC91" s="84">
        <f t="shared" si="47"/>
        <v>-4.7708549696005242E-2</v>
      </c>
      <c r="AD91" s="85">
        <f t="shared" si="48"/>
        <v>-4.3259701624093969E-2</v>
      </c>
      <c r="AE91" s="200">
        <f t="shared" si="49"/>
        <v>160.90958335991249</v>
      </c>
      <c r="AF91" s="85">
        <f t="shared" si="50"/>
        <v>-5.1782959378486204E-2</v>
      </c>
      <c r="AG91" s="199">
        <v>99.435660999999996</v>
      </c>
      <c r="AH91" s="84">
        <f t="shared" si="33"/>
        <v>-3.5698507486308539E-2</v>
      </c>
      <c r="AI91" s="84">
        <f t="shared" si="18"/>
        <v>-3.9890174152975202E-2</v>
      </c>
    </row>
    <row r="92" spans="2:35">
      <c r="B92" s="224">
        <v>45200</v>
      </c>
      <c r="C92" s="81">
        <v>138.10279800000001</v>
      </c>
      <c r="D92" s="84">
        <f t="shared" si="19"/>
        <v>-5.3971088942089351E-2</v>
      </c>
      <c r="E92" s="85">
        <f t="shared" si="34"/>
        <v>-5.8162755608756014E-2</v>
      </c>
      <c r="F92" s="223">
        <v>393.48001099999999</v>
      </c>
      <c r="G92" s="84">
        <f t="shared" si="20"/>
        <v>2.0409289972094458E-2</v>
      </c>
      <c r="H92" s="84">
        <f t="shared" si="35"/>
        <v>1.6217623305427791E-2</v>
      </c>
      <c r="I92" s="84">
        <f t="shared" si="36"/>
        <v>-6.1680051072154476E-2</v>
      </c>
      <c r="J92" s="85">
        <f t="shared" si="37"/>
        <v>6.7607710762437684E-2</v>
      </c>
      <c r="K92" s="223">
        <v>148.15335099999999</v>
      </c>
      <c r="L92" s="84">
        <f t="shared" si="24"/>
        <v>2.8589089494439612E-2</v>
      </c>
      <c r="M92" s="84">
        <f t="shared" si="38"/>
        <v>2.4397422827772946E-2</v>
      </c>
      <c r="N92" s="84">
        <f t="shared" si="39"/>
        <v>-1.5672998570428653E-2</v>
      </c>
      <c r="O92" s="85">
        <f t="shared" si="40"/>
        <v>2.9780457783057018E-2</v>
      </c>
      <c r="P92" s="223">
        <v>9.3480690000000006</v>
      </c>
      <c r="Q92" s="84">
        <f t="shared" si="27"/>
        <v>-0.21497586244946876</v>
      </c>
      <c r="R92" s="84">
        <f t="shared" si="41"/>
        <v>-0.21916752911613543</v>
      </c>
      <c r="S92" s="84">
        <f t="shared" si="51"/>
        <v>3.1581381208399456E-2</v>
      </c>
      <c r="T92" s="85">
        <f t="shared" si="42"/>
        <v>-0.25668808035274737</v>
      </c>
      <c r="U92" s="223">
        <v>86.739693000000003</v>
      </c>
      <c r="V92" s="84">
        <f t="shared" si="30"/>
        <v>-2.3394337063228021E-2</v>
      </c>
      <c r="W92" s="84">
        <f t="shared" si="43"/>
        <v>-2.7586003729894688E-2</v>
      </c>
      <c r="X92" s="84">
        <f t="shared" si="44"/>
        <v>-2.7323719271572899E-2</v>
      </c>
      <c r="Y92" s="85">
        <f t="shared" si="45"/>
        <v>-1.5490684011076686E-3</v>
      </c>
      <c r="Z92" s="199">
        <v>281.10983299999998</v>
      </c>
      <c r="AA92" s="84">
        <f t="shared" si="31"/>
        <v>-5.7816958753135306E-2</v>
      </c>
      <c r="AB92" s="84">
        <f t="shared" si="46"/>
        <v>-6.2008625419801969E-2</v>
      </c>
      <c r="AC92" s="84">
        <f t="shared" si="47"/>
        <v>-4.9163001251204451E-2</v>
      </c>
      <c r="AD92" s="85">
        <f t="shared" si="48"/>
        <v>-2.0268733754007583E-2</v>
      </c>
      <c r="AE92" s="200">
        <f t="shared" si="49"/>
        <v>155.41311544754174</v>
      </c>
      <c r="AF92" s="85">
        <f t="shared" si="50"/>
        <v>-3.4158735592998236E-2</v>
      </c>
      <c r="AG92" s="199">
        <v>97.002326999999994</v>
      </c>
      <c r="AH92" s="84">
        <f t="shared" si="33"/>
        <v>-2.4471441890450141E-2</v>
      </c>
      <c r="AI92" s="84">
        <f t="shared" si="18"/>
        <v>-2.8663108557116807E-2</v>
      </c>
    </row>
    <row r="93" spans="2:35">
      <c r="B93" s="224">
        <v>45231</v>
      </c>
      <c r="C93" s="81">
        <v>150.97181699999999</v>
      </c>
      <c r="D93" s="84">
        <f t="shared" si="19"/>
        <v>9.318434663430919E-2</v>
      </c>
      <c r="E93" s="85">
        <f t="shared" si="34"/>
        <v>8.8992679967642527E-2</v>
      </c>
      <c r="F93" s="223">
        <v>446.79998799999998</v>
      </c>
      <c r="G93" s="84">
        <f t="shared" si="20"/>
        <v>0.13550873109028139</v>
      </c>
      <c r="H93" s="84">
        <f t="shared" si="35"/>
        <v>0.13131706442361471</v>
      </c>
      <c r="I93" s="84">
        <f t="shared" si="36"/>
        <v>9.4374363594041041E-2</v>
      </c>
      <c r="J93" s="85">
        <f t="shared" si="37"/>
        <v>2.6652737214429081E-2</v>
      </c>
      <c r="K93" s="223">
        <v>152.556534</v>
      </c>
      <c r="L93" s="84">
        <f t="shared" si="24"/>
        <v>2.972044149038533E-2</v>
      </c>
      <c r="M93" s="84">
        <f t="shared" si="38"/>
        <v>2.5528774823718663E-2</v>
      </c>
      <c r="N93" s="84">
        <f t="shared" si="39"/>
        <v>2.3980675112674696E-2</v>
      </c>
      <c r="O93" s="85">
        <f t="shared" si="40"/>
        <v>-8.7418639041006128E-3</v>
      </c>
      <c r="P93" s="223">
        <v>9.9904299999999999</v>
      </c>
      <c r="Q93" s="84">
        <f t="shared" si="27"/>
        <v>6.8715902717448873E-2</v>
      </c>
      <c r="R93" s="84">
        <f t="shared" si="41"/>
        <v>6.452423605078221E-2</v>
      </c>
      <c r="S93" s="84">
        <f t="shared" si="51"/>
        <v>-9.2705135172374258E-3</v>
      </c>
      <c r="T93" s="85">
        <f t="shared" si="42"/>
        <v>6.7855579539807115E-2</v>
      </c>
      <c r="U93" s="223">
        <v>90.825676000000001</v>
      </c>
      <c r="V93" s="84">
        <f t="shared" si="30"/>
        <v>4.7106265409539771E-2</v>
      </c>
      <c r="W93" s="84">
        <f t="shared" si="43"/>
        <v>4.2914598742873108E-2</v>
      </c>
      <c r="X93" s="84">
        <f t="shared" si="44"/>
        <v>4.1807011707243297E-2</v>
      </c>
      <c r="Y93" s="85">
        <f t="shared" si="45"/>
        <v>-1.7919690715607201E-4</v>
      </c>
      <c r="Z93" s="199">
        <v>309.54763800000001</v>
      </c>
      <c r="AA93" s="84">
        <f t="shared" si="31"/>
        <v>0.10116261212392397</v>
      </c>
      <c r="AB93" s="84">
        <f t="shared" si="46"/>
        <v>9.6970945457257304E-2</v>
      </c>
      <c r="AC93" s="84">
        <f t="shared" si="47"/>
        <v>7.5222488872906806E-2</v>
      </c>
      <c r="AD93" s="85">
        <f t="shared" si="48"/>
        <v>1.4325346998940433E-2</v>
      </c>
      <c r="AE93" s="200">
        <f t="shared" si="49"/>
        <v>166.93007170071331</v>
      </c>
      <c r="AF93" s="85">
        <f t="shared" si="50"/>
        <v>7.4105433251281869E-2</v>
      </c>
      <c r="AG93" s="199">
        <v>104.37492399999999</v>
      </c>
      <c r="AH93" s="84">
        <f t="shared" si="33"/>
        <v>7.6004331318773488E-2</v>
      </c>
      <c r="AI93" s="84">
        <f t="shared" si="18"/>
        <v>7.1812664652106825E-2</v>
      </c>
    </row>
    <row r="94" spans="2:35">
      <c r="B94" s="224">
        <v>45261</v>
      </c>
      <c r="C94" s="81">
        <v>158.43225100000001</v>
      </c>
      <c r="D94" s="84">
        <f t="shared" si="19"/>
        <v>4.9416070815389457E-2</v>
      </c>
      <c r="E94" s="85">
        <f t="shared" si="34"/>
        <v>4.5224404148722794E-2</v>
      </c>
      <c r="F94" s="223">
        <v>511.290009</v>
      </c>
      <c r="G94" s="84">
        <f t="shared" si="20"/>
        <v>0.14433756206815307</v>
      </c>
      <c r="H94" s="84">
        <f t="shared" si="35"/>
        <v>0.14014589540148639</v>
      </c>
      <c r="I94" s="84">
        <f t="shared" si="36"/>
        <v>4.7959274425798434E-2</v>
      </c>
      <c r="J94" s="85">
        <f t="shared" si="37"/>
        <v>8.1896657360543371E-2</v>
      </c>
      <c r="K94" s="223">
        <v>145.62033099999999</v>
      </c>
      <c r="L94" s="84">
        <f t="shared" si="24"/>
        <v>-4.5466443279315705E-2</v>
      </c>
      <c r="M94" s="84">
        <f t="shared" si="38"/>
        <v>-4.9658109945982368E-2</v>
      </c>
      <c r="N94" s="84">
        <f t="shared" si="39"/>
        <v>1.2186527514950042E-2</v>
      </c>
      <c r="O94" s="85">
        <f t="shared" si="40"/>
        <v>-7.2134601076076985E-2</v>
      </c>
      <c r="P94" s="223">
        <v>11.869719999999999</v>
      </c>
      <c r="Q94" s="84">
        <f t="shared" si="27"/>
        <v>0.18810902033245802</v>
      </c>
      <c r="R94" s="84">
        <f t="shared" si="41"/>
        <v>0.18391735366579134</v>
      </c>
      <c r="S94" s="84">
        <f t="shared" si="51"/>
        <v>-7.6496820549061303E-2</v>
      </c>
      <c r="T94" s="85">
        <f t="shared" si="42"/>
        <v>0.25447500418664015</v>
      </c>
      <c r="U94" s="223">
        <v>91.526131000000007</v>
      </c>
      <c r="V94" s="84">
        <f t="shared" si="30"/>
        <v>7.7120813281918998E-3</v>
      </c>
      <c r="W94" s="84">
        <f t="shared" si="43"/>
        <v>3.5204146615252334E-3</v>
      </c>
      <c r="X94" s="84">
        <f t="shared" si="44"/>
        <v>2.1245536086633283E-2</v>
      </c>
      <c r="Y94" s="85">
        <f t="shared" si="45"/>
        <v>-1.9011905367893933E-2</v>
      </c>
      <c r="Z94" s="199">
        <v>344.48962399999999</v>
      </c>
      <c r="AA94" s="84">
        <f t="shared" si="31"/>
        <v>0.11288080318028459</v>
      </c>
      <c r="AB94" s="84">
        <f t="shared" si="46"/>
        <v>0.10868913651361793</v>
      </c>
      <c r="AC94" s="84">
        <f t="shared" si="47"/>
        <v>3.8226652339249233E-2</v>
      </c>
      <c r="AD94" s="85">
        <f t="shared" si="48"/>
        <v>6.3039374588958641E-2</v>
      </c>
      <c r="AE94" s="200">
        <f t="shared" si="49"/>
        <v>177.56769808518987</v>
      </c>
      <c r="AF94" s="85">
        <f t="shared" si="50"/>
        <v>6.3725045320465745E-2</v>
      </c>
      <c r="AG94" s="199">
        <v>109.06650500000001</v>
      </c>
      <c r="AH94" s="84">
        <f t="shared" si="33"/>
        <v>4.4949311771474987E-2</v>
      </c>
      <c r="AI94" s="84">
        <f t="shared" si="18"/>
        <v>4.0757645104808324E-2</v>
      </c>
    </row>
    <row r="95" spans="2:35">
      <c r="B95" s="224">
        <v>45292</v>
      </c>
      <c r="C95" s="81">
        <v>154.35000600000001</v>
      </c>
      <c r="D95" s="84">
        <f>C95/C94-1</f>
        <v>-2.576650255382662E-2</v>
      </c>
      <c r="E95" s="85">
        <f t="shared" si="34"/>
        <v>-2.9958169220493287E-2</v>
      </c>
      <c r="F95" s="223">
        <v>453.82000699999998</v>
      </c>
      <c r="G95" s="84">
        <f t="shared" si="20"/>
        <v>-0.11240196559365978</v>
      </c>
      <c r="H95" s="84">
        <f t="shared" si="35"/>
        <v>-0.11659363226032644</v>
      </c>
      <c r="I95" s="84">
        <f t="shared" si="36"/>
        <v>-3.1769839448083079E-2</v>
      </c>
      <c r="J95" s="85">
        <f t="shared" si="37"/>
        <v>-9.5113756427387938E-2</v>
      </c>
      <c r="K95" s="223">
        <v>156.153809</v>
      </c>
      <c r="L95" s="84">
        <f t="shared" si="24"/>
        <v>7.2335215334732306E-2</v>
      </c>
      <c r="M95" s="84">
        <f t="shared" si="38"/>
        <v>6.8143548668065643E-2</v>
      </c>
      <c r="N95" s="84">
        <f t="shared" si="39"/>
        <v>-8.0727664714490537E-3</v>
      </c>
      <c r="O95" s="85">
        <f t="shared" si="40"/>
        <v>6.5926351524370111E-2</v>
      </c>
      <c r="P95" s="223">
        <v>11.41207</v>
      </c>
      <c r="Q95" s="84">
        <f t="shared" si="27"/>
        <v>-3.8556090623873107E-2</v>
      </c>
      <c r="R95" s="84">
        <f t="shared" si="41"/>
        <v>-4.274775729053977E-2</v>
      </c>
      <c r="S95" s="84">
        <f t="shared" si="51"/>
        <v>6.9913137478854206E-2</v>
      </c>
      <c r="T95" s="85">
        <f t="shared" si="42"/>
        <v>-0.11860006479760649</v>
      </c>
      <c r="U95" s="223">
        <v>89.606528999999995</v>
      </c>
      <c r="V95" s="84">
        <f t="shared" si="30"/>
        <v>-2.097326718639525E-2</v>
      </c>
      <c r="W95" s="84">
        <f t="shared" si="43"/>
        <v>-2.5164933853061917E-2</v>
      </c>
      <c r="X95" s="84">
        <f t="shared" si="44"/>
        <v>-1.4073759007865928E-2</v>
      </c>
      <c r="Y95" s="85">
        <f t="shared" si="45"/>
        <v>-1.2377958787981869E-2</v>
      </c>
      <c r="Z95" s="199">
        <v>350.86154199999999</v>
      </c>
      <c r="AA95" s="84">
        <f t="shared" si="31"/>
        <v>1.8496690628917234E-2</v>
      </c>
      <c r="AB95" s="84">
        <f t="shared" si="46"/>
        <v>1.4305023962250567E-2</v>
      </c>
      <c r="AC95" s="84">
        <f t="shared" si="47"/>
        <v>-2.5322622620878386E-2</v>
      </c>
      <c r="AD95" s="85">
        <f t="shared" si="48"/>
        <v>3.2204536997718892E-2</v>
      </c>
      <c r="AE95" s="200">
        <f t="shared" si="49"/>
        <v>178.15924101664078</v>
      </c>
      <c r="AF95" s="85">
        <f t="shared" si="50"/>
        <v>3.3313656584493148E-3</v>
      </c>
      <c r="AG95" s="199">
        <v>109.380257</v>
      </c>
      <c r="AH95" s="84">
        <f>AG95/AG94-1</f>
        <v>2.876703530565905E-3</v>
      </c>
      <c r="AI95" s="84">
        <f t="shared" si="18"/>
        <v>-1.3149631361007615E-3</v>
      </c>
    </row>
    <row r="96" spans="2:35">
      <c r="B96" s="224">
        <v>45323</v>
      </c>
      <c r="C96" s="81">
        <v>165.91999799999999</v>
      </c>
      <c r="D96" s="84">
        <f t="shared" si="19"/>
        <v>7.4959452868437193E-2</v>
      </c>
      <c r="E96" s="85">
        <f t="shared" si="34"/>
        <v>7.076778620177053E-2</v>
      </c>
      <c r="F96" s="223">
        <v>467.08999599999999</v>
      </c>
      <c r="G96" s="84">
        <f t="shared" si="20"/>
        <v>2.9240643416587053E-2</v>
      </c>
      <c r="H96" s="84">
        <f t="shared" si="35"/>
        <v>2.5048976749920387E-2</v>
      </c>
      <c r="I96" s="84">
        <f t="shared" si="36"/>
        <v>7.5047349828992624E-2</v>
      </c>
      <c r="J96" s="85">
        <f t="shared" si="37"/>
        <v>-6.0288336694216821E-2</v>
      </c>
      <c r="K96" s="223">
        <v>158.94000199999999</v>
      </c>
      <c r="L96" s="84">
        <f t="shared" si="24"/>
        <v>1.7842619516248881E-2</v>
      </c>
      <c r="M96" s="84">
        <f t="shared" si="38"/>
        <v>1.3650952849582215E-2</v>
      </c>
      <c r="N96" s="84">
        <f t="shared" si="39"/>
        <v>1.9069650334891903E-2</v>
      </c>
      <c r="O96" s="85">
        <f t="shared" si="40"/>
        <v>-1.5708661100454269E-2</v>
      </c>
      <c r="P96" s="223">
        <v>12.113153000000001</v>
      </c>
      <c r="Q96" s="84">
        <f t="shared" si="27"/>
        <v>6.1433464743907207E-2</v>
      </c>
      <c r="R96" s="84">
        <f t="shared" si="41"/>
        <v>5.7241798077240544E-2</v>
      </c>
      <c r="S96" s="84">
        <f t="shared" si="51"/>
        <v>-1.6658616133471547E-2</v>
      </c>
      <c r="T96" s="85">
        <f t="shared" si="42"/>
        <v>6.7961244182499575E-2</v>
      </c>
      <c r="U96" s="223">
        <v>88.728706000000003</v>
      </c>
      <c r="V96" s="84">
        <f t="shared" si="30"/>
        <v>-9.7964178480788311E-3</v>
      </c>
      <c r="W96" s="84">
        <f t="shared" si="43"/>
        <v>-1.3988084514745498E-2</v>
      </c>
      <c r="X96" s="84">
        <f t="shared" si="44"/>
        <v>3.324531486532202E-2</v>
      </c>
      <c r="Y96" s="85">
        <f t="shared" si="45"/>
        <v>-4.8520183322853398E-2</v>
      </c>
      <c r="Z96" s="199">
        <v>378.34713699999998</v>
      </c>
      <c r="AA96" s="84">
        <f t="shared" si="31"/>
        <v>7.8337440015012971E-2</v>
      </c>
      <c r="AB96" s="84">
        <f t="shared" si="46"/>
        <v>7.4145773348346308E-2</v>
      </c>
      <c r="AC96" s="84">
        <f t="shared" si="47"/>
        <v>5.9817605358760718E-2</v>
      </c>
      <c r="AD96" s="85">
        <f t="shared" si="48"/>
        <v>6.905058404175525E-3</v>
      </c>
      <c r="AE96" s="200">
        <f t="shared" si="49"/>
        <v>185.38886138901367</v>
      </c>
      <c r="AF96" s="85">
        <f t="shared" si="50"/>
        <v>4.0579541825156329E-2</v>
      </c>
      <c r="AG96" s="199">
        <v>106.88825199999999</v>
      </c>
      <c r="AH96" s="84">
        <f t="shared" ref="AH96" si="52">AG96/AG95-1</f>
        <v>-2.27829506745445E-2</v>
      </c>
      <c r="AI96" s="84">
        <f t="shared" si="18"/>
        <v>-2.6974617341211166E-2</v>
      </c>
    </row>
    <row r="97" spans="2:35">
      <c r="B97" s="224">
        <v>45352</v>
      </c>
      <c r="C97" s="81">
        <v>167.88000500000001</v>
      </c>
      <c r="D97" s="84">
        <f>C97/C96-1</f>
        <v>1.1812964221467936E-2</v>
      </c>
      <c r="E97" s="85">
        <f t="shared" si="34"/>
        <v>7.62129755480127E-3</v>
      </c>
      <c r="F97" s="223">
        <v>390.64999399999999</v>
      </c>
      <c r="G97" s="84">
        <f t="shared" si="20"/>
        <v>-0.16365155035347834</v>
      </c>
      <c r="H97" s="84">
        <f t="shared" si="35"/>
        <v>-0.16784321702014501</v>
      </c>
      <c r="I97" s="84">
        <f t="shared" si="36"/>
        <v>8.0821827902779197E-3</v>
      </c>
      <c r="J97" s="85">
        <f t="shared" si="37"/>
        <v>-0.18621536342556752</v>
      </c>
      <c r="K97" s="223">
        <v>162.25</v>
      </c>
      <c r="L97" s="84">
        <f t="shared" si="24"/>
        <v>2.0825455884919464E-2</v>
      </c>
      <c r="M97" s="84">
        <f t="shared" si="38"/>
        <v>1.6633789218252797E-2</v>
      </c>
      <c r="N97" s="84">
        <f t="shared" si="39"/>
        <v>2.0536954350084042E-3</v>
      </c>
      <c r="O97" s="85">
        <f t="shared" si="40"/>
        <v>4.2901301680998132E-3</v>
      </c>
      <c r="P97" s="223">
        <v>13.28</v>
      </c>
      <c r="Q97" s="84">
        <f t="shared" si="27"/>
        <v>9.6328924434455621E-2</v>
      </c>
      <c r="R97" s="84">
        <f t="shared" si="41"/>
        <v>9.2137257767788958E-2</v>
      </c>
      <c r="S97" s="84">
        <f t="shared" si="51"/>
        <v>4.5495686217925874E-3</v>
      </c>
      <c r="T97" s="85">
        <f t="shared" si="42"/>
        <v>8.1648519117783855E-2</v>
      </c>
      <c r="U97" s="223">
        <v>90.365989999999996</v>
      </c>
      <c r="V97" s="84">
        <f t="shared" si="30"/>
        <v>1.8452697822506137E-2</v>
      </c>
      <c r="W97" s="84">
        <f t="shared" si="43"/>
        <v>1.426103115583947E-2</v>
      </c>
      <c r="X97" s="84">
        <f t="shared" si="44"/>
        <v>3.5803357783338141E-3</v>
      </c>
      <c r="Y97" s="85">
        <f t="shared" si="45"/>
        <v>9.3939114347197736E-3</v>
      </c>
      <c r="Z97" s="199">
        <v>381.319366</v>
      </c>
      <c r="AA97" s="84">
        <f t="shared" si="31"/>
        <v>7.8558252708544885E-3</v>
      </c>
      <c r="AB97" s="84">
        <f t="shared" si="46"/>
        <v>3.664158604187822E-3</v>
      </c>
      <c r="AC97" s="84">
        <f t="shared" si="47"/>
        <v>6.4420238914211598E-3</v>
      </c>
      <c r="AD97" s="85">
        <f t="shared" si="48"/>
        <v>-1.0200974872643398E-2</v>
      </c>
      <c r="AE97" s="200">
        <f t="shared" si="49"/>
        <v>183.51877121187604</v>
      </c>
      <c r="AF97" s="85">
        <f t="shared" si="50"/>
        <v>-1.0087392322958803E-2</v>
      </c>
      <c r="AG97" s="199">
        <v>108.273315</v>
      </c>
      <c r="AH97" s="84">
        <f>AG97/AG96-1</f>
        <v>1.2958047063956091E-2</v>
      </c>
      <c r="AI97" s="84">
        <f t="shared" si="18"/>
        <v>8.7663803972894243E-3</v>
      </c>
    </row>
    <row r="98" spans="2:35">
      <c r="B98" s="224"/>
      <c r="E98" s="55"/>
      <c r="F98" t="s">
        <v>116</v>
      </c>
      <c r="G98"/>
      <c r="H98"/>
      <c r="I98"/>
      <c r="J98"/>
      <c r="K98" s="226" t="s">
        <v>116</v>
      </c>
      <c r="L98"/>
      <c r="M98"/>
      <c r="N98"/>
      <c r="O98"/>
      <c r="P98" s="226" t="s">
        <v>116</v>
      </c>
      <c r="Q98"/>
      <c r="R98"/>
      <c r="S98"/>
      <c r="T98"/>
      <c r="U98" s="226" t="s">
        <v>116</v>
      </c>
      <c r="V98"/>
      <c r="W98"/>
      <c r="X98"/>
      <c r="Y98"/>
      <c r="Z98" s="226" t="s">
        <v>116</v>
      </c>
      <c r="AA98"/>
      <c r="AB98"/>
      <c r="AC98"/>
      <c r="AD98"/>
      <c r="AE98" s="242"/>
      <c r="AF98" s="242"/>
      <c r="AG98" s="242"/>
      <c r="AH98" s="242"/>
    </row>
    <row r="99" spans="2:35" ht="17" thickBot="1">
      <c r="E99" s="55"/>
      <c r="F99"/>
      <c r="G99"/>
      <c r="H99"/>
      <c r="I99"/>
      <c r="J99"/>
      <c r="K99" s="226"/>
      <c r="L99"/>
      <c r="M99"/>
      <c r="N99"/>
      <c r="O99"/>
      <c r="P99" s="226"/>
      <c r="Q99"/>
      <c r="R99"/>
      <c r="S99"/>
      <c r="T99"/>
      <c r="U99" s="226"/>
      <c r="V99"/>
      <c r="W99"/>
      <c r="X99"/>
      <c r="Y99"/>
      <c r="Z99" s="226"/>
      <c r="AA99"/>
      <c r="AB99"/>
      <c r="AC99"/>
      <c r="AD99"/>
      <c r="AE99" s="242"/>
      <c r="AF99" s="242"/>
      <c r="AG99" s="242"/>
      <c r="AH99" s="242"/>
      <c r="AI99"/>
    </row>
    <row r="100" spans="2:35">
      <c r="E100" s="55"/>
      <c r="F100" s="241" t="s">
        <v>117</v>
      </c>
      <c r="G100" s="241"/>
      <c r="H100"/>
      <c r="I100"/>
      <c r="J100"/>
      <c r="K100" s="244" t="s">
        <v>117</v>
      </c>
      <c r="L100" s="241"/>
      <c r="M100"/>
      <c r="N100"/>
      <c r="O100"/>
      <c r="P100" s="244" t="s">
        <v>117</v>
      </c>
      <c r="Q100" s="241"/>
      <c r="R100"/>
      <c r="S100"/>
      <c r="T100"/>
      <c r="U100" s="244" t="s">
        <v>117</v>
      </c>
      <c r="V100" s="241"/>
      <c r="W100"/>
      <c r="X100"/>
      <c r="Y100"/>
      <c r="Z100" s="244" t="s">
        <v>117</v>
      </c>
      <c r="AA100" s="241"/>
      <c r="AB100"/>
      <c r="AC100"/>
      <c r="AD100"/>
      <c r="AE100" s="242"/>
      <c r="AF100" s="242"/>
      <c r="AG100" s="242"/>
      <c r="AH100" s="242"/>
      <c r="AI100"/>
    </row>
    <row r="101" spans="2:35">
      <c r="E101" s="55"/>
      <c r="F101" s="238" t="s">
        <v>118</v>
      </c>
      <c r="G101" s="238">
        <v>0.62635335454755547</v>
      </c>
      <c r="H101"/>
      <c r="I101"/>
      <c r="J101"/>
      <c r="K101" s="245" t="s">
        <v>118</v>
      </c>
      <c r="L101" s="238">
        <v>0.34111722347857287</v>
      </c>
      <c r="M101"/>
      <c r="N101"/>
      <c r="O101"/>
      <c r="P101" s="245" t="s">
        <v>118</v>
      </c>
      <c r="Q101" s="238">
        <v>0.70320710204656589</v>
      </c>
      <c r="R101"/>
      <c r="S101"/>
      <c r="T101"/>
      <c r="U101" s="245" t="s">
        <v>118</v>
      </c>
      <c r="V101" s="238">
        <v>0.46769507088648854</v>
      </c>
      <c r="W101"/>
      <c r="X101"/>
      <c r="Y101"/>
      <c r="Z101" s="245" t="s">
        <v>118</v>
      </c>
      <c r="AA101" s="238">
        <v>0.74083532884667802</v>
      </c>
      <c r="AB101"/>
      <c r="AC101"/>
      <c r="AD101"/>
      <c r="AE101" s="242"/>
      <c r="AF101" s="242"/>
      <c r="AG101" s="242"/>
      <c r="AH101" s="242"/>
      <c r="AI101"/>
    </row>
    <row r="102" spans="2:35">
      <c r="E102" s="55"/>
      <c r="F102" s="238" t="s">
        <v>119</v>
      </c>
      <c r="G102" s="238">
        <v>0.39231852475297568</v>
      </c>
      <c r="H102"/>
      <c r="I102"/>
      <c r="J102"/>
      <c r="K102" s="245" t="s">
        <v>119</v>
      </c>
      <c r="L102" s="238">
        <v>0.11636096015373064</v>
      </c>
      <c r="M102"/>
      <c r="N102"/>
      <c r="O102"/>
      <c r="P102" s="245" t="s">
        <v>119</v>
      </c>
      <c r="Q102" s="238">
        <v>0.49450022836872937</v>
      </c>
      <c r="R102"/>
      <c r="S102"/>
      <c r="T102"/>
      <c r="U102" s="245" t="s">
        <v>119</v>
      </c>
      <c r="V102" s="238">
        <v>0.21873867933151755</v>
      </c>
      <c r="W102"/>
      <c r="X102"/>
      <c r="Y102"/>
      <c r="Z102" s="245" t="s">
        <v>119</v>
      </c>
      <c r="AA102" s="238">
        <v>0.54883698446736551</v>
      </c>
      <c r="AB102"/>
      <c r="AC102"/>
      <c r="AD102"/>
      <c r="AE102" s="242"/>
      <c r="AF102" s="242"/>
      <c r="AG102" s="242"/>
      <c r="AH102" s="242"/>
      <c r="AI102"/>
    </row>
    <row r="103" spans="2:35">
      <c r="E103" s="55"/>
      <c r="F103" s="238" t="s">
        <v>120</v>
      </c>
      <c r="G103" s="238">
        <v>0.38165744623987002</v>
      </c>
      <c r="H103"/>
      <c r="I103"/>
      <c r="J103"/>
      <c r="K103" s="245" t="s">
        <v>120</v>
      </c>
      <c r="L103" s="238">
        <v>0.10085852085818205</v>
      </c>
      <c r="M103"/>
      <c r="N103"/>
      <c r="O103"/>
      <c r="P103" s="245" t="s">
        <v>120</v>
      </c>
      <c r="Q103" s="238">
        <v>0.48563181132256672</v>
      </c>
      <c r="R103"/>
      <c r="S103"/>
      <c r="T103"/>
      <c r="U103" s="245" t="s">
        <v>120</v>
      </c>
      <c r="V103" s="238">
        <v>0.20503234037242135</v>
      </c>
      <c r="W103"/>
      <c r="X103"/>
      <c r="Y103"/>
      <c r="Z103" s="245" t="s">
        <v>120</v>
      </c>
      <c r="AA103" s="238">
        <v>0.54092184384398601</v>
      </c>
      <c r="AB103"/>
      <c r="AC103"/>
      <c r="AD103"/>
      <c r="AE103" s="242"/>
      <c r="AF103" s="242"/>
      <c r="AG103" s="242"/>
      <c r="AH103" s="242"/>
      <c r="AI103"/>
    </row>
    <row r="104" spans="2:35">
      <c r="E104" s="55"/>
      <c r="F104" s="238" t="s">
        <v>121</v>
      </c>
      <c r="G104" s="238">
        <v>8.5191240816137409E-2</v>
      </c>
      <c r="H104"/>
      <c r="I104"/>
      <c r="J104"/>
      <c r="K104" s="245" t="s">
        <v>121</v>
      </c>
      <c r="L104" s="238">
        <v>4.793111386520383E-2</v>
      </c>
      <c r="M104"/>
      <c r="N104"/>
      <c r="O104"/>
      <c r="P104" s="245" t="s">
        <v>121</v>
      </c>
      <c r="Q104" s="238">
        <v>9.4062049173182935E-2</v>
      </c>
      <c r="R104"/>
      <c r="S104"/>
      <c r="T104"/>
      <c r="U104" s="245" t="s">
        <v>121</v>
      </c>
      <c r="V104" s="238">
        <v>5.7306886235118128E-2</v>
      </c>
      <c r="W104"/>
      <c r="X104"/>
      <c r="Y104"/>
      <c r="Z104" s="245" t="s">
        <v>121</v>
      </c>
      <c r="AA104" s="238">
        <v>4.9466943446618325E-2</v>
      </c>
      <c r="AB104"/>
      <c r="AC104"/>
      <c r="AD104"/>
      <c r="AE104" s="242"/>
      <c r="AF104" s="242"/>
      <c r="AG104" s="242"/>
      <c r="AH104" s="242"/>
      <c r="AI104"/>
    </row>
    <row r="105" spans="2:35" ht="17" thickBot="1">
      <c r="E105" s="55"/>
      <c r="F105" s="239" t="s">
        <v>122</v>
      </c>
      <c r="G105" s="239">
        <v>59</v>
      </c>
      <c r="H105"/>
      <c r="I105"/>
      <c r="J105"/>
      <c r="K105" s="246" t="s">
        <v>122</v>
      </c>
      <c r="L105" s="239">
        <v>59</v>
      </c>
      <c r="M105"/>
      <c r="N105"/>
      <c r="O105"/>
      <c r="P105" s="246" t="s">
        <v>122</v>
      </c>
      <c r="Q105" s="239">
        <v>59</v>
      </c>
      <c r="R105"/>
      <c r="S105"/>
      <c r="T105"/>
      <c r="U105" s="246" t="s">
        <v>122</v>
      </c>
      <c r="V105" s="239">
        <v>59</v>
      </c>
      <c r="W105"/>
      <c r="X105"/>
      <c r="Y105"/>
      <c r="Z105" s="246" t="s">
        <v>122</v>
      </c>
      <c r="AA105" s="239">
        <v>59</v>
      </c>
      <c r="AB105"/>
      <c r="AC105"/>
      <c r="AD105"/>
      <c r="AE105" s="242"/>
      <c r="AF105" s="242"/>
      <c r="AG105" s="242"/>
      <c r="AH105" s="242"/>
      <c r="AI105"/>
    </row>
    <row r="106" spans="2:35">
      <c r="E106" s="55"/>
      <c r="F106"/>
      <c r="G106"/>
      <c r="H106"/>
      <c r="I106"/>
      <c r="J106"/>
      <c r="K106" s="226"/>
      <c r="L106"/>
      <c r="M106"/>
      <c r="N106"/>
      <c r="O106"/>
      <c r="P106" s="226"/>
      <c r="Q106"/>
      <c r="R106"/>
      <c r="S106"/>
      <c r="T106"/>
      <c r="U106" s="226"/>
      <c r="V106"/>
      <c r="W106"/>
      <c r="X106"/>
      <c r="Y106"/>
      <c r="Z106" s="226"/>
      <c r="AA106"/>
      <c r="AB106"/>
      <c r="AC106"/>
      <c r="AD106"/>
      <c r="AE106" s="242"/>
      <c r="AF106" s="242"/>
      <c r="AG106" s="242"/>
      <c r="AH106" s="242"/>
      <c r="AI106"/>
    </row>
    <row r="107" spans="2:35" ht="17" thickBot="1">
      <c r="E107" s="55"/>
      <c r="F107" t="s">
        <v>123</v>
      </c>
      <c r="G107"/>
      <c r="H107"/>
      <c r="I107"/>
      <c r="J107"/>
      <c r="K107" s="226" t="s">
        <v>123</v>
      </c>
      <c r="L107"/>
      <c r="M107"/>
      <c r="N107"/>
      <c r="O107"/>
      <c r="P107" s="226" t="s">
        <v>123</v>
      </c>
      <c r="Q107"/>
      <c r="R107"/>
      <c r="S107"/>
      <c r="T107"/>
      <c r="U107" s="226" t="s">
        <v>123</v>
      </c>
      <c r="V107"/>
      <c r="W107"/>
      <c r="X107"/>
      <c r="Y107"/>
      <c r="Z107" s="226" t="s">
        <v>123</v>
      </c>
      <c r="AA107"/>
      <c r="AB107"/>
      <c r="AC107"/>
      <c r="AD107"/>
      <c r="AE107" s="242"/>
      <c r="AF107" s="242"/>
      <c r="AG107" s="242"/>
      <c r="AH107" s="242"/>
      <c r="AI107"/>
    </row>
    <row r="108" spans="2:35">
      <c r="E108" s="55"/>
      <c r="F108" s="240"/>
      <c r="G108" s="240" t="s">
        <v>128</v>
      </c>
      <c r="H108" s="240" t="s">
        <v>129</v>
      </c>
      <c r="I108" s="240" t="s">
        <v>130</v>
      </c>
      <c r="J108" s="240" t="s">
        <v>131</v>
      </c>
      <c r="K108" s="247"/>
      <c r="L108" s="240" t="s">
        <v>128</v>
      </c>
      <c r="M108" s="240" t="s">
        <v>129</v>
      </c>
      <c r="N108" s="240" t="s">
        <v>130</v>
      </c>
      <c r="O108" s="240" t="s">
        <v>131</v>
      </c>
      <c r="P108" s="247"/>
      <c r="Q108" s="240" t="s">
        <v>128</v>
      </c>
      <c r="R108" s="240" t="s">
        <v>129</v>
      </c>
      <c r="S108" s="240" t="s">
        <v>130</v>
      </c>
      <c r="T108" s="240" t="s">
        <v>131</v>
      </c>
      <c r="U108" s="247"/>
      <c r="V108" s="240" t="s">
        <v>128</v>
      </c>
      <c r="W108" s="240" t="s">
        <v>129</v>
      </c>
      <c r="X108" s="240" t="s">
        <v>130</v>
      </c>
      <c r="Y108" s="240" t="s">
        <v>131</v>
      </c>
      <c r="Z108" s="247"/>
      <c r="AA108" s="240" t="s">
        <v>128</v>
      </c>
      <c r="AB108" s="240" t="s">
        <v>129</v>
      </c>
      <c r="AC108" s="240" t="s">
        <v>130</v>
      </c>
      <c r="AD108" s="240" t="s">
        <v>131</v>
      </c>
      <c r="AE108" s="243"/>
      <c r="AF108" s="242"/>
      <c r="AG108" s="242"/>
      <c r="AH108" s="242"/>
      <c r="AI108"/>
    </row>
    <row r="109" spans="2:35">
      <c r="E109" s="55"/>
      <c r="F109" s="238" t="s">
        <v>124</v>
      </c>
      <c r="G109" s="238">
        <v>1</v>
      </c>
      <c r="H109" s="238">
        <v>0.26707150966491328</v>
      </c>
      <c r="I109" s="238">
        <v>0.26707150966491328</v>
      </c>
      <c r="J109" s="238">
        <v>36.799140375028436</v>
      </c>
      <c r="K109" s="245" t="s">
        <v>124</v>
      </c>
      <c r="L109" s="238">
        <v>1</v>
      </c>
      <c r="M109" s="238">
        <v>1.7244170173083578E-2</v>
      </c>
      <c r="N109" s="238">
        <v>1.7244170173083578E-2</v>
      </c>
      <c r="O109" s="238">
        <v>7.5059774745992947</v>
      </c>
      <c r="P109" s="245" t="s">
        <v>124</v>
      </c>
      <c r="Q109" s="238">
        <v>1</v>
      </c>
      <c r="R109" s="238">
        <v>0.49334332892391497</v>
      </c>
      <c r="S109" s="238">
        <v>0.49334332892391497</v>
      </c>
      <c r="T109" s="238">
        <v>55.759694858136967</v>
      </c>
      <c r="U109" s="245" t="s">
        <v>124</v>
      </c>
      <c r="V109" s="238">
        <v>1</v>
      </c>
      <c r="W109" s="238">
        <v>5.2410432235155902E-2</v>
      </c>
      <c r="X109" s="238">
        <v>5.2410432235155902E-2</v>
      </c>
      <c r="Y109" s="238">
        <v>15.958942791674659</v>
      </c>
      <c r="Z109" s="245" t="s">
        <v>124</v>
      </c>
      <c r="AA109" s="238">
        <v>1</v>
      </c>
      <c r="AB109" s="238">
        <v>0.16967383923788149</v>
      </c>
      <c r="AC109" s="238">
        <v>0.16967383923788149</v>
      </c>
      <c r="AD109" s="238">
        <v>69.34014322452137</v>
      </c>
      <c r="AE109" s="238"/>
      <c r="AF109" s="242"/>
      <c r="AG109" s="242"/>
      <c r="AH109" s="242"/>
      <c r="AI109"/>
    </row>
    <row r="110" spans="2:35">
      <c r="E110" s="55"/>
      <c r="F110" s="238" t="s">
        <v>125</v>
      </c>
      <c r="G110" s="238">
        <v>57</v>
      </c>
      <c r="H110" s="238">
        <v>0.41368020817220769</v>
      </c>
      <c r="I110" s="238">
        <v>7.257547511793117E-3</v>
      </c>
      <c r="J110" s="238"/>
      <c r="K110" s="245" t="s">
        <v>125</v>
      </c>
      <c r="L110" s="238">
        <v>57</v>
      </c>
      <c r="M110" s="238">
        <v>0.13095132555247069</v>
      </c>
      <c r="N110" s="238">
        <v>2.2973916763591347E-3</v>
      </c>
      <c r="O110" s="238"/>
      <c r="P110" s="245" t="s">
        <v>125</v>
      </c>
      <c r="Q110" s="238">
        <v>57</v>
      </c>
      <c r="R110" s="238">
        <v>0.50431713839552228</v>
      </c>
      <c r="S110" s="238">
        <v>8.8476690946582854E-3</v>
      </c>
      <c r="T110" s="238"/>
      <c r="U110" s="245" t="s">
        <v>125</v>
      </c>
      <c r="V110" s="238">
        <v>57</v>
      </c>
      <c r="W110" s="238">
        <v>0.187192514967992</v>
      </c>
      <c r="X110" s="238">
        <v>3.2840792099647718E-3</v>
      </c>
      <c r="Y110" s="238"/>
      <c r="Z110" s="245" t="s">
        <v>125</v>
      </c>
      <c r="AA110" s="238">
        <v>57</v>
      </c>
      <c r="AB110" s="238">
        <v>0.13947777415520335</v>
      </c>
      <c r="AC110" s="238">
        <v>2.446978493950936E-3</v>
      </c>
      <c r="AD110" s="238"/>
      <c r="AE110" s="238"/>
      <c r="AF110" s="242"/>
      <c r="AG110" s="242"/>
      <c r="AH110" s="242"/>
      <c r="AI110"/>
    </row>
    <row r="111" spans="2:35" ht="17" thickBot="1">
      <c r="E111" s="55"/>
      <c r="F111" s="239" t="s">
        <v>126</v>
      </c>
      <c r="G111" s="239">
        <v>58</v>
      </c>
      <c r="H111" s="239">
        <v>0.68075171783712096</v>
      </c>
      <c r="I111" s="239"/>
      <c r="J111" s="239"/>
      <c r="K111" s="246" t="s">
        <v>126</v>
      </c>
      <c r="L111" s="239">
        <v>58</v>
      </c>
      <c r="M111" s="239">
        <v>0.14819549572555427</v>
      </c>
      <c r="N111" s="239"/>
      <c r="O111" s="239"/>
      <c r="P111" s="246" t="s">
        <v>126</v>
      </c>
      <c r="Q111" s="239">
        <v>58</v>
      </c>
      <c r="R111" s="239">
        <v>0.99766046731943725</v>
      </c>
      <c r="S111" s="239"/>
      <c r="T111" s="239"/>
      <c r="U111" s="246" t="s">
        <v>126</v>
      </c>
      <c r="V111" s="239">
        <v>58</v>
      </c>
      <c r="W111" s="239">
        <v>0.2396029472031479</v>
      </c>
      <c r="X111" s="239"/>
      <c r="Y111" s="239"/>
      <c r="Z111" s="246" t="s">
        <v>126</v>
      </c>
      <c r="AA111" s="239">
        <v>58</v>
      </c>
      <c r="AB111" s="239">
        <v>0.30915161339308483</v>
      </c>
      <c r="AC111" s="239"/>
      <c r="AD111" s="239"/>
      <c r="AE111" s="238"/>
      <c r="AF111" s="242"/>
      <c r="AG111" s="242"/>
      <c r="AH111" s="242"/>
      <c r="AI111"/>
    </row>
    <row r="112" spans="2:35" ht="17" thickBot="1">
      <c r="E112" s="55"/>
      <c r="F112"/>
      <c r="G112"/>
      <c r="H112"/>
      <c r="I112"/>
      <c r="J112"/>
      <c r="K112" s="226"/>
      <c r="L112"/>
      <c r="M112"/>
      <c r="N112"/>
      <c r="O112"/>
      <c r="P112" s="226"/>
      <c r="Q112"/>
      <c r="R112"/>
      <c r="S112"/>
      <c r="T112"/>
      <c r="U112" s="226"/>
      <c r="V112"/>
      <c r="W112"/>
      <c r="X112"/>
      <c r="Y112"/>
      <c r="Z112" s="226"/>
      <c r="AA112"/>
      <c r="AB112"/>
      <c r="AC112"/>
      <c r="AD112"/>
      <c r="AE112" s="242"/>
      <c r="AF112" s="242"/>
      <c r="AG112" s="242"/>
      <c r="AH112" s="242"/>
      <c r="AI112"/>
    </row>
    <row r="113" spans="3:35">
      <c r="E113" s="55"/>
      <c r="F113" s="240"/>
      <c r="G113" s="240" t="s">
        <v>132</v>
      </c>
      <c r="H113" s="240" t="s">
        <v>121</v>
      </c>
      <c r="I113" s="240" t="s">
        <v>133</v>
      </c>
      <c r="J113" s="240" t="s">
        <v>134</v>
      </c>
      <c r="K113" s="247"/>
      <c r="L113" s="240" t="s">
        <v>132</v>
      </c>
      <c r="M113" s="240" t="s">
        <v>121</v>
      </c>
      <c r="N113" s="240" t="s">
        <v>133</v>
      </c>
      <c r="O113" s="240" t="s">
        <v>134</v>
      </c>
      <c r="P113" s="247"/>
      <c r="Q113" s="240" t="s">
        <v>132</v>
      </c>
      <c r="R113" s="240" t="s">
        <v>121</v>
      </c>
      <c r="S113" s="240" t="s">
        <v>133</v>
      </c>
      <c r="T113" s="240" t="s">
        <v>134</v>
      </c>
      <c r="U113" s="247"/>
      <c r="V113" s="240" t="s">
        <v>132</v>
      </c>
      <c r="W113" s="240" t="s">
        <v>121</v>
      </c>
      <c r="X113" s="240" t="s">
        <v>133</v>
      </c>
      <c r="Y113" s="240" t="s">
        <v>134</v>
      </c>
      <c r="Z113" s="247"/>
      <c r="AA113" s="240" t="s">
        <v>132</v>
      </c>
      <c r="AB113" s="240" t="s">
        <v>121</v>
      </c>
      <c r="AC113" s="240" t="s">
        <v>133</v>
      </c>
      <c r="AD113" s="240" t="s">
        <v>134</v>
      </c>
      <c r="AE113" s="243"/>
      <c r="AF113" s="243"/>
      <c r="AG113" s="243"/>
      <c r="AH113" s="243"/>
      <c r="AI113"/>
    </row>
    <row r="114" spans="3:35">
      <c r="E114" s="55"/>
      <c r="F114" s="238" t="s">
        <v>127</v>
      </c>
      <c r="G114" s="238">
        <v>1.0289963615144586E-2</v>
      </c>
      <c r="H114" s="238">
        <v>1.1117883388275237E-2</v>
      </c>
      <c r="I114" s="238">
        <v>0.92553260866148646</v>
      </c>
      <c r="J114" s="238">
        <v>0.35859099776677128</v>
      </c>
      <c r="K114" s="245" t="s">
        <v>127</v>
      </c>
      <c r="L114" s="238">
        <v>5.1572458184300229E-3</v>
      </c>
      <c r="M114" s="238">
        <v>6.2552502994243859E-3</v>
      </c>
      <c r="N114" s="238">
        <v>0.8244667393892452</v>
      </c>
      <c r="O114" s="238">
        <v>0.41311126299597567</v>
      </c>
      <c r="P114" s="245" t="s">
        <v>127</v>
      </c>
      <c r="Q114" s="238">
        <v>5.9391700282125145E-3</v>
      </c>
      <c r="R114" s="238">
        <v>1.2275568285555047E-2</v>
      </c>
      <c r="S114" s="238">
        <v>0.48382037312287018</v>
      </c>
      <c r="T114" s="238">
        <v>0.63036698421061343</v>
      </c>
      <c r="U114" s="245" t="s">
        <v>127</v>
      </c>
      <c r="V114" s="238">
        <v>1.2867839427858812E-3</v>
      </c>
      <c r="W114" s="238">
        <v>7.4788355282003312E-3</v>
      </c>
      <c r="X114" s="238">
        <v>0.17205672433012126</v>
      </c>
      <c r="Y114" s="238">
        <v>0.8640023653896941</v>
      </c>
      <c r="Z114" s="245" t="s">
        <v>127</v>
      </c>
      <c r="AA114" s="238">
        <v>7.4231095854100579E-3</v>
      </c>
      <c r="AB114" s="238">
        <v>6.4556837480612269E-3</v>
      </c>
      <c r="AC114" s="238">
        <v>1.1498564482250806</v>
      </c>
      <c r="AD114" s="238">
        <v>0.25500464769823455</v>
      </c>
      <c r="AE114" s="238"/>
      <c r="AF114" s="238"/>
      <c r="AG114" s="238"/>
      <c r="AH114" s="238"/>
      <c r="AI114" s="169"/>
    </row>
    <row r="115" spans="3:35" ht="17" thickBot="1">
      <c r="E115" s="55"/>
      <c r="F115" s="239" t="s">
        <v>135</v>
      </c>
      <c r="G115" s="239">
        <v>1.06047332913623</v>
      </c>
      <c r="H115" s="239">
        <v>0.17481589325422306</v>
      </c>
      <c r="I115" s="239">
        <v>6.0662295023373796</v>
      </c>
      <c r="J115" s="239">
        <v>1.1201784794093514E-7</v>
      </c>
      <c r="K115" s="246" t="s">
        <v>135</v>
      </c>
      <c r="L115" s="239">
        <v>0.26946795086285724</v>
      </c>
      <c r="M115" s="239">
        <v>9.8356596344213162E-2</v>
      </c>
      <c r="N115" s="239">
        <v>2.7397039027236678</v>
      </c>
      <c r="O115" s="239">
        <v>8.1950996701240161E-3</v>
      </c>
      <c r="P115" s="246" t="s">
        <v>135</v>
      </c>
      <c r="Q115" s="239">
        <v>1.4413206199299149</v>
      </c>
      <c r="R115" s="239">
        <v>0.19301915302562186</v>
      </c>
      <c r="S115" s="239">
        <v>7.4672414490316941</v>
      </c>
      <c r="T115" s="239">
        <v>5.2945391045438294E-10</v>
      </c>
      <c r="U115" s="246" t="s">
        <v>135</v>
      </c>
      <c r="V115" s="239">
        <v>0.4697803428601568</v>
      </c>
      <c r="W115" s="239">
        <v>0.11759606282096338</v>
      </c>
      <c r="X115" s="239">
        <v>3.9948645523565176</v>
      </c>
      <c r="Y115" s="239">
        <v>1.8775180688437165E-4</v>
      </c>
      <c r="Z115" s="246" t="s">
        <v>135</v>
      </c>
      <c r="AA115" s="239">
        <v>0.84526602525350958</v>
      </c>
      <c r="AB115" s="239">
        <v>0.10150818115022266</v>
      </c>
      <c r="AC115" s="239">
        <v>8.3270729085628528</v>
      </c>
      <c r="AD115" s="239">
        <v>1.9725152914599026E-11</v>
      </c>
      <c r="AE115" s="238"/>
      <c r="AF115" s="238"/>
      <c r="AG115" s="238"/>
      <c r="AH115" s="238"/>
      <c r="AI115"/>
    </row>
    <row r="116" spans="3:35"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242"/>
      <c r="AF116" s="242"/>
      <c r="AG116" s="242"/>
      <c r="AH116" s="242"/>
      <c r="AI116"/>
    </row>
    <row r="117" spans="3:35"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3:35">
      <c r="C118" s="86"/>
      <c r="D118" s="86"/>
      <c r="E118" s="86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3:35">
      <c r="C119" s="86"/>
      <c r="D119" s="86"/>
      <c r="E119" s="86"/>
      <c r="F119" s="242"/>
      <c r="G119" s="242"/>
      <c r="H119" s="242"/>
      <c r="I119" s="242"/>
      <c r="J119" s="242"/>
      <c r="K119" s="242"/>
      <c r="L119" s="242"/>
      <c r="M119" s="242"/>
      <c r="N119" s="242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3:35">
      <c r="C120" s="86"/>
      <c r="D120" s="86"/>
      <c r="E120" s="86"/>
      <c r="F120" s="242"/>
      <c r="G120" s="242"/>
      <c r="H120" s="242"/>
      <c r="I120" s="242"/>
      <c r="J120" s="242"/>
      <c r="K120" s="242"/>
      <c r="L120" s="242"/>
      <c r="M120" s="242"/>
      <c r="N120" s="242"/>
    </row>
    <row r="121" spans="3:35">
      <c r="F121" s="248"/>
      <c r="G121" s="248"/>
      <c r="H121" s="242"/>
      <c r="I121" s="242"/>
      <c r="J121" s="242"/>
      <c r="K121" s="242"/>
      <c r="L121" s="242"/>
      <c r="M121" s="242"/>
      <c r="N121" s="242"/>
    </row>
    <row r="122" spans="3:35">
      <c r="F122" s="238"/>
      <c r="G122" s="238"/>
      <c r="H122" s="242"/>
      <c r="I122" s="242"/>
      <c r="J122" s="242"/>
      <c r="K122" s="242"/>
      <c r="L122" s="242"/>
      <c r="M122" s="242"/>
      <c r="N122" s="242"/>
    </row>
    <row r="123" spans="3:35">
      <c r="F123" s="238"/>
      <c r="G123" s="238"/>
      <c r="H123" s="242"/>
      <c r="I123" s="242"/>
      <c r="J123" s="242"/>
      <c r="K123" s="242"/>
      <c r="L123" s="242"/>
      <c r="M123" s="242"/>
      <c r="N123" s="242"/>
    </row>
    <row r="124" spans="3:35">
      <c r="F124" s="238"/>
      <c r="G124" s="238"/>
      <c r="H124" s="242"/>
      <c r="I124" s="242"/>
      <c r="J124" s="242"/>
      <c r="K124" s="242"/>
      <c r="L124" s="242"/>
      <c r="M124" s="242"/>
      <c r="N124" s="242"/>
    </row>
    <row r="125" spans="3:35">
      <c r="F125" s="238"/>
      <c r="G125" s="238"/>
      <c r="H125" s="242"/>
      <c r="I125" s="242"/>
      <c r="J125" s="242"/>
      <c r="K125" s="242"/>
      <c r="L125" s="242"/>
      <c r="M125" s="242"/>
      <c r="N125" s="242"/>
    </row>
    <row r="126" spans="3:35">
      <c r="F126" s="238"/>
      <c r="G126" s="238"/>
      <c r="H126" s="242"/>
      <c r="I126" s="242"/>
      <c r="J126" s="242"/>
      <c r="K126" s="242"/>
      <c r="L126" s="242"/>
      <c r="M126" s="242"/>
      <c r="N126" s="242"/>
    </row>
    <row r="127" spans="3:35">
      <c r="F127" s="242"/>
      <c r="G127" s="242"/>
      <c r="H127" s="242"/>
      <c r="I127" s="242"/>
      <c r="J127" s="242"/>
      <c r="K127" s="242"/>
      <c r="L127" s="242"/>
      <c r="M127" s="242"/>
      <c r="N127" s="242"/>
    </row>
    <row r="128" spans="3:35">
      <c r="F128" s="242"/>
      <c r="G128" s="242"/>
      <c r="H128" s="242"/>
      <c r="I128" s="242"/>
      <c r="J128" s="242"/>
      <c r="K128" s="242"/>
      <c r="L128" s="242"/>
      <c r="M128" s="242"/>
      <c r="N128" s="242"/>
    </row>
    <row r="129" spans="6:14">
      <c r="F129" s="243"/>
      <c r="G129" s="243"/>
      <c r="H129" s="243"/>
      <c r="I129" s="243"/>
      <c r="J129" s="243"/>
      <c r="K129" s="243"/>
      <c r="L129" s="242"/>
      <c r="M129" s="242"/>
      <c r="N129" s="242"/>
    </row>
    <row r="130" spans="6:14">
      <c r="F130" s="238"/>
      <c r="G130" s="238"/>
      <c r="H130" s="238"/>
      <c r="I130" s="238"/>
      <c r="J130" s="238"/>
      <c r="K130" s="238"/>
      <c r="L130" s="242"/>
      <c r="M130" s="242"/>
      <c r="N130" s="242"/>
    </row>
    <row r="131" spans="6:14">
      <c r="F131" s="238"/>
      <c r="G131" s="238"/>
      <c r="H131" s="238"/>
      <c r="I131" s="238"/>
      <c r="J131" s="238"/>
      <c r="K131" s="238"/>
      <c r="L131" s="242"/>
      <c r="M131" s="242"/>
      <c r="N131" s="242"/>
    </row>
    <row r="132" spans="6:14">
      <c r="F132" s="238"/>
      <c r="G132" s="238"/>
      <c r="H132" s="238"/>
      <c r="I132" s="238"/>
      <c r="J132" s="238"/>
      <c r="K132" s="238"/>
      <c r="L132" s="242"/>
      <c r="M132" s="242"/>
      <c r="N132" s="242"/>
    </row>
    <row r="133" spans="6:14">
      <c r="F133" s="242"/>
      <c r="G133" s="242"/>
      <c r="H133" s="242"/>
      <c r="I133" s="242"/>
      <c r="J133" s="242"/>
      <c r="K133" s="242"/>
      <c r="L133" s="242"/>
      <c r="M133" s="242"/>
      <c r="N133" s="242"/>
    </row>
    <row r="134" spans="6:14">
      <c r="F134" s="243"/>
      <c r="G134" s="243"/>
      <c r="H134" s="243"/>
      <c r="I134" s="243"/>
      <c r="J134" s="243"/>
      <c r="K134" s="243"/>
      <c r="L134" s="243"/>
      <c r="M134" s="243"/>
      <c r="N134" s="243"/>
    </row>
    <row r="135" spans="6:14">
      <c r="F135" s="238"/>
      <c r="G135" s="238"/>
      <c r="H135" s="238"/>
      <c r="I135" s="238"/>
      <c r="J135" s="238"/>
      <c r="K135" s="238"/>
      <c r="L135" s="238"/>
      <c r="M135" s="238"/>
      <c r="N135" s="238"/>
    </row>
    <row r="136" spans="6:14">
      <c r="F136" s="238"/>
      <c r="G136" s="238"/>
      <c r="H136" s="238"/>
      <c r="I136" s="238"/>
      <c r="J136" s="238"/>
      <c r="K136" s="238"/>
      <c r="L136" s="238"/>
      <c r="M136" s="238"/>
      <c r="N136" s="238"/>
    </row>
    <row r="137" spans="6:14">
      <c r="F137"/>
      <c r="G137"/>
      <c r="H137"/>
      <c r="I137"/>
      <c r="J137"/>
      <c r="K137"/>
      <c r="L137"/>
      <c r="M137"/>
      <c r="N137"/>
    </row>
    <row r="138" spans="6:14">
      <c r="F138"/>
      <c r="G138"/>
      <c r="H138"/>
      <c r="I138"/>
      <c r="J138"/>
      <c r="K138"/>
      <c r="L138"/>
      <c r="M138"/>
      <c r="N138"/>
    </row>
    <row r="139" spans="6:14">
      <c r="F139"/>
      <c r="G139"/>
      <c r="H139"/>
      <c r="I139"/>
      <c r="J139"/>
      <c r="K139"/>
      <c r="L139"/>
      <c r="M139"/>
      <c r="N139"/>
    </row>
    <row r="140" spans="6:14">
      <c r="F140"/>
      <c r="G140"/>
      <c r="H140"/>
      <c r="I140"/>
      <c r="J140"/>
      <c r="K140"/>
      <c r="L140"/>
      <c r="M140"/>
      <c r="N140"/>
    </row>
    <row r="141" spans="6:14">
      <c r="F141"/>
      <c r="G141"/>
      <c r="H141"/>
      <c r="I141"/>
      <c r="J141"/>
      <c r="K141"/>
      <c r="L141"/>
      <c r="M141"/>
      <c r="N141"/>
    </row>
    <row r="142" spans="6:14">
      <c r="F142"/>
      <c r="G142"/>
      <c r="H142"/>
      <c r="I142"/>
      <c r="J142"/>
      <c r="K142"/>
      <c r="L142"/>
      <c r="M142"/>
      <c r="N142"/>
    </row>
    <row r="143" spans="6:14">
      <c r="F143"/>
      <c r="G143"/>
      <c r="H143"/>
      <c r="I143"/>
      <c r="J143"/>
      <c r="K143"/>
      <c r="L143"/>
      <c r="M143"/>
      <c r="N143"/>
    </row>
    <row r="144" spans="6:14">
      <c r="F144"/>
      <c r="G144"/>
      <c r="H144"/>
      <c r="I144"/>
      <c r="J144"/>
      <c r="K144"/>
      <c r="L144"/>
      <c r="M144"/>
      <c r="N144"/>
    </row>
    <row r="145" spans="6:14">
      <c r="F145"/>
      <c r="G145"/>
      <c r="H145"/>
      <c r="I145"/>
      <c r="J145"/>
      <c r="K145"/>
      <c r="L145"/>
      <c r="M145"/>
      <c r="N145"/>
    </row>
    <row r="146" spans="6:14">
      <c r="F146"/>
      <c r="G146"/>
      <c r="H146"/>
      <c r="I146"/>
      <c r="J146"/>
      <c r="K146"/>
      <c r="L146"/>
      <c r="M146"/>
      <c r="N146"/>
    </row>
    <row r="147" spans="6:14">
      <c r="F147"/>
      <c r="G147"/>
      <c r="H147"/>
      <c r="I147"/>
      <c r="J147"/>
      <c r="K147"/>
      <c r="L147"/>
      <c r="M147"/>
      <c r="N147"/>
    </row>
    <row r="148" spans="6:14">
      <c r="F148"/>
      <c r="G148"/>
      <c r="H148"/>
      <c r="I148"/>
      <c r="J148"/>
      <c r="K148"/>
      <c r="L148"/>
      <c r="M148"/>
      <c r="N148"/>
    </row>
    <row r="149" spans="6:14">
      <c r="F149"/>
      <c r="G149"/>
      <c r="H149"/>
      <c r="I149"/>
      <c r="J149"/>
      <c r="K149"/>
      <c r="L149"/>
      <c r="M149"/>
      <c r="N149"/>
    </row>
    <row r="150" spans="6:14">
      <c r="F150"/>
      <c r="G150"/>
      <c r="H150"/>
      <c r="I150"/>
      <c r="J150"/>
      <c r="K150"/>
      <c r="L150"/>
      <c r="M150"/>
      <c r="N150"/>
    </row>
    <row r="151" spans="6:14">
      <c r="F151"/>
      <c r="G151"/>
      <c r="H151"/>
      <c r="I151"/>
      <c r="J151"/>
      <c r="K151"/>
      <c r="L151"/>
      <c r="M151"/>
      <c r="N151"/>
    </row>
    <row r="152" spans="6:14">
      <c r="F152"/>
      <c r="G152"/>
      <c r="H152"/>
      <c r="I152"/>
      <c r="J152"/>
      <c r="K152"/>
      <c r="L152"/>
      <c r="M152"/>
      <c r="N152"/>
    </row>
    <row r="153" spans="6:14">
      <c r="F153"/>
      <c r="G153"/>
      <c r="H153"/>
      <c r="I153"/>
      <c r="J153"/>
      <c r="K153"/>
      <c r="L153"/>
      <c r="M153"/>
      <c r="N153"/>
    </row>
    <row r="154" spans="6:14">
      <c r="F154"/>
      <c r="G154"/>
      <c r="H154"/>
      <c r="I154"/>
      <c r="J154"/>
      <c r="K154"/>
      <c r="L154"/>
      <c r="M154"/>
      <c r="N154"/>
    </row>
    <row r="155" spans="6:14">
      <c r="F155"/>
      <c r="G155"/>
      <c r="H155"/>
      <c r="I155"/>
      <c r="J155"/>
      <c r="K155"/>
      <c r="L155"/>
      <c r="M155"/>
      <c r="N155"/>
    </row>
    <row r="156" spans="6:14">
      <c r="F156"/>
      <c r="G156"/>
      <c r="H156"/>
      <c r="I156"/>
      <c r="J156"/>
      <c r="K156"/>
      <c r="L156"/>
      <c r="M156"/>
      <c r="N156"/>
    </row>
    <row r="157" spans="6:14">
      <c r="F157"/>
      <c r="G157"/>
      <c r="H157"/>
      <c r="I157"/>
      <c r="J157"/>
      <c r="K157"/>
      <c r="L157"/>
      <c r="M157"/>
      <c r="N157"/>
    </row>
    <row r="158" spans="6:14">
      <c r="F158"/>
      <c r="G158"/>
      <c r="H158"/>
      <c r="I158"/>
      <c r="J158"/>
      <c r="K158"/>
      <c r="L158"/>
      <c r="M158"/>
      <c r="N158"/>
    </row>
    <row r="159" spans="6:14">
      <c r="F159"/>
      <c r="G159"/>
      <c r="H159"/>
      <c r="I159"/>
      <c r="J159"/>
      <c r="K159"/>
      <c r="L159"/>
      <c r="M159"/>
      <c r="N159"/>
    </row>
    <row r="160" spans="6:14">
      <c r="F160"/>
      <c r="G160"/>
      <c r="H160"/>
      <c r="I160"/>
      <c r="J160"/>
      <c r="K160"/>
      <c r="L160"/>
      <c r="M160"/>
      <c r="N160"/>
    </row>
    <row r="161" spans="6:14">
      <c r="F161"/>
      <c r="G161"/>
      <c r="H161"/>
      <c r="I161"/>
      <c r="J161"/>
      <c r="K161"/>
      <c r="L161"/>
      <c r="M161"/>
      <c r="N161"/>
    </row>
    <row r="162" spans="6:14">
      <c r="F162"/>
      <c r="G162"/>
      <c r="H162"/>
      <c r="I162"/>
      <c r="J162"/>
      <c r="K162"/>
      <c r="L162"/>
      <c r="M162"/>
      <c r="N162"/>
    </row>
    <row r="163" spans="6:14">
      <c r="F163"/>
      <c r="G163"/>
      <c r="H163"/>
      <c r="I163"/>
      <c r="J163"/>
      <c r="K163"/>
      <c r="L163"/>
      <c r="M163"/>
      <c r="N163"/>
    </row>
    <row r="164" spans="6:14">
      <c r="F164"/>
      <c r="G164"/>
      <c r="H164"/>
      <c r="I164"/>
      <c r="J164"/>
      <c r="K164"/>
      <c r="L164"/>
      <c r="M164"/>
      <c r="N164"/>
    </row>
    <row r="165" spans="6:14">
      <c r="F165"/>
      <c r="G165"/>
      <c r="H165"/>
      <c r="I165"/>
      <c r="J165"/>
      <c r="K165"/>
      <c r="L165"/>
      <c r="M165"/>
      <c r="N165"/>
    </row>
    <row r="166" spans="6:14">
      <c r="F166"/>
      <c r="G166"/>
      <c r="H166"/>
      <c r="I166"/>
      <c r="J166"/>
      <c r="K166"/>
      <c r="L166"/>
      <c r="M166"/>
      <c r="N166"/>
    </row>
    <row r="167" spans="6:14">
      <c r="F167"/>
      <c r="G167"/>
      <c r="H167"/>
      <c r="I167"/>
      <c r="J167"/>
      <c r="K167"/>
      <c r="L167"/>
      <c r="M167"/>
      <c r="N167"/>
    </row>
    <row r="168" spans="6:14">
      <c r="F168"/>
      <c r="G168"/>
      <c r="H168"/>
      <c r="I168"/>
      <c r="J168"/>
      <c r="K168"/>
      <c r="L168"/>
      <c r="M168"/>
      <c r="N168"/>
    </row>
    <row r="169" spans="6:14">
      <c r="F169"/>
      <c r="G169"/>
      <c r="H169"/>
      <c r="I169"/>
      <c r="J169"/>
      <c r="K169"/>
      <c r="L169"/>
      <c r="M169"/>
      <c r="N169"/>
    </row>
    <row r="170" spans="6:14">
      <c r="F170"/>
      <c r="G170"/>
      <c r="H170"/>
      <c r="I170"/>
      <c r="J170"/>
      <c r="K170"/>
      <c r="L170"/>
      <c r="M170"/>
      <c r="N170"/>
    </row>
    <row r="171" spans="6:14">
      <c r="F171"/>
      <c r="G171"/>
      <c r="H171"/>
      <c r="I171"/>
      <c r="J171"/>
      <c r="K171"/>
      <c r="L171"/>
      <c r="M171"/>
      <c r="N171"/>
    </row>
    <row r="172" spans="6:14">
      <c r="F172"/>
      <c r="G172"/>
      <c r="H172"/>
      <c r="I172"/>
      <c r="J172"/>
      <c r="K172"/>
      <c r="L172"/>
      <c r="M172"/>
      <c r="N172"/>
    </row>
    <row r="173" spans="6:14">
      <c r="F173"/>
      <c r="G173"/>
      <c r="H173"/>
      <c r="I173"/>
      <c r="J173"/>
      <c r="K173"/>
      <c r="L173"/>
      <c r="M173"/>
      <c r="N173"/>
    </row>
    <row r="174" spans="6:14">
      <c r="F174"/>
      <c r="G174"/>
      <c r="H174"/>
      <c r="I174"/>
      <c r="J174"/>
      <c r="K174"/>
      <c r="L174"/>
      <c r="M174"/>
      <c r="N174"/>
    </row>
    <row r="175" spans="6:14">
      <c r="F175"/>
      <c r="G175"/>
      <c r="H175"/>
      <c r="I175"/>
      <c r="J175"/>
      <c r="K175"/>
      <c r="L175"/>
      <c r="M175"/>
      <c r="N175"/>
    </row>
    <row r="176" spans="6:14">
      <c r="F176"/>
      <c r="G176"/>
      <c r="H176"/>
      <c r="I176"/>
      <c r="J176"/>
      <c r="K176"/>
      <c r="L176"/>
      <c r="M176"/>
      <c r="N176"/>
    </row>
    <row r="177" spans="6:14">
      <c r="F177"/>
      <c r="G177"/>
      <c r="H177"/>
      <c r="I177"/>
      <c r="J177"/>
      <c r="K177"/>
      <c r="L177"/>
      <c r="M177"/>
      <c r="N177"/>
    </row>
    <row r="178" spans="6:14">
      <c r="F178"/>
      <c r="G178"/>
      <c r="H178"/>
      <c r="I178"/>
      <c r="J178"/>
      <c r="K178"/>
      <c r="L178"/>
      <c r="M178"/>
      <c r="N178"/>
    </row>
    <row r="179" spans="6:14">
      <c r="F179"/>
      <c r="G179"/>
      <c r="H179"/>
      <c r="I179"/>
      <c r="J179"/>
      <c r="K179"/>
      <c r="L179"/>
      <c r="M179"/>
      <c r="N179"/>
    </row>
    <row r="180" spans="6:14">
      <c r="F180"/>
      <c r="G180"/>
      <c r="H180"/>
      <c r="I180"/>
      <c r="J180"/>
      <c r="K180"/>
      <c r="L180"/>
      <c r="M180"/>
      <c r="N180"/>
    </row>
    <row r="181" spans="6:14" ht="17" thickBot="1">
      <c r="F181" s="225"/>
      <c r="G181" s="225"/>
      <c r="H181" s="225"/>
      <c r="I181"/>
      <c r="J181"/>
      <c r="K181"/>
      <c r="L181"/>
      <c r="M181"/>
      <c r="N181"/>
    </row>
  </sheetData>
  <sortState xmlns:xlrd2="http://schemas.microsoft.com/office/spreadsheetml/2017/richdata2" ref="G122:G181">
    <sortCondition ref="G122"/>
  </sortState>
  <mergeCells count="9">
    <mergeCell ref="F21:F24"/>
    <mergeCell ref="Z36:AD36"/>
    <mergeCell ref="AG36:AI36"/>
    <mergeCell ref="C36:E36"/>
    <mergeCell ref="F36:J36"/>
    <mergeCell ref="K36:O36"/>
    <mergeCell ref="P36:T36"/>
    <mergeCell ref="U36:Y36"/>
    <mergeCell ref="AE36:AF36"/>
  </mergeCells>
  <pageMargins left="0.25" right="0.25" top="0.75" bottom="0.75" header="0.3" footer="0.3"/>
  <pageSetup scale="4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Capital Allocation</vt:lpstr>
      <vt:lpstr>Asset Classes Allocation</vt:lpstr>
      <vt:lpstr>Security Allocation</vt:lpstr>
      <vt:lpstr>Data. Securities</vt:lpstr>
      <vt:lpstr>'Asset Classes Allocation'!Print_Area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Ahn</dc:creator>
  <cp:lastModifiedBy>Eduard Tsymbala</cp:lastModifiedBy>
  <dcterms:created xsi:type="dcterms:W3CDTF">2024-03-23T17:37:03Z</dcterms:created>
  <dcterms:modified xsi:type="dcterms:W3CDTF">2024-04-01T17:23:15Z</dcterms:modified>
</cp:coreProperties>
</file>