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drawings/drawing4.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5.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6.xml" ContentType="application/vnd.openxmlformats-officedocument.drawing+xml"/>
  <Override PartName="/xl/comments1.xml" ContentType="application/vnd.openxmlformats-officedocument.spreadsheetml.comment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7.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8.xml" ContentType="application/vnd.openxmlformats-officedocument.drawing+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edvardtsymbala/Desktop/Investments Homework/"/>
    </mc:Choice>
  </mc:AlternateContent>
  <xr:revisionPtr revIDLastSave="0" documentId="13_ncr:1_{F06FCADA-4B14-8E42-93D6-B8E10D8F4145}" xr6:coauthVersionLast="47" xr6:coauthVersionMax="47" xr10:uidLastSave="{00000000-0000-0000-0000-000000000000}"/>
  <bookViews>
    <workbookView xWindow="0" yWindow="0" windowWidth="28800" windowHeight="18000" xr2:uid="{9CCC1DD0-CA8D-D746-BE7F-11880579A006}"/>
  </bookViews>
  <sheets>
    <sheet name="Cover" sheetId="2" r:id="rId1"/>
    <sheet name="Summary" sheetId="11" r:id="rId2"/>
    <sheet name="Assumptions" sheetId="4" r:id="rId3"/>
    <sheet name="Income Statement" sheetId="3" r:id="rId4"/>
    <sheet name="Balance Sheet" sheetId="5" r:id="rId5"/>
    <sheet name="Cash Flow" sheetId="6" r:id="rId6"/>
    <sheet name="Forecast" sheetId="1" r:id="rId7"/>
    <sheet name="ROIC" sheetId="10" r:id="rId8"/>
    <sheet name="Fair Value Estimate" sheetId="7" r:id="rId9"/>
    <sheet name="WACC" sheetId="8" r:id="rId10"/>
    <sheet name="Ratios" sheetId="9" r:id="rId11"/>
  </sheets>
  <externalReferences>
    <externalReference r:id="rId12"/>
  </externalReferences>
  <definedNames>
    <definedName name="G">'Fair Value Estimate'!$S$11</definedName>
    <definedName name="Growth">WACC!$C$46</definedName>
    <definedName name="LENGTH">'Fair Value Estimate'!$S$13</definedName>
    <definedName name="RONIC">'Fair Value Estimate'!$S$10</definedName>
    <definedName name="solver_eng" localSheetId="9" hidden="1">1</definedName>
    <definedName name="solver_lin" localSheetId="9" hidden="1">2</definedName>
    <definedName name="solver_neg" localSheetId="9" hidden="1">1</definedName>
    <definedName name="solver_num" localSheetId="9" hidden="1">0</definedName>
    <definedName name="solver_opt" localSheetId="9" hidden="1">WACC!$I$82</definedName>
    <definedName name="solver_typ" localSheetId="9" hidden="1">1</definedName>
    <definedName name="solver_val" localSheetId="9" hidden="1">0</definedName>
    <definedName name="solver_ver" localSheetId="9" hidden="1">2</definedName>
    <definedName name="WACC">WACC!$C$45</definedName>
  </definedName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60" i="9" l="1"/>
  <c r="I82" i="8"/>
  <c r="I81" i="8"/>
  <c r="I80" i="8"/>
  <c r="I78" i="8"/>
  <c r="I79" i="8"/>
  <c r="I69" i="8"/>
  <c r="C61" i="9"/>
  <c r="C60" i="9" s="1"/>
  <c r="C59" i="9" s="1"/>
  <c r="C62" i="9" l="1"/>
  <c r="C63" i="9" s="1"/>
  <c r="I77" i="8"/>
  <c r="C25" i="10"/>
  <c r="C18" i="1"/>
  <c r="F32" i="4" a="1"/>
  <c r="F32" i="4" s="1"/>
  <c r="H109" i="1" s="1"/>
  <c r="I109" i="1" s="1"/>
  <c r="J109" i="1" s="1"/>
  <c r="K109" i="1" s="1"/>
  <c r="L109" i="1" s="1"/>
  <c r="M109" i="1" s="1"/>
  <c r="F33" i="4" a="1"/>
  <c r="F33" i="4" s="1"/>
  <c r="H122" i="1" s="1"/>
  <c r="I122" i="1" s="1"/>
  <c r="J122" i="1" s="1"/>
  <c r="K122" i="1" s="1"/>
  <c r="L122" i="1" s="1"/>
  <c r="M122" i="1" s="1"/>
  <c r="M32" i="4"/>
  <c r="I110" i="1"/>
  <c r="J110" i="1" s="1"/>
  <c r="K110" i="1" s="1"/>
  <c r="L110" i="1" s="1"/>
  <c r="M110" i="1" s="1"/>
  <c r="H110" i="1"/>
  <c r="C62" i="10" l="1"/>
  <c r="D62" i="10"/>
  <c r="E62" i="10"/>
  <c r="F62" i="10"/>
  <c r="B62" i="10"/>
  <c r="B67" i="10"/>
  <c r="B66" i="10"/>
  <c r="I67" i="8"/>
  <c r="I71" i="8" s="1"/>
  <c r="I70" i="8"/>
  <c r="F7" i="4" a="1"/>
  <c r="F7" i="4" s="1"/>
  <c r="F14" i="4" a="1"/>
  <c r="F14" i="4" s="1"/>
  <c r="F15" i="4" a="1"/>
  <c r="F15" i="4" s="1"/>
  <c r="F16" i="4" a="1"/>
  <c r="F16" i="4" s="1"/>
  <c r="F17" i="4" a="1"/>
  <c r="F17" i="4" s="1"/>
  <c r="F18" i="4" a="1"/>
  <c r="F18" i="4" s="1"/>
  <c r="F19" i="4" a="1"/>
  <c r="F19" i="4" s="1"/>
  <c r="F20" i="4" a="1"/>
  <c r="F20" i="4" s="1"/>
  <c r="H48" i="1" s="1"/>
  <c r="I48" i="1" s="1"/>
  <c r="J48" i="1" s="1"/>
  <c r="K48" i="1" s="1"/>
  <c r="L48" i="1" s="1"/>
  <c r="M48" i="1" s="1"/>
  <c r="F21" i="4" a="1"/>
  <c r="F21" i="4" s="1"/>
  <c r="F22" i="4" a="1"/>
  <c r="F22" i="4" s="1"/>
  <c r="F24" i="4" a="1"/>
  <c r="F24" i="4" s="1"/>
  <c r="F25" i="4" a="1"/>
  <c r="F25" i="4" s="1"/>
  <c r="F26" i="4" a="1"/>
  <c r="F26" i="4" s="1"/>
  <c r="F27" i="4" a="1"/>
  <c r="F27" i="4" s="1"/>
  <c r="F28" i="4" a="1"/>
  <c r="F28" i="4" s="1"/>
  <c r="F29" i="4" a="1"/>
  <c r="F29" i="4" s="1"/>
  <c r="F30" i="4" a="1"/>
  <c r="F30" i="4" s="1"/>
  <c r="F31" i="4" a="1"/>
  <c r="F31" i="4" s="1"/>
  <c r="F8" i="4" a="1"/>
  <c r="F8" i="4" s="1"/>
  <c r="F9" i="4" a="1"/>
  <c r="F9" i="4" s="1"/>
  <c r="F10" i="4" a="1"/>
  <c r="F10" i="4" s="1"/>
  <c r="F11" i="4" a="1"/>
  <c r="F11" i="4" s="1"/>
  <c r="F12" i="4" a="1"/>
  <c r="F12" i="4" s="1"/>
  <c r="E153" i="11"/>
  <c r="F146" i="11"/>
  <c r="G146" i="11"/>
  <c r="H146" i="11"/>
  <c r="I146" i="11"/>
  <c r="J146" i="11"/>
  <c r="K146" i="11"/>
  <c r="F147" i="11"/>
  <c r="G147" i="11"/>
  <c r="H147" i="11"/>
  <c r="I147" i="11"/>
  <c r="J147" i="11"/>
  <c r="K147" i="11"/>
  <c r="F148" i="11"/>
  <c r="G148" i="11"/>
  <c r="H148" i="11"/>
  <c r="I148" i="11"/>
  <c r="J148" i="11"/>
  <c r="K148" i="11"/>
  <c r="E150" i="11"/>
  <c r="E147" i="11"/>
  <c r="E148" i="11"/>
  <c r="E149" i="11"/>
  <c r="E146" i="11"/>
  <c r="E145" i="11"/>
  <c r="F140" i="11"/>
  <c r="G140" i="11"/>
  <c r="H140" i="11"/>
  <c r="I140" i="11"/>
  <c r="J140" i="11"/>
  <c r="K140" i="11"/>
  <c r="F141" i="11"/>
  <c r="G141" i="11"/>
  <c r="H141" i="11"/>
  <c r="I141" i="11"/>
  <c r="J141" i="11"/>
  <c r="K141" i="11"/>
  <c r="E143" i="11"/>
  <c r="E142" i="11"/>
  <c r="E141" i="11"/>
  <c r="E140" i="11"/>
  <c r="E139" i="11"/>
  <c r="F133" i="11"/>
  <c r="G133" i="11"/>
  <c r="H133" i="11"/>
  <c r="I133" i="11"/>
  <c r="J133" i="11"/>
  <c r="K133" i="11"/>
  <c r="F134" i="11"/>
  <c r="G134" i="11"/>
  <c r="H134" i="11"/>
  <c r="I134" i="11"/>
  <c r="J134" i="11"/>
  <c r="K134" i="11"/>
  <c r="E137" i="11"/>
  <c r="E133" i="11"/>
  <c r="E134" i="11"/>
  <c r="E135" i="11"/>
  <c r="E136" i="11"/>
  <c r="E132" i="11"/>
  <c r="F128" i="11"/>
  <c r="G128" i="11"/>
  <c r="H128" i="11"/>
  <c r="I128" i="11"/>
  <c r="J128" i="11"/>
  <c r="K128" i="11"/>
  <c r="F129" i="11"/>
  <c r="G129" i="11"/>
  <c r="H129" i="11"/>
  <c r="I129" i="11"/>
  <c r="J129" i="11"/>
  <c r="K129" i="11"/>
  <c r="F130" i="11"/>
  <c r="G130" i="11"/>
  <c r="H130" i="11"/>
  <c r="I130" i="11"/>
  <c r="J130" i="11"/>
  <c r="K130" i="11"/>
  <c r="F131" i="11"/>
  <c r="G131" i="11"/>
  <c r="H131" i="11"/>
  <c r="I131" i="11"/>
  <c r="J131" i="11"/>
  <c r="K131" i="11"/>
  <c r="E129" i="11"/>
  <c r="E130" i="11"/>
  <c r="E131" i="11"/>
  <c r="E128" i="11"/>
  <c r="F126" i="11"/>
  <c r="G126" i="11"/>
  <c r="H126" i="11"/>
  <c r="I126" i="11"/>
  <c r="J126" i="11"/>
  <c r="K126" i="11"/>
  <c r="E127" i="11"/>
  <c r="E126" i="11"/>
  <c r="E125" i="11"/>
  <c r="E124" i="11"/>
  <c r="F123" i="11"/>
  <c r="G123" i="11"/>
  <c r="H123" i="11"/>
  <c r="I123" i="11"/>
  <c r="J123" i="11"/>
  <c r="K123" i="11"/>
  <c r="E123" i="11"/>
  <c r="F120" i="11"/>
  <c r="G120" i="11"/>
  <c r="H120" i="11"/>
  <c r="I120" i="11"/>
  <c r="J120" i="11"/>
  <c r="K120" i="11"/>
  <c r="E121" i="11"/>
  <c r="E120" i="11"/>
  <c r="F112" i="11"/>
  <c r="G112" i="11"/>
  <c r="H112" i="11"/>
  <c r="I112" i="11"/>
  <c r="J112" i="11"/>
  <c r="K112" i="11"/>
  <c r="F113" i="11"/>
  <c r="G113" i="11"/>
  <c r="H113" i="11"/>
  <c r="I113" i="11"/>
  <c r="J113" i="11"/>
  <c r="K113" i="11"/>
  <c r="F114" i="11"/>
  <c r="G114" i="11"/>
  <c r="H114" i="11"/>
  <c r="I114" i="11"/>
  <c r="J114" i="11"/>
  <c r="K114" i="11"/>
  <c r="F116" i="11"/>
  <c r="G116" i="11"/>
  <c r="H116" i="11"/>
  <c r="I116" i="11"/>
  <c r="J116" i="11"/>
  <c r="K116" i="11"/>
  <c r="F117" i="11"/>
  <c r="G117" i="11"/>
  <c r="H117" i="11"/>
  <c r="I117" i="11"/>
  <c r="J117" i="11"/>
  <c r="K117" i="11"/>
  <c r="E113" i="11"/>
  <c r="E114" i="11"/>
  <c r="E115" i="11"/>
  <c r="E116" i="11"/>
  <c r="E117" i="11"/>
  <c r="E118" i="11"/>
  <c r="E112" i="11"/>
  <c r="F106" i="11"/>
  <c r="G106" i="11"/>
  <c r="H106" i="11"/>
  <c r="I106" i="11"/>
  <c r="J106" i="11"/>
  <c r="K106" i="11"/>
  <c r="F107" i="11"/>
  <c r="G107" i="11"/>
  <c r="H107" i="11"/>
  <c r="I107" i="11"/>
  <c r="J107" i="11"/>
  <c r="K107" i="11"/>
  <c r="F108" i="11"/>
  <c r="F109" i="11"/>
  <c r="G109" i="11"/>
  <c r="H109" i="11"/>
  <c r="I109" i="11"/>
  <c r="J109" i="11"/>
  <c r="K109" i="11"/>
  <c r="E107" i="11"/>
  <c r="E108" i="11"/>
  <c r="E109" i="11"/>
  <c r="E110" i="11"/>
  <c r="E106" i="11"/>
  <c r="F101" i="11"/>
  <c r="G101" i="11"/>
  <c r="H101" i="11"/>
  <c r="I101" i="11"/>
  <c r="J101" i="11"/>
  <c r="K101" i="11"/>
  <c r="F102" i="11"/>
  <c r="G102" i="11"/>
  <c r="H102" i="11"/>
  <c r="I102" i="11"/>
  <c r="J102" i="11"/>
  <c r="K102" i="11"/>
  <c r="E102" i="11"/>
  <c r="E103" i="11"/>
  <c r="E104" i="11"/>
  <c r="E101" i="11"/>
  <c r="E100" i="11"/>
  <c r="F95" i="11"/>
  <c r="G95" i="11"/>
  <c r="H95" i="11"/>
  <c r="I95" i="11"/>
  <c r="J95" i="11"/>
  <c r="K95" i="11"/>
  <c r="F96" i="11"/>
  <c r="F97" i="11"/>
  <c r="G97" i="11"/>
  <c r="I97" i="11"/>
  <c r="E98" i="11"/>
  <c r="E93" i="11"/>
  <c r="E94" i="11"/>
  <c r="E95" i="11"/>
  <c r="E96" i="11"/>
  <c r="E97" i="11"/>
  <c r="E92" i="11"/>
  <c r="E90" i="11"/>
  <c r="F87" i="11"/>
  <c r="G87" i="11"/>
  <c r="H87" i="11"/>
  <c r="I87" i="11"/>
  <c r="J87" i="11"/>
  <c r="K87" i="11"/>
  <c r="F88" i="11"/>
  <c r="G88" i="11"/>
  <c r="H88" i="11"/>
  <c r="I88" i="11"/>
  <c r="J88" i="11"/>
  <c r="K88" i="11"/>
  <c r="F89" i="11"/>
  <c r="G89" i="11"/>
  <c r="H89" i="11"/>
  <c r="I89" i="11"/>
  <c r="J89" i="11"/>
  <c r="K89" i="11"/>
  <c r="E89" i="11"/>
  <c r="E88" i="11"/>
  <c r="E87" i="11"/>
  <c r="E86" i="11"/>
  <c r="F85" i="11"/>
  <c r="G85" i="11"/>
  <c r="H85" i="11"/>
  <c r="I85" i="11"/>
  <c r="J85" i="11"/>
  <c r="K85" i="11"/>
  <c r="E85" i="11"/>
  <c r="E84" i="11"/>
  <c r="E81" i="11"/>
  <c r="E80" i="11"/>
  <c r="E78" i="11"/>
  <c r="E77" i="11"/>
  <c r="E68" i="11"/>
  <c r="E75" i="11"/>
  <c r="E70" i="11"/>
  <c r="E67" i="11"/>
  <c r="E66" i="11"/>
  <c r="E64" i="11"/>
  <c r="E62" i="11"/>
  <c r="E61" i="11"/>
  <c r="E60" i="11"/>
  <c r="E58" i="11"/>
  <c r="E57" i="11"/>
  <c r="E56" i="11"/>
  <c r="E51" i="11"/>
  <c r="D41" i="9"/>
  <c r="E19" i="9"/>
  <c r="F19" i="9"/>
  <c r="G19" i="9"/>
  <c r="E37" i="11" s="1"/>
  <c r="D19" i="9"/>
  <c r="E27" i="11"/>
  <c r="E11" i="9"/>
  <c r="F11" i="9"/>
  <c r="G11" i="9"/>
  <c r="E31" i="11" s="1"/>
  <c r="D11" i="9"/>
  <c r="D8" i="9"/>
  <c r="E23" i="11"/>
  <c r="E22" i="11"/>
  <c r="E21" i="11"/>
  <c r="E20" i="11"/>
  <c r="E19" i="11"/>
  <c r="E18" i="11"/>
  <c r="E17" i="11"/>
  <c r="C86" i="10"/>
  <c r="D86" i="10"/>
  <c r="E86" i="10"/>
  <c r="F86" i="10"/>
  <c r="B86" i="10"/>
  <c r="C79" i="10"/>
  <c r="D79" i="10"/>
  <c r="E79" i="10"/>
  <c r="F79" i="10"/>
  <c r="G79" i="10"/>
  <c r="H79" i="10"/>
  <c r="I79" i="10"/>
  <c r="J79" i="10"/>
  <c r="K79" i="10"/>
  <c r="L79" i="10"/>
  <c r="B79" i="10"/>
  <c r="C70" i="10"/>
  <c r="D70" i="10"/>
  <c r="E70" i="10"/>
  <c r="F70" i="10"/>
  <c r="B70" i="10"/>
  <c r="C66" i="10"/>
  <c r="D66" i="10"/>
  <c r="E66" i="10"/>
  <c r="F66" i="10"/>
  <c r="C64" i="10"/>
  <c r="D64" i="10"/>
  <c r="E64" i="10"/>
  <c r="F64" i="10"/>
  <c r="F106" i="10" s="1"/>
  <c r="B64" i="10"/>
  <c r="B60" i="10"/>
  <c r="B105" i="10" s="1"/>
  <c r="C60" i="10"/>
  <c r="C105" i="10" s="1"/>
  <c r="D60" i="10"/>
  <c r="D105" i="10" s="1"/>
  <c r="E60" i="10"/>
  <c r="E105" i="10" s="1"/>
  <c r="F60" i="10"/>
  <c r="F105" i="10" s="1"/>
  <c r="G60" i="10"/>
  <c r="G105" i="10" s="1"/>
  <c r="G109" i="1"/>
  <c r="G110" i="1"/>
  <c r="D111" i="1"/>
  <c r="E111" i="1"/>
  <c r="F111" i="1"/>
  <c r="G111" i="1"/>
  <c r="D109" i="1"/>
  <c r="E109" i="1"/>
  <c r="F109" i="1"/>
  <c r="C111" i="1"/>
  <c r="K97" i="11"/>
  <c r="D110" i="1"/>
  <c r="E110" i="1"/>
  <c r="F110" i="1"/>
  <c r="C110" i="1"/>
  <c r="C109" i="1"/>
  <c r="C57" i="10"/>
  <c r="C104" i="10" s="1"/>
  <c r="D57" i="10"/>
  <c r="D104" i="10" s="1"/>
  <c r="E57" i="10"/>
  <c r="E104" i="10" s="1"/>
  <c r="F57" i="10"/>
  <c r="F104" i="10" s="1"/>
  <c r="G57" i="10"/>
  <c r="G104" i="10" s="1"/>
  <c r="H57" i="10"/>
  <c r="H104" i="10" s="1"/>
  <c r="I57" i="10"/>
  <c r="I104" i="10" s="1"/>
  <c r="J57" i="10"/>
  <c r="J104" i="10" s="1"/>
  <c r="K57" i="10"/>
  <c r="K104" i="10" s="1"/>
  <c r="L57" i="10"/>
  <c r="L104" i="10" s="1"/>
  <c r="B57" i="10"/>
  <c r="B104" i="10" s="1"/>
  <c r="C49" i="10"/>
  <c r="D49" i="10"/>
  <c r="E49" i="10"/>
  <c r="F49" i="10"/>
  <c r="G49" i="10"/>
  <c r="H49" i="10"/>
  <c r="I49" i="10"/>
  <c r="J49" i="10"/>
  <c r="K49" i="10"/>
  <c r="L49" i="10"/>
  <c r="B49" i="10"/>
  <c r="C36" i="10"/>
  <c r="C40" i="10" s="1"/>
  <c r="D36" i="10"/>
  <c r="D40" i="10" s="1"/>
  <c r="E36" i="10"/>
  <c r="E40" i="10" s="1"/>
  <c r="F36" i="10"/>
  <c r="F40" i="10" s="1"/>
  <c r="B36" i="10"/>
  <c r="B40" i="10" s="1"/>
  <c r="B41" i="10" s="1"/>
  <c r="C38" i="10" s="1"/>
  <c r="C29" i="10"/>
  <c r="C32" i="10" s="1"/>
  <c r="C103" i="10" s="1"/>
  <c r="D29" i="10"/>
  <c r="D32" i="10" s="1"/>
  <c r="D103" i="10" s="1"/>
  <c r="E29" i="10"/>
  <c r="E32" i="10" s="1"/>
  <c r="E103" i="10" s="1"/>
  <c r="F29" i="10"/>
  <c r="F32" i="10" s="1"/>
  <c r="F103" i="10" s="1"/>
  <c r="B29" i="10"/>
  <c r="B32" i="10" s="1"/>
  <c r="B103" i="10" s="1"/>
  <c r="C22" i="10"/>
  <c r="C102" i="10" s="1"/>
  <c r="D22" i="10"/>
  <c r="D25" i="10" s="1"/>
  <c r="D102" i="10" s="1"/>
  <c r="E22" i="10"/>
  <c r="E25" i="10" s="1"/>
  <c r="E102" i="10" s="1"/>
  <c r="F22" i="10"/>
  <c r="F25" i="10" s="1"/>
  <c r="F102" i="10" s="1"/>
  <c r="B22" i="10"/>
  <c r="B25" i="10" s="1"/>
  <c r="B102" i="10" s="1"/>
  <c r="C15" i="10"/>
  <c r="C18" i="10" s="1"/>
  <c r="C101" i="10" s="1"/>
  <c r="D15" i="10"/>
  <c r="D18" i="10" s="1"/>
  <c r="D101" i="10" s="1"/>
  <c r="E15" i="10"/>
  <c r="E18" i="10" s="1"/>
  <c r="E101" i="10" s="1"/>
  <c r="F15" i="10"/>
  <c r="F18" i="10" s="1"/>
  <c r="F101" i="10" s="1"/>
  <c r="B15" i="10"/>
  <c r="B18" i="10" s="1"/>
  <c r="B101" i="10" s="1"/>
  <c r="C9" i="10"/>
  <c r="D9" i="10"/>
  <c r="E9" i="10"/>
  <c r="F9" i="10"/>
  <c r="B9" i="10"/>
  <c r="C6" i="10"/>
  <c r="C5" i="10" s="1"/>
  <c r="D6" i="10"/>
  <c r="D5" i="10" s="1"/>
  <c r="E6" i="10"/>
  <c r="E5" i="10" s="1"/>
  <c r="F6" i="10"/>
  <c r="F5" i="10" s="1"/>
  <c r="B6" i="10"/>
  <c r="B5" i="10" s="1"/>
  <c r="C4" i="10"/>
  <c r="D4" i="10"/>
  <c r="E4" i="10"/>
  <c r="F4" i="10"/>
  <c r="B4" i="10"/>
  <c r="A105" i="10"/>
  <c r="A103" i="10"/>
  <c r="A102" i="10"/>
  <c r="A101" i="10"/>
  <c r="K5" i="11"/>
  <c r="I5" i="11"/>
  <c r="G5" i="11"/>
  <c r="E5" i="11"/>
  <c r="A5" i="11"/>
  <c r="C10" i="11" s="1"/>
  <c r="C6" i="11"/>
  <c r="A6" i="11"/>
  <c r="D53" i="9"/>
  <c r="E53" i="9"/>
  <c r="F53" i="9"/>
  <c r="G53" i="9"/>
  <c r="C53" i="9"/>
  <c r="D52" i="9"/>
  <c r="E52" i="9"/>
  <c r="F52" i="9"/>
  <c r="G52" i="9"/>
  <c r="E45" i="11" s="1"/>
  <c r="C52" i="9"/>
  <c r="D51" i="9"/>
  <c r="E51" i="9"/>
  <c r="F51" i="9"/>
  <c r="G51" i="9"/>
  <c r="C51" i="9"/>
  <c r="D50" i="9"/>
  <c r="E50" i="9"/>
  <c r="F50" i="9"/>
  <c r="G50" i="9"/>
  <c r="C50" i="9"/>
  <c r="D46" i="9"/>
  <c r="E46" i="9"/>
  <c r="F46" i="9"/>
  <c r="G46" i="9"/>
  <c r="E46" i="11" s="1"/>
  <c r="C46" i="9"/>
  <c r="D45" i="9"/>
  <c r="E45" i="9"/>
  <c r="F45" i="9"/>
  <c r="G45" i="9"/>
  <c r="C45" i="9"/>
  <c r="D44" i="9"/>
  <c r="E44" i="9"/>
  <c r="F44" i="9"/>
  <c r="G44" i="9"/>
  <c r="C44" i="9"/>
  <c r="D43" i="9"/>
  <c r="E43" i="9"/>
  <c r="F43" i="9"/>
  <c r="G43" i="9"/>
  <c r="C43" i="9"/>
  <c r="D42" i="9"/>
  <c r="E42" i="9"/>
  <c r="F42" i="9"/>
  <c r="G42" i="9"/>
  <c r="C42" i="9"/>
  <c r="E41" i="9"/>
  <c r="F41" i="9"/>
  <c r="G41" i="9"/>
  <c r="C41" i="9"/>
  <c r="D40" i="9"/>
  <c r="E40" i="9"/>
  <c r="F40" i="9"/>
  <c r="G40" i="9"/>
  <c r="E44" i="11" s="1"/>
  <c r="C40" i="9"/>
  <c r="C39" i="9"/>
  <c r="D39" i="9"/>
  <c r="E39" i="9"/>
  <c r="F39" i="9"/>
  <c r="G39" i="9"/>
  <c r="C38" i="9"/>
  <c r="D38" i="9"/>
  <c r="E38" i="9"/>
  <c r="F38" i="9"/>
  <c r="G38" i="9"/>
  <c r="E43" i="11" s="1"/>
  <c r="D158" i="1"/>
  <c r="E158" i="1"/>
  <c r="F158" i="1"/>
  <c r="G158" i="1"/>
  <c r="C158" i="1"/>
  <c r="D35" i="9"/>
  <c r="E35" i="9"/>
  <c r="F35" i="9"/>
  <c r="G35" i="9"/>
  <c r="C35" i="9"/>
  <c r="D34" i="9"/>
  <c r="E34" i="9"/>
  <c r="F34" i="9"/>
  <c r="G34" i="9"/>
  <c r="C34" i="9"/>
  <c r="D33" i="9"/>
  <c r="E33" i="9"/>
  <c r="F33" i="9"/>
  <c r="G33" i="9"/>
  <c r="C33" i="9"/>
  <c r="E28" i="9"/>
  <c r="F28" i="9"/>
  <c r="G28" i="9"/>
  <c r="D28" i="9"/>
  <c r="D26" i="9"/>
  <c r="E27" i="9"/>
  <c r="F27" i="9"/>
  <c r="G27" i="9"/>
  <c r="H27" i="9"/>
  <c r="I27" i="9"/>
  <c r="J27" i="9"/>
  <c r="K27" i="9"/>
  <c r="L27" i="9"/>
  <c r="M27" i="9"/>
  <c r="D27" i="9"/>
  <c r="E26" i="9"/>
  <c r="F26" i="9"/>
  <c r="G26" i="9"/>
  <c r="E22" i="9"/>
  <c r="F22" i="9"/>
  <c r="G22" i="9"/>
  <c r="E38" i="11" s="1"/>
  <c r="D22" i="9"/>
  <c r="D21" i="9"/>
  <c r="E21" i="9"/>
  <c r="F21" i="9"/>
  <c r="G21" i="9"/>
  <c r="C21" i="9"/>
  <c r="C19" i="9"/>
  <c r="D18" i="9"/>
  <c r="E18" i="9"/>
  <c r="F18" i="9"/>
  <c r="G18" i="9"/>
  <c r="C18" i="9"/>
  <c r="D17" i="9"/>
  <c r="E17" i="9"/>
  <c r="F17" i="9"/>
  <c r="G17" i="9"/>
  <c r="C17" i="9"/>
  <c r="D16" i="9"/>
  <c r="E16" i="9"/>
  <c r="F16" i="9"/>
  <c r="G16" i="9"/>
  <c r="E36" i="11" s="1"/>
  <c r="C16" i="9"/>
  <c r="D15" i="9"/>
  <c r="E15" i="9"/>
  <c r="F15" i="9"/>
  <c r="G15" i="9"/>
  <c r="E35" i="11" s="1"/>
  <c r="C15" i="9"/>
  <c r="D14" i="9"/>
  <c r="E14" i="9"/>
  <c r="F14" i="9"/>
  <c r="G14" i="9"/>
  <c r="E34" i="11" s="1"/>
  <c r="C14" i="9"/>
  <c r="E8" i="9"/>
  <c r="F8" i="9"/>
  <c r="G8" i="9"/>
  <c r="E30" i="11" s="1"/>
  <c r="E7" i="9"/>
  <c r="F7" i="9"/>
  <c r="G7" i="9"/>
  <c r="D7" i="9"/>
  <c r="E6" i="9"/>
  <c r="F6" i="9"/>
  <c r="G6" i="9"/>
  <c r="E29" i="11" s="1"/>
  <c r="D6" i="9"/>
  <c r="E5" i="9"/>
  <c r="F5" i="9"/>
  <c r="G5" i="9"/>
  <c r="E28" i="11" s="1"/>
  <c r="D5" i="9"/>
  <c r="E4" i="9"/>
  <c r="F4" i="9"/>
  <c r="G4" i="9"/>
  <c r="E26" i="11" s="1"/>
  <c r="D4" i="9"/>
  <c r="C48" i="1"/>
  <c r="H10" i="7"/>
  <c r="F29" i="9" l="1"/>
  <c r="D29" i="9"/>
  <c r="E29" i="9"/>
  <c r="G29" i="9"/>
  <c r="H97" i="11"/>
  <c r="J97" i="11"/>
  <c r="E106" i="10"/>
  <c r="C106" i="10"/>
  <c r="D106" i="10"/>
  <c r="H4" i="1"/>
  <c r="H5" i="1" s="1"/>
  <c r="J9" i="11" s="1"/>
  <c r="I49" i="1"/>
  <c r="F77" i="11"/>
  <c r="C10" i="10"/>
  <c r="C100" i="10" s="1"/>
  <c r="B71" i="10"/>
  <c r="B107" i="10" s="1"/>
  <c r="C39" i="10"/>
  <c r="F10" i="10"/>
  <c r="F100" i="10" s="1"/>
  <c r="B10" i="10"/>
  <c r="E10" i="10"/>
  <c r="E100" i="10" s="1"/>
  <c r="D10" i="10"/>
  <c r="D100" i="10" s="1"/>
  <c r="H49" i="1"/>
  <c r="C34" i="8"/>
  <c r="C43" i="8"/>
  <c r="C36" i="8" l="1"/>
  <c r="G77" i="11"/>
  <c r="B108" i="10"/>
  <c r="B100" i="10"/>
  <c r="B72" i="10"/>
  <c r="B78" i="10"/>
  <c r="B84" i="10" s="1"/>
  <c r="C41" i="10"/>
  <c r="D38" i="10" s="1"/>
  <c r="D39" i="10" s="1"/>
  <c r="C67" i="10"/>
  <c r="C71" i="10" s="1"/>
  <c r="C107" i="10" s="1"/>
  <c r="C35" i="8"/>
  <c r="G7" i="11" s="1"/>
  <c r="C40" i="8"/>
  <c r="G47" i="10" l="1"/>
  <c r="G48" i="10" s="1"/>
  <c r="G8" i="11"/>
  <c r="H77" i="11"/>
  <c r="J49" i="1"/>
  <c r="D41" i="10"/>
  <c r="E38" i="10" s="1"/>
  <c r="E39" i="10" s="1"/>
  <c r="D67" i="10"/>
  <c r="D71" i="10" s="1"/>
  <c r="D107" i="10" s="1"/>
  <c r="C108" i="10"/>
  <c r="C78" i="10"/>
  <c r="C84" i="10" s="1"/>
  <c r="C72" i="10"/>
  <c r="C39" i="8"/>
  <c r="C41" i="8" s="1"/>
  <c r="C45" i="8"/>
  <c r="C94" i="10" l="1"/>
  <c r="C95" i="10"/>
  <c r="D50" i="7" s="1"/>
  <c r="E90" i="10"/>
  <c r="I90" i="10"/>
  <c r="B90" i="10"/>
  <c r="D90" i="10"/>
  <c r="L90" i="10"/>
  <c r="F90" i="10"/>
  <c r="J90" i="10"/>
  <c r="G9" i="11"/>
  <c r="H90" i="10"/>
  <c r="C90" i="10"/>
  <c r="C98" i="10" s="1"/>
  <c r="G90" i="10"/>
  <c r="K90" i="10"/>
  <c r="I77" i="11"/>
  <c r="K49" i="1"/>
  <c r="E41" i="10"/>
  <c r="F38" i="10" s="1"/>
  <c r="F39" i="10" s="1"/>
  <c r="E67" i="10"/>
  <c r="E71" i="10" s="1"/>
  <c r="E107" i="10" s="1"/>
  <c r="D78" i="10"/>
  <c r="D84" i="10" s="1"/>
  <c r="D72" i="10"/>
  <c r="D108" i="10"/>
  <c r="C96" i="10"/>
  <c r="D52" i="7" s="1"/>
  <c r="C92" i="10"/>
  <c r="D51" i="7" s="1"/>
  <c r="C93" i="10"/>
  <c r="F110" i="8"/>
  <c r="D110" i="8"/>
  <c r="F109" i="8"/>
  <c r="D109" i="8"/>
  <c r="F108" i="8"/>
  <c r="D108" i="8"/>
  <c r="F107" i="8"/>
  <c r="D107" i="8"/>
  <c r="F106" i="8"/>
  <c r="D106" i="8"/>
  <c r="F105" i="8"/>
  <c r="D105" i="8"/>
  <c r="F104" i="8"/>
  <c r="D104" i="8"/>
  <c r="F103" i="8"/>
  <c r="D103" i="8"/>
  <c r="F102" i="8"/>
  <c r="D102" i="8"/>
  <c r="F101" i="8"/>
  <c r="D101" i="8"/>
  <c r="F100" i="8"/>
  <c r="D100" i="8"/>
  <c r="F99" i="8"/>
  <c r="D99" i="8"/>
  <c r="F98" i="8"/>
  <c r="D98" i="8"/>
  <c r="F97" i="8"/>
  <c r="D97" i="8"/>
  <c r="F96" i="8"/>
  <c r="D96" i="8"/>
  <c r="F95" i="8"/>
  <c r="D95" i="8"/>
  <c r="F94" i="8"/>
  <c r="D94" i="8"/>
  <c r="F93" i="8"/>
  <c r="D93" i="8"/>
  <c r="F92" i="8"/>
  <c r="D92" i="8"/>
  <c r="F91" i="8"/>
  <c r="D91" i="8"/>
  <c r="F90" i="8"/>
  <c r="D90" i="8"/>
  <c r="F89" i="8"/>
  <c r="D89" i="8"/>
  <c r="F88" i="8"/>
  <c r="D88" i="8"/>
  <c r="F87" i="8"/>
  <c r="D87" i="8"/>
  <c r="F86" i="8"/>
  <c r="D86" i="8"/>
  <c r="F85" i="8"/>
  <c r="D85" i="8"/>
  <c r="F84" i="8"/>
  <c r="D84" i="8"/>
  <c r="F83" i="8"/>
  <c r="D83" i="8"/>
  <c r="F82" i="8"/>
  <c r="D82" i="8"/>
  <c r="F81" i="8"/>
  <c r="D81" i="8"/>
  <c r="F80" i="8"/>
  <c r="D80" i="8"/>
  <c r="F79" i="8"/>
  <c r="D79" i="8"/>
  <c r="F78" i="8"/>
  <c r="D78" i="8"/>
  <c r="F77" i="8"/>
  <c r="D77" i="8"/>
  <c r="F76" i="8"/>
  <c r="D76" i="8"/>
  <c r="F75" i="8"/>
  <c r="D75" i="8"/>
  <c r="F74" i="8"/>
  <c r="D74" i="8"/>
  <c r="F73" i="8"/>
  <c r="D73" i="8"/>
  <c r="F72" i="8"/>
  <c r="D72" i="8"/>
  <c r="F71" i="8"/>
  <c r="D71" i="8"/>
  <c r="F70" i="8"/>
  <c r="D70" i="8"/>
  <c r="F69" i="8"/>
  <c r="D69" i="8"/>
  <c r="F68" i="8"/>
  <c r="D68" i="8"/>
  <c r="F67" i="8"/>
  <c r="D67" i="8"/>
  <c r="F66" i="8"/>
  <c r="D66" i="8"/>
  <c r="F65" i="8"/>
  <c r="D65" i="8"/>
  <c r="F64" i="8"/>
  <c r="D64" i="8"/>
  <c r="F63" i="8"/>
  <c r="D63" i="8"/>
  <c r="F62" i="8"/>
  <c r="D62" i="8"/>
  <c r="F61" i="8"/>
  <c r="D61" i="8"/>
  <c r="F60" i="8"/>
  <c r="D60" i="8"/>
  <c r="F59" i="8"/>
  <c r="D59" i="8"/>
  <c r="F58" i="8"/>
  <c r="D58" i="8"/>
  <c r="F57" i="8"/>
  <c r="D57" i="8"/>
  <c r="F56" i="8"/>
  <c r="D56" i="8"/>
  <c r="F55" i="8"/>
  <c r="D55" i="8"/>
  <c r="F54" i="8"/>
  <c r="D54" i="8"/>
  <c r="F53" i="8"/>
  <c r="D53" i="8"/>
  <c r="F52" i="8"/>
  <c r="D52" i="8"/>
  <c r="F51" i="8"/>
  <c r="D51" i="8"/>
  <c r="D94" i="10" l="1"/>
  <c r="J77" i="11"/>
  <c r="L49" i="1"/>
  <c r="D98" i="10"/>
  <c r="F41" i="10"/>
  <c r="F108" i="10" s="1"/>
  <c r="F67" i="10"/>
  <c r="F71" i="10" s="1"/>
  <c r="F107" i="10" s="1"/>
  <c r="E108" i="10"/>
  <c r="E72" i="10"/>
  <c r="E78" i="10"/>
  <c r="E84" i="10" s="1"/>
  <c r="D96" i="10"/>
  <c r="E52" i="7" s="1"/>
  <c r="D93" i="10"/>
  <c r="D92" i="10"/>
  <c r="E51" i="7" s="1"/>
  <c r="D95" i="10"/>
  <c r="E50" i="7" s="1"/>
  <c r="F111" i="8"/>
  <c r="D111" i="8"/>
  <c r="H131" i="1"/>
  <c r="H130" i="1"/>
  <c r="H128" i="1"/>
  <c r="H120" i="1"/>
  <c r="H102" i="1"/>
  <c r="H117" i="1"/>
  <c r="F103" i="11" s="1"/>
  <c r="I128" i="1"/>
  <c r="J128" i="1" s="1"/>
  <c r="K128" i="1" s="1"/>
  <c r="L128" i="1" s="1"/>
  <c r="M128" i="1" s="1"/>
  <c r="C97" i="1"/>
  <c r="D42" i="7"/>
  <c r="E42" i="7"/>
  <c r="F42" i="7"/>
  <c r="G42" i="7"/>
  <c r="H42" i="7"/>
  <c r="I42" i="7"/>
  <c r="J42" i="7"/>
  <c r="K42" i="7"/>
  <c r="L42" i="7"/>
  <c r="M42" i="7"/>
  <c r="C42" i="7"/>
  <c r="C41" i="7"/>
  <c r="D40" i="7"/>
  <c r="E40" i="7"/>
  <c r="F40" i="7"/>
  <c r="G40" i="7"/>
  <c r="C40" i="7"/>
  <c r="D39" i="7"/>
  <c r="E39" i="7"/>
  <c r="F39" i="7"/>
  <c r="G39" i="7"/>
  <c r="C39" i="7"/>
  <c r="D38" i="7"/>
  <c r="E38" i="7"/>
  <c r="F38" i="7"/>
  <c r="G38" i="7"/>
  <c r="C38" i="7"/>
  <c r="G149" i="1"/>
  <c r="M32" i="7"/>
  <c r="D32" i="7"/>
  <c r="E32" i="7"/>
  <c r="F32" i="7"/>
  <c r="G32" i="7"/>
  <c r="H32" i="7"/>
  <c r="I32" i="7"/>
  <c r="J32" i="7"/>
  <c r="K32" i="7"/>
  <c r="L32" i="7"/>
  <c r="C32" i="7"/>
  <c r="D31" i="7"/>
  <c r="E31" i="7"/>
  <c r="F31" i="7"/>
  <c r="G31" i="7"/>
  <c r="C31" i="7"/>
  <c r="D30" i="7"/>
  <c r="E30" i="7"/>
  <c r="F30" i="7"/>
  <c r="G30" i="7"/>
  <c r="C30" i="7"/>
  <c r="D27" i="7"/>
  <c r="E27" i="7"/>
  <c r="F27" i="7"/>
  <c r="G27" i="7"/>
  <c r="C27" i="7"/>
  <c r="D26" i="7"/>
  <c r="E26" i="7"/>
  <c r="F26" i="7"/>
  <c r="G26" i="7"/>
  <c r="H26" i="7"/>
  <c r="I26" i="7"/>
  <c r="J26" i="7"/>
  <c r="K26" i="7"/>
  <c r="L26" i="7"/>
  <c r="M26" i="7"/>
  <c r="C26" i="7"/>
  <c r="D25" i="7"/>
  <c r="E25" i="7"/>
  <c r="F25" i="7"/>
  <c r="G25" i="7"/>
  <c r="H25" i="7"/>
  <c r="I25" i="7"/>
  <c r="J25" i="7"/>
  <c r="K25" i="7"/>
  <c r="L25" i="7"/>
  <c r="M25" i="7"/>
  <c r="C25" i="7"/>
  <c r="D24" i="7"/>
  <c r="E24" i="7"/>
  <c r="F24" i="7"/>
  <c r="G24" i="7"/>
  <c r="C24" i="7"/>
  <c r="B33" i="7"/>
  <c r="B29" i="7"/>
  <c r="B28" i="7"/>
  <c r="B27" i="7"/>
  <c r="B26" i="7"/>
  <c r="B25" i="7"/>
  <c r="C195" i="1"/>
  <c r="E194" i="1"/>
  <c r="F194" i="1"/>
  <c r="G194" i="1"/>
  <c r="D194" i="1"/>
  <c r="C192" i="1"/>
  <c r="C188" i="1"/>
  <c r="H190" i="1"/>
  <c r="I190" i="1"/>
  <c r="J190" i="1"/>
  <c r="K190" i="1"/>
  <c r="L190" i="1"/>
  <c r="M190" i="1"/>
  <c r="E190" i="1"/>
  <c r="F190" i="1"/>
  <c r="G190" i="1"/>
  <c r="D190" i="1"/>
  <c r="D186" i="1"/>
  <c r="E186" i="1"/>
  <c r="F186" i="1"/>
  <c r="G186" i="1"/>
  <c r="I185" i="1"/>
  <c r="J185" i="1"/>
  <c r="K185" i="1"/>
  <c r="L185" i="1"/>
  <c r="M185" i="1"/>
  <c r="D185" i="1"/>
  <c r="E185" i="1"/>
  <c r="F185" i="1"/>
  <c r="G185" i="1"/>
  <c r="H185" i="1"/>
  <c r="K181" i="1"/>
  <c r="L181" i="1" s="1"/>
  <c r="M181" i="1" s="1"/>
  <c r="J181" i="1"/>
  <c r="H181" i="1"/>
  <c r="C180" i="1"/>
  <c r="E180" i="1"/>
  <c r="E188" i="1" s="1"/>
  <c r="F180" i="1"/>
  <c r="F188" i="1" s="1"/>
  <c r="G180" i="1"/>
  <c r="D180" i="1"/>
  <c r="D188" i="1" s="1"/>
  <c r="C178" i="1"/>
  <c r="C176" i="1"/>
  <c r="C175" i="1"/>
  <c r="G175" i="1"/>
  <c r="H166" i="1"/>
  <c r="H107" i="1" s="1"/>
  <c r="I166" i="1"/>
  <c r="J166" i="1"/>
  <c r="K166" i="1"/>
  <c r="K171" i="1" s="1"/>
  <c r="L166" i="1"/>
  <c r="L171" i="1" s="1"/>
  <c r="M166" i="1"/>
  <c r="M171" i="1" s="1"/>
  <c r="H167" i="1"/>
  <c r="I167" i="1"/>
  <c r="J167" i="1"/>
  <c r="K167" i="1"/>
  <c r="K172" i="1" s="1"/>
  <c r="L167" i="1"/>
  <c r="L172" i="1" s="1"/>
  <c r="M167" i="1"/>
  <c r="M172" i="1" s="1"/>
  <c r="H168" i="1"/>
  <c r="H106" i="1" s="1"/>
  <c r="I168" i="1"/>
  <c r="J168" i="1"/>
  <c r="K168" i="1"/>
  <c r="K173" i="1" s="1"/>
  <c r="L168" i="1"/>
  <c r="L173" i="1" s="1"/>
  <c r="M168" i="1"/>
  <c r="M173" i="1" s="1"/>
  <c r="H161" i="1"/>
  <c r="I161" i="1"/>
  <c r="J161" i="1"/>
  <c r="K161" i="1"/>
  <c r="L161" i="1"/>
  <c r="M161" i="1"/>
  <c r="F161" i="1"/>
  <c r="D160" i="1"/>
  <c r="D161" i="1" s="1"/>
  <c r="E160" i="1"/>
  <c r="E161" i="1" s="1"/>
  <c r="F160" i="1"/>
  <c r="G160" i="1"/>
  <c r="G161" i="1" s="1"/>
  <c r="C160" i="1"/>
  <c r="C161" i="1" s="1"/>
  <c r="I145" i="1"/>
  <c r="J145" i="1"/>
  <c r="K145" i="1"/>
  <c r="L145" i="1"/>
  <c r="M145" i="1"/>
  <c r="H145" i="1"/>
  <c r="D144" i="1"/>
  <c r="E144" i="1"/>
  <c r="E145" i="1" s="1"/>
  <c r="F144" i="1"/>
  <c r="G144" i="1"/>
  <c r="C144" i="1"/>
  <c r="D148" i="1"/>
  <c r="E148" i="1"/>
  <c r="F148" i="1"/>
  <c r="G148" i="1"/>
  <c r="C148" i="1"/>
  <c r="D149" i="1"/>
  <c r="E149" i="1"/>
  <c r="F149" i="1"/>
  <c r="C149" i="1"/>
  <c r="C145" i="1"/>
  <c r="D155" i="1"/>
  <c r="E155" i="1"/>
  <c r="F155" i="1"/>
  <c r="G155" i="1"/>
  <c r="C155" i="1"/>
  <c r="D154" i="1"/>
  <c r="E154" i="1"/>
  <c r="F154" i="1"/>
  <c r="G154" i="1"/>
  <c r="C154" i="1"/>
  <c r="D153" i="1"/>
  <c r="E153" i="1"/>
  <c r="F153" i="1"/>
  <c r="G153" i="1"/>
  <c r="C153" i="1"/>
  <c r="D151" i="1"/>
  <c r="E151" i="1"/>
  <c r="F151" i="1"/>
  <c r="G151" i="1"/>
  <c r="C151" i="1"/>
  <c r="D145" i="1"/>
  <c r="F143" i="1"/>
  <c r="G143" i="1"/>
  <c r="E143" i="1"/>
  <c r="G140" i="1"/>
  <c r="G141" i="1" s="1"/>
  <c r="F140" i="1"/>
  <c r="F141" i="1" s="1"/>
  <c r="E140" i="1"/>
  <c r="E141" i="1" s="1"/>
  <c r="C140" i="1"/>
  <c r="C141" i="1" s="1"/>
  <c r="D140" i="1"/>
  <c r="D141" i="1" s="1"/>
  <c r="D138" i="1"/>
  <c r="E138" i="1"/>
  <c r="F138" i="1"/>
  <c r="G138" i="1"/>
  <c r="C138" i="1"/>
  <c r="I131" i="1"/>
  <c r="J131" i="1" s="1"/>
  <c r="K131" i="1" s="1"/>
  <c r="L131" i="1" s="1"/>
  <c r="M131" i="1" s="1"/>
  <c r="D129" i="1"/>
  <c r="E129" i="1"/>
  <c r="F129" i="1"/>
  <c r="G129" i="1"/>
  <c r="C129" i="1"/>
  <c r="D131" i="1"/>
  <c r="E131" i="1"/>
  <c r="F131" i="1"/>
  <c r="G131" i="1"/>
  <c r="C131" i="1"/>
  <c r="D128" i="1"/>
  <c r="E128" i="1"/>
  <c r="E132" i="1" s="1"/>
  <c r="E134" i="1" s="1"/>
  <c r="F128" i="1"/>
  <c r="G128" i="1"/>
  <c r="D130" i="1"/>
  <c r="E130" i="1"/>
  <c r="F130" i="1"/>
  <c r="G130" i="1"/>
  <c r="I130" i="1" s="1"/>
  <c r="J130" i="1" s="1"/>
  <c r="K130" i="1" s="1"/>
  <c r="L130" i="1" s="1"/>
  <c r="M130" i="1" s="1"/>
  <c r="C130" i="1"/>
  <c r="C128" i="1"/>
  <c r="C132" i="1" s="1"/>
  <c r="C134" i="1" s="1"/>
  <c r="D122" i="1"/>
  <c r="E122" i="1"/>
  <c r="F122" i="1"/>
  <c r="G122" i="1"/>
  <c r="C122" i="1"/>
  <c r="D121" i="1"/>
  <c r="E121" i="1"/>
  <c r="F121" i="1"/>
  <c r="G121" i="1"/>
  <c r="C121" i="1"/>
  <c r="D120" i="1"/>
  <c r="E120" i="1"/>
  <c r="F120" i="1"/>
  <c r="G120" i="1"/>
  <c r="I120" i="1" s="1"/>
  <c r="J120" i="1" s="1"/>
  <c r="C120" i="1"/>
  <c r="F116" i="1"/>
  <c r="G116" i="1"/>
  <c r="D113" i="1"/>
  <c r="E113" i="1"/>
  <c r="E118" i="1" s="1"/>
  <c r="E124" i="1" s="1"/>
  <c r="E135" i="1" s="1"/>
  <c r="F113" i="1"/>
  <c r="F114" i="1" s="1"/>
  <c r="G113" i="1"/>
  <c r="C113" i="1"/>
  <c r="D117" i="1"/>
  <c r="E117" i="1"/>
  <c r="F117" i="1"/>
  <c r="G117" i="1"/>
  <c r="I117" i="1" s="1"/>
  <c r="C117" i="1"/>
  <c r="C118" i="1" s="1"/>
  <c r="C124" i="1" s="1"/>
  <c r="D118" i="1"/>
  <c r="D114" i="1"/>
  <c r="E114" i="1"/>
  <c r="G114" i="1"/>
  <c r="C114" i="1"/>
  <c r="H116" i="1"/>
  <c r="I116" i="1"/>
  <c r="J116" i="1"/>
  <c r="K116" i="1"/>
  <c r="L116" i="1"/>
  <c r="M116" i="1"/>
  <c r="E176" i="1"/>
  <c r="E41" i="7" s="1"/>
  <c r="F176" i="1"/>
  <c r="F41" i="7" s="1"/>
  <c r="G176" i="1"/>
  <c r="G178" i="1" s="1"/>
  <c r="D176" i="1"/>
  <c r="D41" i="7" s="1"/>
  <c r="D105" i="1"/>
  <c r="E105" i="1"/>
  <c r="F105" i="1"/>
  <c r="G105" i="1"/>
  <c r="C105" i="1"/>
  <c r="C107" i="1"/>
  <c r="G106" i="1"/>
  <c r="D107" i="1"/>
  <c r="E107" i="1"/>
  <c r="F107" i="1"/>
  <c r="G107" i="1"/>
  <c r="D106" i="1"/>
  <c r="E106" i="1"/>
  <c r="F106" i="1"/>
  <c r="C106" i="1"/>
  <c r="C102" i="1"/>
  <c r="D102" i="1"/>
  <c r="E102" i="1"/>
  <c r="F102" i="1"/>
  <c r="G102" i="1"/>
  <c r="D96" i="1"/>
  <c r="D103" i="1" s="1"/>
  <c r="E96" i="1"/>
  <c r="F175" i="1" s="1"/>
  <c r="F96" i="1"/>
  <c r="G96" i="1"/>
  <c r="C96" i="1"/>
  <c r="C103" i="1" s="1"/>
  <c r="D97" i="1"/>
  <c r="E97" i="1"/>
  <c r="E98" i="1" s="1"/>
  <c r="F97" i="1"/>
  <c r="F98" i="1" s="1"/>
  <c r="G97" i="1"/>
  <c r="D98" i="1"/>
  <c r="C98" i="1"/>
  <c r="H96" i="1"/>
  <c r="I96" i="1" s="1"/>
  <c r="J96" i="1" s="1"/>
  <c r="K96" i="1" s="1"/>
  <c r="L96" i="1" s="1"/>
  <c r="M96" i="1" s="1"/>
  <c r="I141" i="1"/>
  <c r="C76" i="1"/>
  <c r="D76" i="1"/>
  <c r="E76" i="1"/>
  <c r="F76" i="1"/>
  <c r="G76" i="1"/>
  <c r="H28" i="1"/>
  <c r="F67" i="11" s="1"/>
  <c r="G108" i="11" l="1"/>
  <c r="E94" i="10"/>
  <c r="F93" i="11"/>
  <c r="G29" i="10"/>
  <c r="G32" i="10" s="1"/>
  <c r="G103" i="10" s="1"/>
  <c r="I107" i="1"/>
  <c r="F94" i="11"/>
  <c r="G22" i="10"/>
  <c r="G25" i="10" s="1"/>
  <c r="G102" i="10" s="1"/>
  <c r="J117" i="1"/>
  <c r="J155" i="1" s="1"/>
  <c r="H136" i="11" s="1"/>
  <c r="G103" i="11"/>
  <c r="K77" i="11"/>
  <c r="M49" i="1"/>
  <c r="E98" i="10"/>
  <c r="E96" i="10"/>
  <c r="F52" i="7" s="1"/>
  <c r="E93" i="10"/>
  <c r="E92" i="10"/>
  <c r="F51" i="7" s="1"/>
  <c r="E95" i="10"/>
  <c r="F50" i="7" s="1"/>
  <c r="G38" i="10"/>
  <c r="G39" i="10" s="1"/>
  <c r="F72" i="10"/>
  <c r="F78" i="10"/>
  <c r="F84" i="10" s="1"/>
  <c r="D47" i="9"/>
  <c r="F178" i="1"/>
  <c r="G41" i="7"/>
  <c r="G44" i="7" s="1"/>
  <c r="E178" i="1"/>
  <c r="E192" i="1" s="1"/>
  <c r="E195" i="1" s="1"/>
  <c r="F192" i="1"/>
  <c r="F195" i="1" s="1"/>
  <c r="D178" i="1"/>
  <c r="D192" i="1"/>
  <c r="D195" i="1" s="1"/>
  <c r="G188" i="1"/>
  <c r="G182" i="1"/>
  <c r="J107" i="1"/>
  <c r="I106" i="1"/>
  <c r="D44" i="7"/>
  <c r="F44" i="7"/>
  <c r="F29" i="7"/>
  <c r="F35" i="7" s="1"/>
  <c r="D29" i="7"/>
  <c r="D35" i="7" s="1"/>
  <c r="C44" i="7"/>
  <c r="E44" i="7"/>
  <c r="G29" i="7"/>
  <c r="G35" i="7" s="1"/>
  <c r="C29" i="7"/>
  <c r="C35" i="7" s="1"/>
  <c r="I155" i="1"/>
  <c r="G136" i="11" s="1"/>
  <c r="E29" i="7"/>
  <c r="E35" i="7" s="1"/>
  <c r="H180" i="1"/>
  <c r="C157" i="1"/>
  <c r="H175" i="1"/>
  <c r="C135" i="1"/>
  <c r="D132" i="1"/>
  <c r="D134" i="1" s="1"/>
  <c r="G132" i="1"/>
  <c r="K175" i="1"/>
  <c r="L175" i="1"/>
  <c r="F103" i="1"/>
  <c r="E157" i="1"/>
  <c r="E175" i="1"/>
  <c r="J175" i="1"/>
  <c r="F132" i="1"/>
  <c r="H155" i="1"/>
  <c r="F136" i="11" s="1"/>
  <c r="D175" i="1"/>
  <c r="M175" i="1"/>
  <c r="I175" i="1"/>
  <c r="H176" i="1"/>
  <c r="D124" i="1"/>
  <c r="K141" i="1"/>
  <c r="H141" i="1"/>
  <c r="J141" i="1"/>
  <c r="L141" i="1"/>
  <c r="M141" i="1"/>
  <c r="D157" i="1"/>
  <c r="G157" i="1"/>
  <c r="G192" i="1" s="1"/>
  <c r="G195" i="1" s="1"/>
  <c r="F157" i="1"/>
  <c r="G145" i="1"/>
  <c r="F145" i="1"/>
  <c r="E103" i="1"/>
  <c r="F118" i="1"/>
  <c r="F124" i="1" s="1"/>
  <c r="G103" i="1"/>
  <c r="K120" i="1"/>
  <c r="G118" i="1"/>
  <c r="G124" i="1" s="1"/>
  <c r="G98" i="1"/>
  <c r="H27" i="1"/>
  <c r="F66" i="11" s="1"/>
  <c r="I27" i="1"/>
  <c r="G66" i="11" s="1"/>
  <c r="J27" i="1"/>
  <c r="H66" i="11" s="1"/>
  <c r="K27" i="1"/>
  <c r="I66" i="11" s="1"/>
  <c r="L27" i="1"/>
  <c r="J66" i="11" s="1"/>
  <c r="M27" i="1"/>
  <c r="K66" i="11" s="1"/>
  <c r="G34" i="1"/>
  <c r="H67" i="1"/>
  <c r="H75" i="1"/>
  <c r="G18" i="3"/>
  <c r="F18" i="3"/>
  <c r="E18" i="3"/>
  <c r="D18" i="3"/>
  <c r="C18" i="3"/>
  <c r="H108" i="11" l="1"/>
  <c r="H41" i="7"/>
  <c r="F142" i="11"/>
  <c r="H60" i="10"/>
  <c r="H105" i="10" s="1"/>
  <c r="G96" i="11"/>
  <c r="F98" i="10"/>
  <c r="F94" i="10"/>
  <c r="K107" i="1"/>
  <c r="H94" i="11"/>
  <c r="I22" i="10"/>
  <c r="I25" i="10" s="1"/>
  <c r="I102" i="10" s="1"/>
  <c r="K117" i="1"/>
  <c r="H103" i="11"/>
  <c r="H182" i="1"/>
  <c r="H15" i="7" s="1"/>
  <c r="F145" i="11"/>
  <c r="G94" i="11"/>
  <c r="H22" i="10"/>
  <c r="H25" i="10" s="1"/>
  <c r="H102" i="10" s="1"/>
  <c r="J106" i="1"/>
  <c r="G93" i="11"/>
  <c r="H29" i="10"/>
  <c r="H32" i="10" s="1"/>
  <c r="H103" i="10" s="1"/>
  <c r="F95" i="10"/>
  <c r="G50" i="7" s="1"/>
  <c r="F96" i="10"/>
  <c r="G52" i="7" s="1"/>
  <c r="E40" i="11" s="1"/>
  <c r="F93" i="10"/>
  <c r="F92" i="10"/>
  <c r="F47" i="9"/>
  <c r="G30" i="9"/>
  <c r="F23" i="9"/>
  <c r="G47" i="9"/>
  <c r="G23" i="9"/>
  <c r="E47" i="9"/>
  <c r="F30" i="9"/>
  <c r="E23" i="9"/>
  <c r="E30" i="9"/>
  <c r="D23" i="9"/>
  <c r="C47" i="9"/>
  <c r="D30" i="9"/>
  <c r="D46" i="7"/>
  <c r="F46" i="7"/>
  <c r="H31" i="7"/>
  <c r="H12" i="7"/>
  <c r="F54" i="7"/>
  <c r="C54" i="7"/>
  <c r="C20" i="9" s="1"/>
  <c r="C46" i="7"/>
  <c r="C47" i="7" s="1"/>
  <c r="E54" i="7"/>
  <c r="E36" i="7"/>
  <c r="E46" i="7"/>
  <c r="F36" i="7"/>
  <c r="G54" i="7"/>
  <c r="E50" i="11" s="1"/>
  <c r="G36" i="7"/>
  <c r="G9" i="9" s="1"/>
  <c r="G46" i="7"/>
  <c r="D54" i="7"/>
  <c r="D36" i="7"/>
  <c r="I153" i="1"/>
  <c r="H153" i="1"/>
  <c r="D135" i="1"/>
  <c r="F134" i="1"/>
  <c r="F135" i="1"/>
  <c r="G135" i="1"/>
  <c r="G134" i="1"/>
  <c r="I176" i="1"/>
  <c r="H7" i="1"/>
  <c r="L120" i="1"/>
  <c r="I102" i="1"/>
  <c r="I4" i="1"/>
  <c r="I108" i="11" l="1"/>
  <c r="I60" i="10"/>
  <c r="I105" i="10" s="1"/>
  <c r="H96" i="11"/>
  <c r="I41" i="7"/>
  <c r="G142" i="11"/>
  <c r="G51" i="7"/>
  <c r="E39" i="11" s="1"/>
  <c r="K106" i="1"/>
  <c r="I29" i="10"/>
  <c r="I32" i="10" s="1"/>
  <c r="I103" i="10" s="1"/>
  <c r="H93" i="11"/>
  <c r="L117" i="1"/>
  <c r="I103" i="11"/>
  <c r="K155" i="1"/>
  <c r="I136" i="11" s="1"/>
  <c r="L107" i="1"/>
  <c r="I94" i="11"/>
  <c r="J22" i="10"/>
  <c r="J25" i="10" s="1"/>
  <c r="J102" i="10" s="1"/>
  <c r="J176" i="1"/>
  <c r="E47" i="7"/>
  <c r="E9" i="9"/>
  <c r="D47" i="7"/>
  <c r="D9" i="9"/>
  <c r="G20" i="9"/>
  <c r="G10" i="9"/>
  <c r="E10" i="9"/>
  <c r="E20" i="9"/>
  <c r="F20" i="9"/>
  <c r="F10" i="9"/>
  <c r="D20" i="9"/>
  <c r="D10" i="9"/>
  <c r="F47" i="7"/>
  <c r="F9" i="9"/>
  <c r="H113" i="1"/>
  <c r="H118" i="1" s="1"/>
  <c r="G47" i="7"/>
  <c r="I180" i="1"/>
  <c r="M120" i="1"/>
  <c r="J102" i="1"/>
  <c r="J4" i="1"/>
  <c r="J5" i="1" s="1"/>
  <c r="I7" i="1"/>
  <c r="I113" i="1" s="1"/>
  <c r="K108" i="11" l="1"/>
  <c r="J108" i="11"/>
  <c r="J41" i="7"/>
  <c r="H142" i="11"/>
  <c r="I96" i="11"/>
  <c r="J60" i="10"/>
  <c r="J105" i="10" s="1"/>
  <c r="H124" i="1"/>
  <c r="F104" i="11"/>
  <c r="H154" i="1"/>
  <c r="F135" i="11" s="1"/>
  <c r="F100" i="11"/>
  <c r="H28" i="9"/>
  <c r="M117" i="1"/>
  <c r="J103" i="11"/>
  <c r="L155" i="1"/>
  <c r="J136" i="11" s="1"/>
  <c r="I182" i="1"/>
  <c r="G145" i="11"/>
  <c r="M107" i="1"/>
  <c r="J94" i="11"/>
  <c r="K22" i="10"/>
  <c r="K25" i="10" s="1"/>
  <c r="K102" i="10" s="1"/>
  <c r="G100" i="11"/>
  <c r="L106" i="1"/>
  <c r="J29" i="10"/>
  <c r="J32" i="10" s="1"/>
  <c r="J103" i="10" s="1"/>
  <c r="I93" i="11"/>
  <c r="K176" i="1"/>
  <c r="J180" i="1"/>
  <c r="I118" i="1"/>
  <c r="I154" i="1"/>
  <c r="G135" i="11" s="1"/>
  <c r="J153" i="1"/>
  <c r="K102" i="1"/>
  <c r="K4" i="1"/>
  <c r="J7" i="1"/>
  <c r="J113" i="1" s="1"/>
  <c r="J96" i="11" l="1"/>
  <c r="K60" i="10"/>
  <c r="K105" i="10" s="1"/>
  <c r="K41" i="7"/>
  <c r="I142" i="11"/>
  <c r="F110" i="11"/>
  <c r="H100" i="11"/>
  <c r="J182" i="1"/>
  <c r="H145" i="11"/>
  <c r="L22" i="10"/>
  <c r="L25" i="10" s="1"/>
  <c r="L102" i="10" s="1"/>
  <c r="K94" i="11"/>
  <c r="M155" i="1"/>
  <c r="K136" i="11" s="1"/>
  <c r="K103" i="11"/>
  <c r="I124" i="1"/>
  <c r="G104" i="11"/>
  <c r="M106" i="1"/>
  <c r="J93" i="11"/>
  <c r="K29" i="10"/>
  <c r="K32" i="10" s="1"/>
  <c r="K103" i="10" s="1"/>
  <c r="K180" i="1"/>
  <c r="J118" i="1"/>
  <c r="J154" i="1"/>
  <c r="H135" i="11" s="1"/>
  <c r="K153" i="1"/>
  <c r="L176" i="1"/>
  <c r="L102" i="1"/>
  <c r="L4" i="1"/>
  <c r="K7" i="1"/>
  <c r="K113" i="1" s="1"/>
  <c r="L60" i="10" l="1"/>
  <c r="L105" i="10" s="1"/>
  <c r="K96" i="11"/>
  <c r="L41" i="7"/>
  <c r="J142" i="11"/>
  <c r="G110" i="11"/>
  <c r="K93" i="11"/>
  <c r="L29" i="10"/>
  <c r="L32" i="10" s="1"/>
  <c r="L103" i="10" s="1"/>
  <c r="J124" i="1"/>
  <c r="H104" i="11"/>
  <c r="K182" i="1"/>
  <c r="I145" i="11"/>
  <c r="I100" i="11"/>
  <c r="M176" i="1"/>
  <c r="L180" i="1"/>
  <c r="K118" i="1"/>
  <c r="K154" i="1"/>
  <c r="I135" i="11" s="1"/>
  <c r="L153" i="1"/>
  <c r="M102" i="1"/>
  <c r="M153" i="1" s="1"/>
  <c r="L7" i="1"/>
  <c r="L113" i="1" s="1"/>
  <c r="M4" i="1"/>
  <c r="M41" i="7" l="1"/>
  <c r="K142" i="11"/>
  <c r="H110" i="11"/>
  <c r="K124" i="1"/>
  <c r="I104" i="11"/>
  <c r="J100" i="11"/>
  <c r="L182" i="1"/>
  <c r="J145" i="11"/>
  <c r="M180" i="1"/>
  <c r="L118" i="1"/>
  <c r="L154" i="1"/>
  <c r="J135" i="11" s="1"/>
  <c r="M7" i="1"/>
  <c r="M113" i="1" s="1"/>
  <c r="K100" i="11" s="1"/>
  <c r="D18" i="1"/>
  <c r="E18" i="1"/>
  <c r="F18" i="1"/>
  <c r="G18" i="1"/>
  <c r="H8" i="1"/>
  <c r="I110" i="11" l="1"/>
  <c r="G64" i="10"/>
  <c r="F56" i="11"/>
  <c r="F17" i="11"/>
  <c r="H4" i="9"/>
  <c r="F26" i="11" s="1"/>
  <c r="H140" i="1"/>
  <c r="I28" i="9"/>
  <c r="L124" i="1"/>
  <c r="J104" i="11"/>
  <c r="I52" i="8"/>
  <c r="F57" i="11"/>
  <c r="M182" i="1"/>
  <c r="K145" i="11"/>
  <c r="H160" i="1"/>
  <c r="I51" i="8"/>
  <c r="H61" i="1"/>
  <c r="H97" i="1"/>
  <c r="M118" i="1"/>
  <c r="M154" i="1"/>
  <c r="K135" i="11" s="1"/>
  <c r="H63" i="1"/>
  <c r="H15" i="1"/>
  <c r="H12" i="1"/>
  <c r="H35" i="1"/>
  <c r="H27" i="7" s="1"/>
  <c r="H20" i="1"/>
  <c r="H13" i="1"/>
  <c r="H29" i="1"/>
  <c r="H30" i="1" s="1"/>
  <c r="H9" i="1"/>
  <c r="J8" i="1"/>
  <c r="H57" i="11" s="1"/>
  <c r="I67" i="1"/>
  <c r="J110" i="11" l="1"/>
  <c r="F61" i="11"/>
  <c r="G36" i="10"/>
  <c r="H151" i="1"/>
  <c r="F86" i="11"/>
  <c r="G9" i="10"/>
  <c r="H26" i="9"/>
  <c r="H29" i="9" s="1"/>
  <c r="I53" i="8"/>
  <c r="F58" i="11"/>
  <c r="F18" i="11"/>
  <c r="F27" i="11"/>
  <c r="H14" i="9"/>
  <c r="F34" i="11" s="1"/>
  <c r="M124" i="1"/>
  <c r="K104" i="11"/>
  <c r="F139" i="11"/>
  <c r="G86" i="10"/>
  <c r="F125" i="11"/>
  <c r="G70" i="10"/>
  <c r="G106" i="10"/>
  <c r="H18" i="1"/>
  <c r="I54" i="8"/>
  <c r="H105" i="1"/>
  <c r="H38" i="7"/>
  <c r="H178" i="1"/>
  <c r="F143" i="11" s="1"/>
  <c r="H39" i="7"/>
  <c r="H37" i="1"/>
  <c r="H36" i="1"/>
  <c r="I59" i="8" s="1"/>
  <c r="H21" i="1"/>
  <c r="H32" i="1"/>
  <c r="H33" i="1" s="1"/>
  <c r="I8" i="1"/>
  <c r="G57" i="11" s="1"/>
  <c r="K8" i="1"/>
  <c r="I57" i="11" s="1"/>
  <c r="I5" i="1"/>
  <c r="J67" i="1"/>
  <c r="K110" i="11" l="1"/>
  <c r="H38" i="1"/>
  <c r="H40" i="7"/>
  <c r="H44" i="7" s="1"/>
  <c r="F132" i="11"/>
  <c r="G15" i="10"/>
  <c r="G18" i="10" s="1"/>
  <c r="G101" i="10" s="1"/>
  <c r="F92" i="11"/>
  <c r="G40" i="10"/>
  <c r="G41" i="10" s="1"/>
  <c r="H38" i="10" s="1"/>
  <c r="G67" i="10"/>
  <c r="G56" i="11"/>
  <c r="G17" i="11"/>
  <c r="H64" i="10"/>
  <c r="I4" i="9"/>
  <c r="G26" i="11" s="1"/>
  <c r="J28" i="9"/>
  <c r="I56" i="8"/>
  <c r="F62" i="11"/>
  <c r="I58" i="8"/>
  <c r="I160" i="1"/>
  <c r="I61" i="1"/>
  <c r="I97" i="1"/>
  <c r="I140" i="1"/>
  <c r="I20" i="1"/>
  <c r="I13" i="1"/>
  <c r="I15" i="1"/>
  <c r="I12" i="1"/>
  <c r="I35" i="1"/>
  <c r="I27" i="7" s="1"/>
  <c r="H14" i="1"/>
  <c r="H23" i="1"/>
  <c r="L8" i="1"/>
  <c r="J57" i="11" s="1"/>
  <c r="K67" i="1"/>
  <c r="I9" i="1"/>
  <c r="I63" i="1"/>
  <c r="H56" i="11" l="1"/>
  <c r="J4" i="9"/>
  <c r="H26" i="11" s="1"/>
  <c r="H17" i="11"/>
  <c r="I64" i="10"/>
  <c r="K28" i="9"/>
  <c r="G58" i="11"/>
  <c r="I14" i="9"/>
  <c r="G34" i="11" s="1"/>
  <c r="G18" i="11"/>
  <c r="G27" i="11"/>
  <c r="I151" i="1"/>
  <c r="G86" i="11"/>
  <c r="H9" i="10"/>
  <c r="I26" i="9"/>
  <c r="I29" i="9" s="1"/>
  <c r="H106" i="10"/>
  <c r="H39" i="10"/>
  <c r="G139" i="11"/>
  <c r="H86" i="10"/>
  <c r="G125" i="11"/>
  <c r="H70" i="10"/>
  <c r="F64" i="11"/>
  <c r="H15" i="9"/>
  <c r="F35" i="11" s="1"/>
  <c r="H5" i="9"/>
  <c r="F28" i="11" s="1"/>
  <c r="F19" i="11"/>
  <c r="H36" i="10"/>
  <c r="G61" i="11"/>
  <c r="F60" i="11"/>
  <c r="J160" i="1"/>
  <c r="J61" i="1"/>
  <c r="I39" i="7"/>
  <c r="I178" i="1"/>
  <c r="G143" i="11" s="1"/>
  <c r="I105" i="1"/>
  <c r="I38" i="7"/>
  <c r="H65" i="1"/>
  <c r="H71" i="1" s="1"/>
  <c r="I57" i="8"/>
  <c r="I60" i="8" s="1"/>
  <c r="H39" i="1"/>
  <c r="F68" i="11" s="1"/>
  <c r="H24" i="7"/>
  <c r="I55" i="8"/>
  <c r="H144" i="1"/>
  <c r="J97" i="1"/>
  <c r="J26" i="9" s="1"/>
  <c r="J29" i="9" s="1"/>
  <c r="J140" i="1"/>
  <c r="H22" i="1"/>
  <c r="H79" i="1" s="1"/>
  <c r="J15" i="1"/>
  <c r="J12" i="1"/>
  <c r="J35" i="1"/>
  <c r="J27" i="7" s="1"/>
  <c r="J20" i="1"/>
  <c r="J13" i="1"/>
  <c r="I18" i="1"/>
  <c r="I36" i="1"/>
  <c r="I37" i="1"/>
  <c r="I21" i="1"/>
  <c r="G62" i="11" s="1"/>
  <c r="I32" i="1"/>
  <c r="I33" i="1" s="1"/>
  <c r="I28" i="1"/>
  <c r="H40" i="1"/>
  <c r="F70" i="11" s="1"/>
  <c r="M8" i="1"/>
  <c r="K57" i="11" s="1"/>
  <c r="L67" i="1"/>
  <c r="K5" i="1"/>
  <c r="J9" i="1"/>
  <c r="J63" i="1"/>
  <c r="H64" i="1" l="1"/>
  <c r="I70" i="10"/>
  <c r="H125" i="11"/>
  <c r="J151" i="1"/>
  <c r="I9" i="10"/>
  <c r="H86" i="11"/>
  <c r="I86" i="10"/>
  <c r="H139" i="11"/>
  <c r="H40" i="10"/>
  <c r="H41" i="10" s="1"/>
  <c r="I38" i="10" s="1"/>
  <c r="H67" i="10"/>
  <c r="H58" i="11"/>
  <c r="H18" i="11"/>
  <c r="J14" i="9"/>
  <c r="H34" i="11" s="1"/>
  <c r="H27" i="11"/>
  <c r="H186" i="1"/>
  <c r="F127" i="11"/>
  <c r="G6" i="10"/>
  <c r="G5" i="10" s="1"/>
  <c r="G10" i="10" s="1"/>
  <c r="G62" i="10" s="1"/>
  <c r="H61" i="11"/>
  <c r="I36" i="10"/>
  <c r="H15" i="10"/>
  <c r="H18" i="10" s="1"/>
  <c r="H101" i="10" s="1"/>
  <c r="G92" i="11"/>
  <c r="I106" i="10"/>
  <c r="J64" i="10"/>
  <c r="I17" i="11"/>
  <c r="K4" i="9"/>
  <c r="I26" i="11" s="1"/>
  <c r="I56" i="11"/>
  <c r="L28" i="9"/>
  <c r="I31" i="7"/>
  <c r="G67" i="11"/>
  <c r="H53" i="1"/>
  <c r="H40" i="9"/>
  <c r="F44" i="11" s="1"/>
  <c r="H77" i="1"/>
  <c r="H52" i="9"/>
  <c r="F45" i="11" s="1"/>
  <c r="H18" i="9"/>
  <c r="I40" i="7"/>
  <c r="I44" i="7" s="1"/>
  <c r="G132" i="11"/>
  <c r="J39" i="7"/>
  <c r="J178" i="1"/>
  <c r="H143" i="11" s="1"/>
  <c r="J105" i="1"/>
  <c r="J38" i="7"/>
  <c r="I61" i="8"/>
  <c r="I62" i="8" s="1"/>
  <c r="H30" i="7"/>
  <c r="H29" i="7" s="1"/>
  <c r="H35" i="7" s="1"/>
  <c r="K160" i="1"/>
  <c r="K61" i="1"/>
  <c r="K97" i="1"/>
  <c r="K26" i="9" s="1"/>
  <c r="K29" i="9" s="1"/>
  <c r="K140" i="1"/>
  <c r="H72" i="1"/>
  <c r="H73" i="1" s="1"/>
  <c r="K15" i="1"/>
  <c r="K12" i="1"/>
  <c r="K20" i="1"/>
  <c r="K13" i="1"/>
  <c r="K35" i="1"/>
  <c r="K27" i="7" s="1"/>
  <c r="I29" i="1"/>
  <c r="I30" i="1" s="1"/>
  <c r="I38" i="1" s="1"/>
  <c r="I75" i="1"/>
  <c r="J18" i="1"/>
  <c r="J36" i="1"/>
  <c r="J37" i="1"/>
  <c r="J21" i="1"/>
  <c r="H62" i="11" s="1"/>
  <c r="J32" i="1"/>
  <c r="J33" i="1" s="1"/>
  <c r="J28" i="1"/>
  <c r="H41" i="1"/>
  <c r="H6" i="9" s="1"/>
  <c r="I14" i="1"/>
  <c r="L5" i="1"/>
  <c r="M5" i="1"/>
  <c r="M67" i="1"/>
  <c r="K63" i="1"/>
  <c r="K9" i="1"/>
  <c r="I39" i="10" l="1"/>
  <c r="I67" i="10" s="1"/>
  <c r="J56" i="11"/>
  <c r="K64" i="10"/>
  <c r="L4" i="9"/>
  <c r="J26" i="11" s="1"/>
  <c r="J17" i="11"/>
  <c r="M28" i="9"/>
  <c r="I139" i="11"/>
  <c r="J86" i="10"/>
  <c r="H92" i="11"/>
  <c r="I15" i="10"/>
  <c r="I18" i="10" s="1"/>
  <c r="I101" i="10" s="1"/>
  <c r="I144" i="1"/>
  <c r="H6" i="10" s="1"/>
  <c r="H5" i="10" s="1"/>
  <c r="H10" i="10" s="1"/>
  <c r="H62" i="10" s="1"/>
  <c r="G60" i="11"/>
  <c r="G100" i="10"/>
  <c r="G108" i="10"/>
  <c r="H50" i="9"/>
  <c r="H51" i="9"/>
  <c r="H84" i="1"/>
  <c r="I125" i="11"/>
  <c r="J70" i="10"/>
  <c r="H129" i="1"/>
  <c r="F115" i="11" s="1"/>
  <c r="F75" i="11"/>
  <c r="F20" i="11"/>
  <c r="H16" i="9"/>
  <c r="F36" i="11" s="1"/>
  <c r="H46" i="1"/>
  <c r="H8" i="9" s="1"/>
  <c r="F30" i="11" s="1"/>
  <c r="F29" i="11"/>
  <c r="H17" i="9"/>
  <c r="H43" i="1"/>
  <c r="H44" i="1" s="1"/>
  <c r="K151" i="1"/>
  <c r="I86" i="11"/>
  <c r="J9" i="10"/>
  <c r="H83" i="1"/>
  <c r="J106" i="10"/>
  <c r="I27" i="11"/>
  <c r="I58" i="11"/>
  <c r="I18" i="11"/>
  <c r="K14" i="9"/>
  <c r="I34" i="11" s="1"/>
  <c r="K56" i="11"/>
  <c r="K17" i="11"/>
  <c r="L64" i="10"/>
  <c r="M4" i="9"/>
  <c r="K26" i="11" s="1"/>
  <c r="J31" i="7"/>
  <c r="H67" i="11"/>
  <c r="I61" i="11"/>
  <c r="J36" i="10"/>
  <c r="I40" i="10"/>
  <c r="H188" i="1"/>
  <c r="F150" i="11" s="1"/>
  <c r="F149" i="11"/>
  <c r="J40" i="7"/>
  <c r="J44" i="7" s="1"/>
  <c r="H132" i="11"/>
  <c r="H54" i="7"/>
  <c r="I83" i="8" s="1"/>
  <c r="H36" i="7"/>
  <c r="H9" i="9" s="1"/>
  <c r="H46" i="7"/>
  <c r="M160" i="1"/>
  <c r="M61" i="1"/>
  <c r="L160" i="1"/>
  <c r="L61" i="1"/>
  <c r="K105" i="1"/>
  <c r="K38" i="7"/>
  <c r="K39" i="7"/>
  <c r="K178" i="1"/>
  <c r="I143" i="11" s="1"/>
  <c r="H138" i="1"/>
  <c r="M97" i="1"/>
  <c r="M140" i="1"/>
  <c r="L97" i="1"/>
  <c r="L140" i="1"/>
  <c r="M20" i="1"/>
  <c r="M13" i="1"/>
  <c r="M15" i="1"/>
  <c r="M12" i="1"/>
  <c r="M35" i="1"/>
  <c r="M27" i="7" s="1"/>
  <c r="L63" i="1"/>
  <c r="L20" i="1"/>
  <c r="L13" i="1"/>
  <c r="L15" i="1"/>
  <c r="L12" i="1"/>
  <c r="L35" i="1"/>
  <c r="L27" i="7" s="1"/>
  <c r="H78" i="1"/>
  <c r="H76" i="1"/>
  <c r="H88" i="1" s="1"/>
  <c r="J8" i="11" s="1"/>
  <c r="H81" i="1"/>
  <c r="H90" i="1" s="1"/>
  <c r="H54" i="1"/>
  <c r="H74" i="1"/>
  <c r="K18" i="1"/>
  <c r="K32" i="1"/>
  <c r="K33" i="1" s="1"/>
  <c r="K28" i="1"/>
  <c r="K36" i="1"/>
  <c r="K37" i="1"/>
  <c r="K21" i="1"/>
  <c r="I62" i="11" s="1"/>
  <c r="J29" i="1"/>
  <c r="J30" i="1" s="1"/>
  <c r="J38" i="1" s="1"/>
  <c r="J75" i="1"/>
  <c r="I22" i="1"/>
  <c r="I23" i="1" s="1"/>
  <c r="J14" i="1"/>
  <c r="L9" i="1"/>
  <c r="M63" i="1"/>
  <c r="M9" i="1"/>
  <c r="H55" i="7" l="1"/>
  <c r="H47" i="7"/>
  <c r="F50" i="11"/>
  <c r="C46" i="8"/>
  <c r="F58" i="9" s="1"/>
  <c r="H132" i="1"/>
  <c r="H95" i="1" s="1"/>
  <c r="H47" i="1"/>
  <c r="I41" i="10"/>
  <c r="J38" i="10" s="1"/>
  <c r="J39" i="10" s="1"/>
  <c r="H11" i="9"/>
  <c r="F31" i="11" s="1"/>
  <c r="H19" i="9"/>
  <c r="F37" i="11" s="1"/>
  <c r="H53" i="9"/>
  <c r="H41" i="9"/>
  <c r="M38" i="7"/>
  <c r="K125" i="11"/>
  <c r="L70" i="10"/>
  <c r="J139" i="11"/>
  <c r="K86" i="10"/>
  <c r="L106" i="10"/>
  <c r="H89" i="1"/>
  <c r="H100" i="10"/>
  <c r="H108" i="10"/>
  <c r="J144" i="1"/>
  <c r="I6" i="10" s="1"/>
  <c r="I5" i="10" s="1"/>
  <c r="I10" i="10" s="1"/>
  <c r="H60" i="11"/>
  <c r="L9" i="10"/>
  <c r="K86" i="11"/>
  <c r="J18" i="11"/>
  <c r="J27" i="11"/>
  <c r="J58" i="11"/>
  <c r="L14" i="9"/>
  <c r="J34" i="11" s="1"/>
  <c r="K31" i="7"/>
  <c r="I67" i="11"/>
  <c r="J61" i="11"/>
  <c r="K36" i="10"/>
  <c r="K58" i="11"/>
  <c r="M14" i="9"/>
  <c r="K34" i="11" s="1"/>
  <c r="K18" i="11"/>
  <c r="K27" i="11"/>
  <c r="I24" i="7"/>
  <c r="G64" i="11"/>
  <c r="G19" i="11"/>
  <c r="I5" i="9"/>
  <c r="G28" i="11" s="1"/>
  <c r="I15" i="9"/>
  <c r="G35" i="11" s="1"/>
  <c r="L36" i="10"/>
  <c r="K61" i="11"/>
  <c r="J125" i="11"/>
  <c r="K70" i="10"/>
  <c r="H157" i="1"/>
  <c r="F124" i="11"/>
  <c r="I92" i="11"/>
  <c r="J15" i="10"/>
  <c r="J18" i="10" s="1"/>
  <c r="J101" i="10" s="1"/>
  <c r="K139" i="11"/>
  <c r="L86" i="10"/>
  <c r="F23" i="11"/>
  <c r="G66" i="10"/>
  <c r="G71" i="10" s="1"/>
  <c r="H85" i="1"/>
  <c r="K40" i="7"/>
  <c r="K44" i="7" s="1"/>
  <c r="I132" i="11"/>
  <c r="I186" i="1"/>
  <c r="G127" i="11"/>
  <c r="F80" i="11"/>
  <c r="H91" i="1"/>
  <c r="F21" i="11"/>
  <c r="L151" i="1"/>
  <c r="J86" i="11"/>
  <c r="K9" i="10"/>
  <c r="M26" i="9"/>
  <c r="M29" i="9" s="1"/>
  <c r="J40" i="10"/>
  <c r="L26" i="9"/>
  <c r="L29" i="9" s="1"/>
  <c r="K106" i="10"/>
  <c r="H10" i="9"/>
  <c r="H20" i="9"/>
  <c r="H7" i="9"/>
  <c r="L105" i="1"/>
  <c r="M105" i="1" s="1"/>
  <c r="L38" i="7"/>
  <c r="L178" i="1"/>
  <c r="J143" i="11" s="1"/>
  <c r="L39" i="7"/>
  <c r="M39" i="7"/>
  <c r="M178" i="1"/>
  <c r="K143" i="11" s="1"/>
  <c r="H57" i="1"/>
  <c r="H58" i="1"/>
  <c r="M151" i="1"/>
  <c r="H80" i="1"/>
  <c r="H86" i="1" s="1"/>
  <c r="M18" i="1"/>
  <c r="M36" i="1"/>
  <c r="M37" i="1"/>
  <c r="M21" i="1"/>
  <c r="K62" i="11" s="1"/>
  <c r="M32" i="1"/>
  <c r="M33" i="1" s="1"/>
  <c r="M28" i="1"/>
  <c r="L18" i="1"/>
  <c r="L37" i="1"/>
  <c r="L21" i="1"/>
  <c r="J62" i="11" s="1"/>
  <c r="L32" i="1"/>
  <c r="L33" i="1" s="1"/>
  <c r="L28" i="1"/>
  <c r="L36" i="1"/>
  <c r="K29" i="1"/>
  <c r="K30" i="1" s="1"/>
  <c r="K38" i="1" s="1"/>
  <c r="K75" i="1"/>
  <c r="I40" i="1"/>
  <c r="I79" i="1"/>
  <c r="K14" i="1"/>
  <c r="J22" i="1"/>
  <c r="I39" i="1"/>
  <c r="G68" i="11" s="1"/>
  <c r="I65" i="1"/>
  <c r="I71" i="1" s="1"/>
  <c r="I62" i="10" l="1"/>
  <c r="I108" i="10" s="1"/>
  <c r="G58" i="9"/>
  <c r="H58" i="9" s="1"/>
  <c r="E58" i="9"/>
  <c r="D58" i="9" s="1"/>
  <c r="J11" i="11"/>
  <c r="F78" i="11"/>
  <c r="J7" i="11"/>
  <c r="H42" i="9"/>
  <c r="J10" i="11"/>
  <c r="H134" i="1"/>
  <c r="F121" i="11" s="1"/>
  <c r="F118" i="11"/>
  <c r="H135" i="1"/>
  <c r="H22" i="9"/>
  <c r="F38" i="11" s="1"/>
  <c r="H39" i="9"/>
  <c r="H38" i="9"/>
  <c r="F43" i="11" s="1"/>
  <c r="J41" i="10"/>
  <c r="K38" i="10" s="1"/>
  <c r="K39" i="10" s="1"/>
  <c r="K67" i="10" s="1"/>
  <c r="J67" i="10"/>
  <c r="I100" i="10"/>
  <c r="M31" i="7"/>
  <c r="K67" i="11"/>
  <c r="J92" i="11"/>
  <c r="K15" i="10"/>
  <c r="K18" i="10" s="1"/>
  <c r="K101" i="10" s="1"/>
  <c r="I188" i="1"/>
  <c r="G150" i="11" s="1"/>
  <c r="G149" i="11"/>
  <c r="G107" i="10"/>
  <c r="G72" i="10"/>
  <c r="G78" i="10"/>
  <c r="G84" i="10" s="1"/>
  <c r="G94" i="10" s="1"/>
  <c r="I60" i="11"/>
  <c r="M40" i="7"/>
  <c r="M44" i="7" s="1"/>
  <c r="K132" i="11"/>
  <c r="F22" i="11"/>
  <c r="F81" i="11"/>
  <c r="K40" i="10"/>
  <c r="K92" i="11"/>
  <c r="L15" i="10"/>
  <c r="L18" i="10" s="1"/>
  <c r="L101" i="10" s="1"/>
  <c r="I18" i="9"/>
  <c r="I52" i="9"/>
  <c r="G45" i="11" s="1"/>
  <c r="I40" i="9"/>
  <c r="G44" i="11" s="1"/>
  <c r="I30" i="7"/>
  <c r="I29" i="7" s="1"/>
  <c r="I35" i="7" s="1"/>
  <c r="I54" i="7" s="1"/>
  <c r="G50" i="11" s="1"/>
  <c r="G70" i="11"/>
  <c r="L31" i="7"/>
  <c r="J67" i="11"/>
  <c r="J186" i="1"/>
  <c r="H127" i="11"/>
  <c r="L40" i="7"/>
  <c r="L44" i="7" s="1"/>
  <c r="J132" i="11"/>
  <c r="H192" i="1"/>
  <c r="F153" i="11" s="1"/>
  <c r="F51" i="11"/>
  <c r="F137" i="11"/>
  <c r="H46" i="9"/>
  <c r="F46" i="11" s="1"/>
  <c r="H21" i="9"/>
  <c r="H158" i="1"/>
  <c r="L40" i="10"/>
  <c r="H43" i="9"/>
  <c r="H55" i="1"/>
  <c r="H56" i="1"/>
  <c r="I72" i="1"/>
  <c r="I73" i="1" s="1"/>
  <c r="I53" i="1"/>
  <c r="I54" i="1" s="1"/>
  <c r="H59" i="1"/>
  <c r="H60" i="1"/>
  <c r="I41" i="1"/>
  <c r="I138" i="1" s="1"/>
  <c r="K22" i="1"/>
  <c r="K23" i="1" s="1"/>
  <c r="K144" i="1"/>
  <c r="M14" i="1"/>
  <c r="L29" i="1"/>
  <c r="L30" i="1" s="1"/>
  <c r="L38" i="1" s="1"/>
  <c r="L75" i="1"/>
  <c r="M29" i="1"/>
  <c r="M30" i="1" s="1"/>
  <c r="M38" i="1" s="1"/>
  <c r="M75" i="1"/>
  <c r="I64" i="1"/>
  <c r="J23" i="1"/>
  <c r="J79" i="1"/>
  <c r="L14" i="1"/>
  <c r="H194" i="1" l="1"/>
  <c r="H195" i="1" s="1"/>
  <c r="H44" i="9"/>
  <c r="H103" i="1"/>
  <c r="H33" i="9" s="1"/>
  <c r="H45" i="9"/>
  <c r="C30" i="8"/>
  <c r="H9" i="7" s="1"/>
  <c r="G4" i="10"/>
  <c r="F84" i="11"/>
  <c r="H35" i="9"/>
  <c r="K41" i="10"/>
  <c r="L38" i="10" s="1"/>
  <c r="L39" i="10" s="1"/>
  <c r="L67" i="10" s="1"/>
  <c r="K79" i="1"/>
  <c r="I46" i="7"/>
  <c r="I36" i="7"/>
  <c r="I9" i="9" s="1"/>
  <c r="I157" i="1"/>
  <c r="G124" i="11"/>
  <c r="J60" i="11"/>
  <c r="I64" i="11"/>
  <c r="I19" i="11"/>
  <c r="K5" i="9"/>
  <c r="I28" i="11" s="1"/>
  <c r="K15" i="9"/>
  <c r="I35" i="11" s="1"/>
  <c r="I50" i="9"/>
  <c r="I51" i="9"/>
  <c r="K186" i="1"/>
  <c r="I127" i="11"/>
  <c r="M144" i="1"/>
  <c r="L6" i="10" s="1"/>
  <c r="L5" i="10" s="1"/>
  <c r="L10" i="10" s="1"/>
  <c r="K60" i="11"/>
  <c r="H64" i="11"/>
  <c r="H19" i="11"/>
  <c r="J15" i="9"/>
  <c r="H35" i="11" s="1"/>
  <c r="J5" i="9"/>
  <c r="H28" i="11" s="1"/>
  <c r="I81" i="1"/>
  <c r="I90" i="1" s="1"/>
  <c r="G75" i="11"/>
  <c r="I46" i="1"/>
  <c r="I8" i="9" s="1"/>
  <c r="G30" i="11" s="1"/>
  <c r="G20" i="11"/>
  <c r="I17" i="9"/>
  <c r="I6" i="9"/>
  <c r="G29" i="11" s="1"/>
  <c r="I16" i="9"/>
  <c r="G36" i="11" s="1"/>
  <c r="I43" i="1"/>
  <c r="I44" i="1" s="1"/>
  <c r="I7" i="9" s="1"/>
  <c r="J188" i="1"/>
  <c r="H150" i="11" s="1"/>
  <c r="H149" i="11"/>
  <c r="J6" i="10"/>
  <c r="J5" i="10" s="1"/>
  <c r="J10" i="10" s="1"/>
  <c r="J62" i="10" s="1"/>
  <c r="G95" i="10"/>
  <c r="H50" i="7" s="1"/>
  <c r="G96" i="10"/>
  <c r="G93" i="10"/>
  <c r="G98" i="10"/>
  <c r="G92" i="10"/>
  <c r="I55" i="7"/>
  <c r="I10" i="9"/>
  <c r="I20" i="9"/>
  <c r="K40" i="1"/>
  <c r="K24" i="7"/>
  <c r="J40" i="1"/>
  <c r="J24" i="7"/>
  <c r="I129" i="1"/>
  <c r="M22" i="1"/>
  <c r="M23" i="1" s="1"/>
  <c r="L22" i="1"/>
  <c r="L23" i="1" s="1"/>
  <c r="L144" i="1"/>
  <c r="I77" i="1"/>
  <c r="J65" i="1"/>
  <c r="J71" i="1" s="1"/>
  <c r="J39" i="1"/>
  <c r="K65" i="1"/>
  <c r="K71" i="1" s="1"/>
  <c r="K39" i="1"/>
  <c r="I80" i="1"/>
  <c r="I74" i="1"/>
  <c r="L100" i="10" l="1"/>
  <c r="H51" i="7"/>
  <c r="F39" i="11" s="1"/>
  <c r="H52" i="7"/>
  <c r="F40" i="11" s="1"/>
  <c r="F90" i="11"/>
  <c r="H111" i="1"/>
  <c r="F98" i="11" s="1"/>
  <c r="H34" i="9"/>
  <c r="I47" i="1"/>
  <c r="G78" i="11" s="1"/>
  <c r="I47" i="7"/>
  <c r="L79" i="1"/>
  <c r="J41" i="1"/>
  <c r="H68" i="11"/>
  <c r="J30" i="7"/>
  <c r="J29" i="7" s="1"/>
  <c r="J35" i="7" s="1"/>
  <c r="H70" i="11"/>
  <c r="I84" i="1"/>
  <c r="K41" i="1"/>
  <c r="K138" i="1" s="1"/>
  <c r="I68" i="11"/>
  <c r="L186" i="1"/>
  <c r="J127" i="11"/>
  <c r="K188" i="1"/>
  <c r="I150" i="11" s="1"/>
  <c r="I149" i="11"/>
  <c r="I192" i="1"/>
  <c r="G153" i="11" s="1"/>
  <c r="G51" i="11"/>
  <c r="I46" i="9"/>
  <c r="G46" i="11" s="1"/>
  <c r="I21" i="9"/>
  <c r="G137" i="11"/>
  <c r="I158" i="1"/>
  <c r="J52" i="9"/>
  <c r="H45" i="11" s="1"/>
  <c r="J40" i="9"/>
  <c r="H44" i="11" s="1"/>
  <c r="J18" i="9"/>
  <c r="K64" i="11"/>
  <c r="M5" i="9"/>
  <c r="K28" i="11" s="1"/>
  <c r="M15" i="9"/>
  <c r="K35" i="11" s="1"/>
  <c r="K19" i="11"/>
  <c r="K40" i="9"/>
  <c r="I44" i="11" s="1"/>
  <c r="K52" i="9"/>
  <c r="I45" i="11" s="1"/>
  <c r="K18" i="9"/>
  <c r="L24" i="7"/>
  <c r="J64" i="11"/>
  <c r="L15" i="9"/>
  <c r="J35" i="11" s="1"/>
  <c r="L5" i="9"/>
  <c r="J28" i="11" s="1"/>
  <c r="J19" i="11"/>
  <c r="I132" i="1"/>
  <c r="G115" i="11"/>
  <c r="K30" i="7"/>
  <c r="K29" i="7" s="1"/>
  <c r="K35" i="7" s="1"/>
  <c r="K54" i="7" s="1"/>
  <c r="I50" i="11" s="1"/>
  <c r="I70" i="11"/>
  <c r="J100" i="10"/>
  <c r="J108" i="10"/>
  <c r="G80" i="11"/>
  <c r="G21" i="11"/>
  <c r="I91" i="1"/>
  <c r="K6" i="10"/>
  <c r="K5" i="10" s="1"/>
  <c r="K10" i="10" s="1"/>
  <c r="K62" i="10" s="1"/>
  <c r="L41" i="10"/>
  <c r="L62" i="10" s="1"/>
  <c r="M186" i="1"/>
  <c r="K127" i="11"/>
  <c r="M40" i="1"/>
  <c r="M24" i="7"/>
  <c r="K72" i="1"/>
  <c r="K73" i="1" s="1"/>
  <c r="K53" i="1"/>
  <c r="K54" i="1" s="1"/>
  <c r="M79" i="1"/>
  <c r="J72" i="1"/>
  <c r="J73" i="1" s="1"/>
  <c r="J53" i="1"/>
  <c r="J54" i="1" s="1"/>
  <c r="I76" i="1"/>
  <c r="I89" i="1" s="1"/>
  <c r="I78" i="1"/>
  <c r="I86" i="1" s="1"/>
  <c r="I83" i="1"/>
  <c r="J77" i="1"/>
  <c r="J83" i="1" s="1"/>
  <c r="J64" i="1"/>
  <c r="M39" i="1"/>
  <c r="J74" i="1"/>
  <c r="M65" i="1"/>
  <c r="M71" i="1" s="1"/>
  <c r="K77" i="1"/>
  <c r="K64" i="1"/>
  <c r="L39" i="1"/>
  <c r="J68" i="11" s="1"/>
  <c r="L40" i="1"/>
  <c r="L65" i="1"/>
  <c r="L71" i="1" s="1"/>
  <c r="J138" i="1" l="1"/>
  <c r="J17" i="9"/>
  <c r="L108" i="10"/>
  <c r="H30" i="9"/>
  <c r="H47" i="9"/>
  <c r="H23" i="9"/>
  <c r="I135" i="1"/>
  <c r="I95" i="1"/>
  <c r="J129" i="1"/>
  <c r="H115" i="11" s="1"/>
  <c r="J81" i="1"/>
  <c r="J90" i="1" s="1"/>
  <c r="J91" i="1" s="1"/>
  <c r="I88" i="1"/>
  <c r="I53" i="9" s="1"/>
  <c r="K157" i="1"/>
  <c r="I124" i="11"/>
  <c r="L40" i="9"/>
  <c r="J44" i="11" s="1"/>
  <c r="L18" i="9"/>
  <c r="L52" i="9"/>
  <c r="J45" i="11" s="1"/>
  <c r="J157" i="1"/>
  <c r="H124" i="11"/>
  <c r="I41" i="9"/>
  <c r="K100" i="10"/>
  <c r="K108" i="10"/>
  <c r="M41" i="1"/>
  <c r="M81" i="1" s="1"/>
  <c r="M90" i="1" s="1"/>
  <c r="K68" i="11"/>
  <c r="L30" i="7"/>
  <c r="L29" i="7" s="1"/>
  <c r="L35" i="7" s="1"/>
  <c r="J70" i="11"/>
  <c r="I66" i="10"/>
  <c r="I71" i="10" s="1"/>
  <c r="H23" i="11"/>
  <c r="G22" i="11"/>
  <c r="G81" i="11"/>
  <c r="G118" i="11"/>
  <c r="I38" i="9"/>
  <c r="G43" i="11" s="1"/>
  <c r="I39" i="9"/>
  <c r="I22" i="9"/>
  <c r="G38" i="11" s="1"/>
  <c r="I134" i="1"/>
  <c r="G121" i="11" s="1"/>
  <c r="J43" i="1"/>
  <c r="J44" i="1" s="1"/>
  <c r="J7" i="9" s="1"/>
  <c r="J6" i="9"/>
  <c r="H29" i="11" s="1"/>
  <c r="H75" i="11"/>
  <c r="H20" i="11"/>
  <c r="J16" i="9"/>
  <c r="H36" i="11" s="1"/>
  <c r="J46" i="1"/>
  <c r="J132" i="1"/>
  <c r="M30" i="7"/>
  <c r="M29" i="7" s="1"/>
  <c r="M35" i="7" s="1"/>
  <c r="K70" i="11"/>
  <c r="K16" i="9"/>
  <c r="I36" i="11" s="1"/>
  <c r="I75" i="11"/>
  <c r="K43" i="1"/>
  <c r="K44" i="1" s="1"/>
  <c r="K17" i="9"/>
  <c r="K46" i="1"/>
  <c r="I20" i="11"/>
  <c r="K6" i="9"/>
  <c r="I29" i="11" s="1"/>
  <c r="M18" i="9"/>
  <c r="M40" i="9"/>
  <c r="K44" i="11" s="1"/>
  <c r="M52" i="9"/>
  <c r="K45" i="11" s="1"/>
  <c r="G23" i="11"/>
  <c r="H66" i="10"/>
  <c r="H71" i="10" s="1"/>
  <c r="K81" i="1"/>
  <c r="K90" i="1" s="1"/>
  <c r="J50" i="9"/>
  <c r="J51" i="9"/>
  <c r="K51" i="9"/>
  <c r="K50" i="9"/>
  <c r="M188" i="1"/>
  <c r="K150" i="11" s="1"/>
  <c r="K149" i="11"/>
  <c r="L188" i="1"/>
  <c r="J150" i="11" s="1"/>
  <c r="J149" i="11"/>
  <c r="K46" i="7"/>
  <c r="K55" i="7"/>
  <c r="K20" i="9"/>
  <c r="L72" i="1"/>
  <c r="L73" i="1" s="1"/>
  <c r="L53" i="1"/>
  <c r="L54" i="1" s="1"/>
  <c r="I57" i="1"/>
  <c r="I58" i="1"/>
  <c r="I55" i="1"/>
  <c r="I56" i="1"/>
  <c r="M72" i="1"/>
  <c r="M73" i="1" s="1"/>
  <c r="M80" i="1" s="1"/>
  <c r="M53" i="1"/>
  <c r="M54" i="1" s="1"/>
  <c r="J85" i="1"/>
  <c r="J57" i="1"/>
  <c r="J58" i="1"/>
  <c r="J36" i="7"/>
  <c r="J54" i="7"/>
  <c r="H50" i="11" s="1"/>
  <c r="J46" i="7"/>
  <c r="K36" i="7"/>
  <c r="J80" i="1"/>
  <c r="M77" i="1"/>
  <c r="M83" i="1" s="1"/>
  <c r="J84" i="1"/>
  <c r="I85" i="1"/>
  <c r="K76" i="1"/>
  <c r="K88" i="1" s="1"/>
  <c r="K78" i="1"/>
  <c r="J76" i="1"/>
  <c r="J89" i="1" s="1"/>
  <c r="J78" i="1"/>
  <c r="M64" i="1"/>
  <c r="M74" i="1"/>
  <c r="L41" i="1"/>
  <c r="L77" i="1"/>
  <c r="L64" i="1"/>
  <c r="K83" i="1"/>
  <c r="K74" i="1"/>
  <c r="H58" i="7" l="1"/>
  <c r="H59" i="7" s="1"/>
  <c r="H60" i="7" s="1"/>
  <c r="H5" i="7" s="1"/>
  <c r="H61" i="7"/>
  <c r="H62" i="7" s="1"/>
  <c r="H6" i="7" s="1"/>
  <c r="K129" i="1"/>
  <c r="I115" i="11" s="1"/>
  <c r="J22" i="9"/>
  <c r="H38" i="11" s="1"/>
  <c r="J95" i="1"/>
  <c r="H80" i="11"/>
  <c r="L36" i="7"/>
  <c r="L9" i="9" s="1"/>
  <c r="H21" i="11"/>
  <c r="L54" i="7"/>
  <c r="J50" i="11" s="1"/>
  <c r="I19" i="9"/>
  <c r="G37" i="11" s="1"/>
  <c r="I11" i="9"/>
  <c r="G31" i="11" s="1"/>
  <c r="L46" i="7"/>
  <c r="J135" i="1"/>
  <c r="J134" i="1"/>
  <c r="H121" i="11" s="1"/>
  <c r="K7" i="9"/>
  <c r="J66" i="10"/>
  <c r="J71" i="10" s="1"/>
  <c r="I23" i="11"/>
  <c r="K41" i="9"/>
  <c r="K19" i="9"/>
  <c r="I37" i="11" s="1"/>
  <c r="K53" i="9"/>
  <c r="I21" i="11"/>
  <c r="I80" i="11"/>
  <c r="K91" i="1"/>
  <c r="H22" i="11"/>
  <c r="H81" i="11"/>
  <c r="J75" i="11"/>
  <c r="J20" i="11"/>
  <c r="L16" i="9"/>
  <c r="J36" i="11" s="1"/>
  <c r="L46" i="1"/>
  <c r="L8" i="9" s="1"/>
  <c r="J30" i="11" s="1"/>
  <c r="L6" i="9"/>
  <c r="J29" i="11" s="1"/>
  <c r="L43" i="1"/>
  <c r="L44" i="1" s="1"/>
  <c r="L17" i="9"/>
  <c r="L50" i="9"/>
  <c r="L51" i="9"/>
  <c r="H107" i="10"/>
  <c r="H78" i="10"/>
  <c r="H84" i="10" s="1"/>
  <c r="H94" i="10" s="1"/>
  <c r="H72" i="10"/>
  <c r="K8" i="9"/>
  <c r="I30" i="11" s="1"/>
  <c r="K47" i="1"/>
  <c r="I78" i="11" s="1"/>
  <c r="G84" i="11"/>
  <c r="I194" i="1"/>
  <c r="I195" i="1" s="1"/>
  <c r="I35" i="9"/>
  <c r="I103" i="1"/>
  <c r="H4" i="10"/>
  <c r="I44" i="9"/>
  <c r="I42" i="9"/>
  <c r="I43" i="9"/>
  <c r="I45" i="9"/>
  <c r="I107" i="10"/>
  <c r="I72" i="10"/>
  <c r="I78" i="10"/>
  <c r="I84" i="10" s="1"/>
  <c r="I94" i="10" s="1"/>
  <c r="M138" i="1"/>
  <c r="K75" i="11"/>
  <c r="M46" i="1"/>
  <c r="K20" i="11"/>
  <c r="M16" i="9"/>
  <c r="K36" i="11" s="1"/>
  <c r="M6" i="9"/>
  <c r="K29" i="11" s="1"/>
  <c r="M17" i="9"/>
  <c r="M43" i="1"/>
  <c r="M44" i="1" s="1"/>
  <c r="J192" i="1"/>
  <c r="H153" i="11" s="1"/>
  <c r="H137" i="11"/>
  <c r="J158" i="1"/>
  <c r="J46" i="9"/>
  <c r="H46" i="11" s="1"/>
  <c r="H51" i="11"/>
  <c r="J21" i="9"/>
  <c r="K80" i="11"/>
  <c r="K21" i="11"/>
  <c r="M91" i="1"/>
  <c r="M50" i="9"/>
  <c r="M51" i="9"/>
  <c r="K89" i="1"/>
  <c r="H118" i="11"/>
  <c r="J39" i="9"/>
  <c r="J38" i="9"/>
  <c r="H43" i="11" s="1"/>
  <c r="J8" i="9"/>
  <c r="H30" i="11" s="1"/>
  <c r="J47" i="1"/>
  <c r="H78" i="11" s="1"/>
  <c r="J88" i="1"/>
  <c r="K11" i="9" s="1"/>
  <c r="I31" i="11" s="1"/>
  <c r="K23" i="11"/>
  <c r="L66" i="10"/>
  <c r="L71" i="10" s="1"/>
  <c r="K192" i="1"/>
  <c r="I153" i="11" s="1"/>
  <c r="I137" i="11"/>
  <c r="K158" i="1"/>
  <c r="K46" i="9"/>
  <c r="I46" i="11" s="1"/>
  <c r="K21" i="9"/>
  <c r="I51" i="11"/>
  <c r="J55" i="7"/>
  <c r="J20" i="9"/>
  <c r="J10" i="9"/>
  <c r="J47" i="7"/>
  <c r="J9" i="9"/>
  <c r="K10" i="9"/>
  <c r="K47" i="7"/>
  <c r="K9" i="9"/>
  <c r="K58" i="1"/>
  <c r="K57" i="1"/>
  <c r="J59" i="1"/>
  <c r="J60" i="1"/>
  <c r="I59" i="1"/>
  <c r="I60" i="1"/>
  <c r="M57" i="1"/>
  <c r="M58" i="1"/>
  <c r="M36" i="7"/>
  <c r="M54" i="7"/>
  <c r="M55" i="7" s="1"/>
  <c r="M46" i="7"/>
  <c r="L138" i="1"/>
  <c r="J86" i="1"/>
  <c r="M78" i="1"/>
  <c r="M86" i="1" s="1"/>
  <c r="M76" i="1"/>
  <c r="M88" i="1" s="1"/>
  <c r="L78" i="1"/>
  <c r="L76" i="1"/>
  <c r="L88" i="1" s="1"/>
  <c r="M85" i="1"/>
  <c r="M84" i="1"/>
  <c r="K84" i="1"/>
  <c r="K80" i="1"/>
  <c r="K86" i="1" s="1"/>
  <c r="M89" i="1"/>
  <c r="L74" i="1"/>
  <c r="L83" i="1"/>
  <c r="L81" i="1"/>
  <c r="L90" i="1" s="1"/>
  <c r="K85" i="1"/>
  <c r="K132" i="1" l="1"/>
  <c r="K134" i="1" s="1"/>
  <c r="I121" i="11" s="1"/>
  <c r="K50" i="11"/>
  <c r="L129" i="1"/>
  <c r="L132" i="1" s="1"/>
  <c r="L47" i="1"/>
  <c r="J78" i="11" s="1"/>
  <c r="L20" i="9"/>
  <c r="L47" i="7"/>
  <c r="L10" i="9"/>
  <c r="L55" i="7"/>
  <c r="L11" i="9"/>
  <c r="J31" i="11" s="1"/>
  <c r="L19" i="9"/>
  <c r="J37" i="11" s="1"/>
  <c r="L41" i="9"/>
  <c r="L53" i="9"/>
  <c r="M11" i="9"/>
  <c r="K31" i="11" s="1"/>
  <c r="M53" i="9"/>
  <c r="M41" i="9"/>
  <c r="M19" i="9"/>
  <c r="K37" i="11" s="1"/>
  <c r="K81" i="11"/>
  <c r="K22" i="11"/>
  <c r="I22" i="11"/>
  <c r="I81" i="11"/>
  <c r="K39" i="9"/>
  <c r="K38" i="9"/>
  <c r="I43" i="11" s="1"/>
  <c r="L107" i="10"/>
  <c r="L72" i="10"/>
  <c r="L78" i="10"/>
  <c r="L84" i="10" s="1"/>
  <c r="L94" i="10" s="1"/>
  <c r="L157" i="1"/>
  <c r="J124" i="11"/>
  <c r="J19" i="9"/>
  <c r="H37" i="11" s="1"/>
  <c r="J41" i="9"/>
  <c r="J53" i="9"/>
  <c r="J11" i="9"/>
  <c r="H31" i="11" s="1"/>
  <c r="M157" i="1"/>
  <c r="K124" i="11"/>
  <c r="H98" i="10"/>
  <c r="H93" i="10"/>
  <c r="H92" i="10"/>
  <c r="I51" i="7" s="1"/>
  <c r="G39" i="11" s="1"/>
  <c r="H95" i="10"/>
  <c r="I50" i="7" s="1"/>
  <c r="H96" i="10"/>
  <c r="I52" i="7" s="1"/>
  <c r="G40" i="11" s="1"/>
  <c r="J23" i="11"/>
  <c r="K66" i="10"/>
  <c r="K71" i="10" s="1"/>
  <c r="J21" i="11"/>
  <c r="J80" i="11"/>
  <c r="L91" i="1"/>
  <c r="I96" i="10"/>
  <c r="J52" i="7" s="1"/>
  <c r="H40" i="11" s="1"/>
  <c r="I98" i="10"/>
  <c r="I93" i="10"/>
  <c r="I92" i="10"/>
  <c r="J51" i="7" s="1"/>
  <c r="H39" i="11" s="1"/>
  <c r="I95" i="10"/>
  <c r="J50" i="7" s="1"/>
  <c r="G90" i="11"/>
  <c r="I111" i="1"/>
  <c r="I33" i="9"/>
  <c r="I34" i="9"/>
  <c r="J107" i="10"/>
  <c r="J72" i="10"/>
  <c r="J78" i="10"/>
  <c r="J84" i="10" s="1"/>
  <c r="J94" i="10" s="1"/>
  <c r="H84" i="11"/>
  <c r="J42" i="9"/>
  <c r="J44" i="9"/>
  <c r="I4" i="10"/>
  <c r="J45" i="9"/>
  <c r="J43" i="9"/>
  <c r="J103" i="1"/>
  <c r="J35" i="9"/>
  <c r="J194" i="1"/>
  <c r="J195" i="1" s="1"/>
  <c r="M8" i="9"/>
  <c r="K30" i="11" s="1"/>
  <c r="M47" i="1"/>
  <c r="K78" i="11" s="1"/>
  <c r="L89" i="1"/>
  <c r="M10" i="9"/>
  <c r="M20" i="9"/>
  <c r="M47" i="7"/>
  <c r="M9" i="9"/>
  <c r="L7" i="9"/>
  <c r="M7" i="9"/>
  <c r="K59" i="1"/>
  <c r="K60" i="1"/>
  <c r="L57" i="1"/>
  <c r="L58" i="1"/>
  <c r="M59" i="1"/>
  <c r="M60" i="1"/>
  <c r="M55" i="1"/>
  <c r="M56" i="1"/>
  <c r="K55" i="1"/>
  <c r="K56" i="1"/>
  <c r="J55" i="1"/>
  <c r="J56" i="1"/>
  <c r="L80" i="1"/>
  <c r="L86" i="1" s="1"/>
  <c r="L84" i="1"/>
  <c r="L85" i="1"/>
  <c r="K95" i="1" l="1"/>
  <c r="K135" i="1"/>
  <c r="I118" i="11"/>
  <c r="K22" i="9"/>
  <c r="I38" i="11" s="1"/>
  <c r="G60" i="9"/>
  <c r="F60" i="9"/>
  <c r="D62" i="9"/>
  <c r="G62" i="9"/>
  <c r="D61" i="9"/>
  <c r="H59" i="9"/>
  <c r="D60" i="9"/>
  <c r="H63" i="9"/>
  <c r="G63" i="9"/>
  <c r="E61" i="9"/>
  <c r="F59" i="9"/>
  <c r="H62" i="9"/>
  <c r="G59" i="9"/>
  <c r="H60" i="9"/>
  <c r="E60" i="9"/>
  <c r="G61" i="9"/>
  <c r="H4" i="7"/>
  <c r="H7" i="7" s="1"/>
  <c r="H13" i="7" s="1"/>
  <c r="F61" i="9"/>
  <c r="E62" i="9"/>
  <c r="H61" i="9"/>
  <c r="F62" i="9"/>
  <c r="F63" i="9"/>
  <c r="E63" i="9"/>
  <c r="D59" i="9"/>
  <c r="D63" i="9"/>
  <c r="E59" i="9"/>
  <c r="M129" i="1"/>
  <c r="K115" i="11" s="1"/>
  <c r="J115" i="11"/>
  <c r="L135" i="1"/>
  <c r="L95" i="1"/>
  <c r="L134" i="1"/>
  <c r="J121" i="11" s="1"/>
  <c r="L92" i="10"/>
  <c r="M51" i="7" s="1"/>
  <c r="K39" i="11" s="1"/>
  <c r="L95" i="10"/>
  <c r="M50" i="7" s="1"/>
  <c r="L93" i="10"/>
  <c r="L98" i="10"/>
  <c r="J22" i="11"/>
  <c r="J81" i="11"/>
  <c r="L38" i="9"/>
  <c r="J43" i="11" s="1"/>
  <c r="L39" i="9"/>
  <c r="J118" i="11"/>
  <c r="L22" i="9"/>
  <c r="J38" i="11" s="1"/>
  <c r="J98" i="10"/>
  <c r="J96" i="10"/>
  <c r="K52" i="7" s="1"/>
  <c r="I40" i="11" s="1"/>
  <c r="J92" i="10"/>
  <c r="K51" i="7" s="1"/>
  <c r="I39" i="11" s="1"/>
  <c r="J95" i="10"/>
  <c r="K50" i="7" s="1"/>
  <c r="J93" i="10"/>
  <c r="H90" i="11"/>
  <c r="J111" i="1"/>
  <c r="J34" i="9"/>
  <c r="J33" i="9"/>
  <c r="G98" i="11"/>
  <c r="I23" i="9"/>
  <c r="I30" i="9"/>
  <c r="I47" i="9"/>
  <c r="K107" i="10"/>
  <c r="K78" i="10"/>
  <c r="K84" i="10" s="1"/>
  <c r="K72" i="10"/>
  <c r="M192" i="1"/>
  <c r="K153" i="11" s="1"/>
  <c r="K51" i="11"/>
  <c r="K137" i="11"/>
  <c r="M46" i="9"/>
  <c r="K46" i="11" s="1"/>
  <c r="M21" i="9"/>
  <c r="M158" i="1"/>
  <c r="L192" i="1"/>
  <c r="J153" i="11" s="1"/>
  <c r="J51" i="11"/>
  <c r="L21" i="9"/>
  <c r="L158" i="1"/>
  <c r="J137" i="11"/>
  <c r="L46" i="9"/>
  <c r="J46" i="11" s="1"/>
  <c r="I84" i="11"/>
  <c r="K44" i="9"/>
  <c r="J4" i="10"/>
  <c r="K42" i="9"/>
  <c r="K43" i="9"/>
  <c r="K103" i="1"/>
  <c r="K35" i="9"/>
  <c r="K194" i="1"/>
  <c r="K195" i="1" s="1"/>
  <c r="K45" i="9"/>
  <c r="L59" i="1"/>
  <c r="L60" i="1"/>
  <c r="L55" i="1"/>
  <c r="L56" i="1"/>
  <c r="M132" i="1" l="1"/>
  <c r="M95" i="1" s="1"/>
  <c r="H17" i="7"/>
  <c r="H20" i="7" s="1"/>
  <c r="L96" i="10"/>
  <c r="M52" i="7" s="1"/>
  <c r="K40" i="11" s="1"/>
  <c r="K94" i="10"/>
  <c r="G10" i="11" s="1"/>
  <c r="K111" i="1"/>
  <c r="K30" i="9" s="1"/>
  <c r="I90" i="11"/>
  <c r="K33" i="9"/>
  <c r="K34" i="9"/>
  <c r="H98" i="11"/>
  <c r="J47" i="9"/>
  <c r="J23" i="9"/>
  <c r="M134" i="1"/>
  <c r="K121" i="11" s="1"/>
  <c r="K118" i="11"/>
  <c r="M39" i="9"/>
  <c r="M22" i="9"/>
  <c r="K38" i="11" s="1"/>
  <c r="J84" i="11"/>
  <c r="L44" i="9"/>
  <c r="L43" i="9"/>
  <c r="L45" i="9"/>
  <c r="L35" i="9"/>
  <c r="L42" i="9"/>
  <c r="L103" i="1"/>
  <c r="L194" i="1"/>
  <c r="L195" i="1" s="1"/>
  <c r="K4" i="10"/>
  <c r="K93" i="10"/>
  <c r="K98" i="10"/>
  <c r="K96" i="10"/>
  <c r="L52" i="7" s="1"/>
  <c r="J40" i="11" s="1"/>
  <c r="K95" i="10"/>
  <c r="L50" i="7" s="1"/>
  <c r="K92" i="10"/>
  <c r="L51" i="7" s="1"/>
  <c r="J39" i="11" s="1"/>
  <c r="G11" i="11" s="1"/>
  <c r="J30" i="9"/>
  <c r="M135" i="1"/>
  <c r="K84" i="11"/>
  <c r="M38" i="9" l="1"/>
  <c r="K43" i="11" s="1"/>
  <c r="I20" i="7"/>
  <c r="H19" i="7"/>
  <c r="C5" i="11"/>
  <c r="C27" i="8"/>
  <c r="I98" i="11"/>
  <c r="K23" i="9"/>
  <c r="K47" i="9"/>
  <c r="L111" i="1"/>
  <c r="J90" i="11"/>
  <c r="L33" i="9"/>
  <c r="L34" i="9"/>
  <c r="L4" i="10"/>
  <c r="M43" i="9"/>
  <c r="M35" i="9"/>
  <c r="M44" i="9"/>
  <c r="M45" i="9"/>
  <c r="M42" i="9"/>
  <c r="M103" i="1"/>
  <c r="M194" i="1"/>
  <c r="M195" i="1" s="1"/>
  <c r="I19" i="7" l="1"/>
  <c r="J20" i="7"/>
  <c r="K20" i="7" s="1"/>
  <c r="C8" i="11"/>
  <c r="C11" i="11" s="1"/>
  <c r="K8" i="11"/>
  <c r="K9" i="11"/>
  <c r="K11" i="11"/>
  <c r="K7" i="11"/>
  <c r="K10" i="11"/>
  <c r="K90" i="11"/>
  <c r="M111" i="1"/>
  <c r="K98" i="11" s="1"/>
  <c r="J98" i="11"/>
  <c r="L47" i="9"/>
  <c r="L23" i="9"/>
  <c r="L30" i="9"/>
  <c r="M33" i="9"/>
  <c r="M34" i="9"/>
  <c r="L20" i="7" l="1"/>
  <c r="M47" i="9"/>
  <c r="M23" i="9"/>
  <c r="M30" i="9"/>
  <c r="K19" i="7" l="1"/>
  <c r="J19" i="7"/>
  <c r="M20" i="7"/>
  <c r="M19" i="7" s="1"/>
  <c r="L19"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mcoffin</author>
  </authors>
  <commentList>
    <comment ref="B47" authorId="0" shapeId="0" xr:uid="{C6C8A4C3-7757-8646-8751-18FB1872EAF0}">
      <text>
        <r>
          <rPr>
            <b/>
            <sz val="9"/>
            <color rgb="FF000000"/>
            <rFont val="Tahoma"/>
            <family val="2"/>
          </rPr>
          <t>Morningstar:</t>
        </r>
        <r>
          <rPr>
            <sz val="9"/>
            <color rgb="FF000000"/>
            <rFont val="Tahoma"/>
            <family val="2"/>
          </rPr>
          <t xml:space="preserve">
</t>
        </r>
        <r>
          <rPr>
            <sz val="9"/>
            <color rgb="FF000000"/>
            <rFont val="Tahoma"/>
            <family val="2"/>
          </rPr>
          <t>Note that this definition of RONIC is different from that used in the "ROIC" section below. This definition does not consider additions to cash and investments new invested capital, while the definition below does.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<sst xmlns="http://schemas.openxmlformats.org/spreadsheetml/2006/main" count="1053" uniqueCount="780">
  <si>
    <t>(In thousands $)</t>
  </si>
  <si>
    <t>Gross Profit</t>
  </si>
  <si>
    <t xml:space="preserve">    Revenue</t>
  </si>
  <si>
    <t xml:space="preserve">        Business Revenue</t>
  </si>
  <si>
    <t xml:space="preserve">        Total Revenue</t>
  </si>
  <si>
    <t xml:space="preserve">    Cost of Revenue</t>
  </si>
  <si>
    <t xml:space="preserve">        Cost of Goods and Services</t>
  </si>
  <si>
    <t xml:space="preserve">        Total Cost of Revenue</t>
  </si>
  <si>
    <t xml:space="preserve">    Total Gross Profit</t>
  </si>
  <si>
    <t>Operating (Income)/Expenses</t>
  </si>
  <si>
    <t xml:space="preserve">    Selling, General and Administrative Expenses</t>
  </si>
  <si>
    <t xml:space="preserve">    Research and Development Expenses</t>
  </si>
  <si>
    <t xml:space="preserve">    Total Operating (Income)/Expenses</t>
  </si>
  <si>
    <t>Total Operating Profit/(Loss)</t>
  </si>
  <si>
    <t>Non-Operating Income/(Expenses)</t>
  </si>
  <si>
    <t xml:space="preserve">    Net Finance (Income)/Expense</t>
  </si>
  <si>
    <t xml:space="preserve">        Net Interest (Income)/Expense</t>
  </si>
  <si>
    <t xml:space="preserve">            Interest Expense Net of Capitalized Interest</t>
  </si>
  <si>
    <t xml:space="preserve">            Interest Income</t>
  </si>
  <si>
    <t xml:space="preserve">            Total Net Interest (Income)/Expense</t>
  </si>
  <si>
    <t xml:space="preserve">        Total Net Finance (Income)/Expense</t>
  </si>
  <si>
    <t xml:space="preserve">    Other Income/(Expense), Non-Operating</t>
  </si>
  <si>
    <t xml:space="preserve">    Total Non-Operating Income/(Expenses), Total</t>
  </si>
  <si>
    <t>Pretax Income</t>
  </si>
  <si>
    <t>Provision for Income Tax</t>
  </si>
  <si>
    <t>Net Income</t>
  </si>
  <si>
    <t>Basic EPS</t>
  </si>
  <si>
    <t xml:space="preserve">    Basic EPS from Continuing Operations</t>
  </si>
  <si>
    <t xml:space="preserve">    Total Basic EPS</t>
  </si>
  <si>
    <t>Diluted EPS</t>
  </si>
  <si>
    <t xml:space="preserve">    Diluted EPS from Continuing Operations</t>
  </si>
  <si>
    <t xml:space="preserve">    Total Diluted EPS</t>
  </si>
  <si>
    <t>Basic Weighted Average Shares Outstanding</t>
  </si>
  <si>
    <t>Diluted Weighted Average Shares Outstanding</t>
  </si>
  <si>
    <t>Income Statement Supplemental Section</t>
  </si>
  <si>
    <t xml:space="preserve">    Per Share Calculations</t>
  </si>
  <si>
    <t xml:space="preserve">        Common Dividend per Share (Paid)</t>
  </si>
  <si>
    <t xml:space="preserve">        EBITDA per Share</t>
  </si>
  <si>
    <t xml:space="preserve">        EBITDAR per Share</t>
  </si>
  <si>
    <t xml:space="preserve">        Basic EPS (Normalized)</t>
  </si>
  <si>
    <t xml:space="preserve">        Diluted EPS (Normalized)</t>
  </si>
  <si>
    <t xml:space="preserve">        Normalized EBITDA per Share</t>
  </si>
  <si>
    <t xml:space="preserve">        Normalized EBITDAR per Share</t>
  </si>
  <si>
    <t xml:space="preserve">        Recommended Normalized Basic EPS</t>
  </si>
  <si>
    <t xml:space="preserve">        Recommended Normalized Diluted EPS</t>
  </si>
  <si>
    <t xml:space="preserve">        Sales per Share</t>
  </si>
  <si>
    <t xml:space="preserve">    Reported Normalized and Operating Income/Expense Supplemental Section</t>
  </si>
  <si>
    <t xml:space="preserve">        Reported Total Revenue</t>
  </si>
  <si>
    <t xml:space="preserve">        Reported Operating Expense</t>
  </si>
  <si>
    <t xml:space="preserve">        Reported Total Operating Profit/Loss</t>
  </si>
  <si>
    <t xml:space="preserve">        Reported Effective Tax Rate</t>
  </si>
  <si>
    <t>Profitability Metrics</t>
  </si>
  <si>
    <t xml:space="preserve">    Unadjusted Profitability Metrics</t>
  </si>
  <si>
    <t xml:space="preserve">        EBITDA</t>
  </si>
  <si>
    <t xml:space="preserve">        EBIT</t>
  </si>
  <si>
    <t xml:space="preserve">        EBITDAR</t>
  </si>
  <si>
    <t xml:space="preserve">        Interest and Dividend Income</t>
  </si>
  <si>
    <t xml:space="preserve">        Tax Effect of Unusual Items</t>
  </si>
  <si>
    <t xml:space="preserve">        Total Unusual Items</t>
  </si>
  <si>
    <t xml:space="preserve">        Total Unusual Items Excluding Goodwill</t>
  </si>
  <si>
    <t xml:space="preserve">        Cost of Revenue and Operating Expense</t>
  </si>
  <si>
    <t xml:space="preserve">        Net Operating Profit After Tax (NOPAT)</t>
  </si>
  <si>
    <t xml:space="preserve">        Income After Taxes</t>
  </si>
  <si>
    <t xml:space="preserve">    Normalized Profitability Metrics</t>
  </si>
  <si>
    <t xml:space="preserve">        EBITDA (Normalized)</t>
  </si>
  <si>
    <t xml:space="preserve">        EBIT (Normalized)</t>
  </si>
  <si>
    <t xml:space="preserve">        EBITDAR (Normalized)</t>
  </si>
  <si>
    <t xml:space="preserve">        Net Income (Normalized)</t>
  </si>
  <si>
    <t xml:space="preserve">    Analyst Normalized Profitability Metrics</t>
  </si>
  <si>
    <t xml:space="preserve">        EBITDA (Analyst Normalized)</t>
  </si>
  <si>
    <t xml:space="preserve">        EBIT (Analyst Normalized)</t>
  </si>
  <si>
    <t xml:space="preserve">        Net Income (Analyst Normalized)</t>
  </si>
  <si>
    <t xml:space="preserve">        EPS (Analyst Normalized)</t>
  </si>
  <si>
    <t>Cash Flow from Operating Activities, Indirect</t>
  </si>
  <si>
    <t xml:space="preserve">    Net Cash Flow from Continuing Operating Activities, Indirect</t>
  </si>
  <si>
    <t xml:space="preserve">        Cash Generated from Operating Activities</t>
  </si>
  <si>
    <t xml:space="preserve">            Income/(Loss) before Non-Cash Adjustment</t>
  </si>
  <si>
    <t xml:space="preserve">            Adjustments for Non-Cash Items</t>
  </si>
  <si>
    <t xml:space="preserve">                Depreciation, Amortization and Depletion, Non-Cash Adjustment</t>
  </si>
  <si>
    <t xml:space="preserve">                    Depreciation and Amortization, Non-Cash Adjustment</t>
  </si>
  <si>
    <t xml:space="preserve">                    Total Depreciation, Amortization and Depletion, Non-Cash Adjustment</t>
  </si>
  <si>
    <t xml:space="preserve">                Stock-Based Compensation, Non-Cash Adjustment</t>
  </si>
  <si>
    <t xml:space="preserve">                Taxes, Non-Cash Adjustment</t>
  </si>
  <si>
    <t xml:space="preserve">                Other Non-Cash Items</t>
  </si>
  <si>
    <t xml:space="preserve">                Total Adjustments for Non-Cash Items</t>
  </si>
  <si>
    <t xml:space="preserve">            Changes in Operating Capital</t>
  </si>
  <si>
    <t xml:space="preserve">                Change in Trade and Other Receivables</t>
  </si>
  <si>
    <t xml:space="preserve">                    Change in Trade/Accounts Receivable</t>
  </si>
  <si>
    <t xml:space="preserve">                    Total Change in Trade and Other Receivables</t>
  </si>
  <si>
    <t xml:space="preserve">                Change in Other Current Assets</t>
  </si>
  <si>
    <t xml:space="preserve">                Change in Payables and Accrued Expenses</t>
  </si>
  <si>
    <t xml:space="preserve">                    Change in Trade and Other Payables</t>
  </si>
  <si>
    <t xml:space="preserve">                        Change in Trade/Accounts Payable</t>
  </si>
  <si>
    <t xml:space="preserve">                        Total Change in Trade and Other Payables</t>
  </si>
  <si>
    <t xml:space="preserve">                    Total Change in Payables and Accrued Expenses</t>
  </si>
  <si>
    <t xml:space="preserve">                Change in Other Current Liabilities</t>
  </si>
  <si>
    <t xml:space="preserve">                Total Changes in Operating Capital</t>
  </si>
  <si>
    <t xml:space="preserve">            Total Cash Generated from Operating Activities</t>
  </si>
  <si>
    <t xml:space="preserve">        Total Net Cash Flow from Continuing Operating Activities, Indirect</t>
  </si>
  <si>
    <t xml:space="preserve">    Total Cash Flow from Operating Activities, Indirect</t>
  </si>
  <si>
    <t>Cash Flow from Investing Activities</t>
  </si>
  <si>
    <t xml:space="preserve">    Cash Flow from Continuing Investing Activities</t>
  </si>
  <si>
    <t xml:space="preserve">        (Purchase)/Sale and Disposal of Property, Plant and Equipment, Net</t>
  </si>
  <si>
    <t xml:space="preserve">            Purchase of Property, Plant and Equipment</t>
  </si>
  <si>
    <t xml:space="preserve">            Total (Purchase)/Sale and Disposal of Property, Plant and Equipment, Net</t>
  </si>
  <si>
    <t xml:space="preserve">        (Purchase)/Sale of Business, Net</t>
  </si>
  <si>
    <t xml:space="preserve">            Purchase/Acquisition of Business</t>
  </si>
  <si>
    <t xml:space="preserve">            Total (Purchase)/Sale of Business, Net</t>
  </si>
  <si>
    <t xml:space="preserve">        (Purchase)/Sale of Investments, Net</t>
  </si>
  <si>
    <t xml:space="preserve">            Purchase of Investments</t>
  </si>
  <si>
    <t xml:space="preserve">            Sale of Investments</t>
  </si>
  <si>
    <t xml:space="preserve">            Total (Purchase)/Sale of Investments, Net</t>
  </si>
  <si>
    <t xml:space="preserve">        Other Investing Cash Flow</t>
  </si>
  <si>
    <t xml:space="preserve">        Total Cash Flow from Continuing Investing Activities</t>
  </si>
  <si>
    <t xml:space="preserve">    Total Cash Flow from Investing Activities</t>
  </si>
  <si>
    <t>Cash Flow from Financing Activities</t>
  </si>
  <si>
    <t xml:space="preserve">    Cash Flow from Continuing Financing Activities</t>
  </si>
  <si>
    <t xml:space="preserve">        Issuance of/(Payments for) Common Stock, Net</t>
  </si>
  <si>
    <t xml:space="preserve">            Proceeds from Issuance of Common Stock</t>
  </si>
  <si>
    <t xml:space="preserve">            Payments for Common Stock</t>
  </si>
  <si>
    <t xml:space="preserve">            Total Issuance of/(Payments for) Common Stock, Net</t>
  </si>
  <si>
    <t xml:space="preserve">        Issuance of/(Repayments for) Debt, Net</t>
  </si>
  <si>
    <t xml:space="preserve">            Issuance of/(Repayments for) Short Term Debt, Net</t>
  </si>
  <si>
    <t xml:space="preserve">            Issuance of/(Repayments for) Long Term Debt, Net</t>
  </si>
  <si>
    <t xml:space="preserve">                Proceeds from Issuance of Long Term Debt</t>
  </si>
  <si>
    <t xml:space="preserve">                Repayments for Long Term Debt</t>
  </si>
  <si>
    <t xml:space="preserve">                Total Issuance of/(Repayments for) Long Term Debt, Net</t>
  </si>
  <si>
    <t xml:space="preserve">            Total Issuance of/(Repayments for) Debt, Net</t>
  </si>
  <si>
    <t xml:space="preserve">        Cash Dividends and Interest Paid</t>
  </si>
  <si>
    <t xml:space="preserve">            Cash Dividends Paid</t>
  </si>
  <si>
    <t xml:space="preserve">                Common Stock Dividends Paid</t>
  </si>
  <si>
    <t xml:space="preserve">                Total Cash Dividends Paid</t>
  </si>
  <si>
    <t xml:space="preserve">            Total Cash Dividends and Interest Paid</t>
  </si>
  <si>
    <t xml:space="preserve">        Other Financing Cash Flow</t>
  </si>
  <si>
    <t xml:space="preserve">        Total Cash Flow from Continuing Financing Activities</t>
  </si>
  <si>
    <t xml:space="preserve">    Total Cash Flow from Financing Activities</t>
  </si>
  <si>
    <t>Cash and Cash Equivalents, End of Period</t>
  </si>
  <si>
    <t xml:space="preserve">    Change in Cash</t>
  </si>
  <si>
    <t xml:space="preserve">    Cash and Cash Equivalents, Beginning of Period</t>
  </si>
  <si>
    <t xml:space="preserve">    Total Cash and Cash Equivalents, End of Period</t>
  </si>
  <si>
    <t>Cash Flow Supplemental Section</t>
  </si>
  <si>
    <t xml:space="preserve">    Change in Cash As Reported, Supplemental</t>
  </si>
  <si>
    <t xml:space="preserve">    Income Tax Paid, Supplemental</t>
  </si>
  <si>
    <t xml:space="preserve">    Interest Paid, Supplemental</t>
  </si>
  <si>
    <t>Cash Flow Metrics</t>
  </si>
  <si>
    <t xml:space="preserve">    FCF to Firm (FCFF)</t>
  </si>
  <si>
    <t xml:space="preserve">    FCF to Equityholders (FCFE)</t>
  </si>
  <si>
    <t xml:space="preserve">    Issuance of Capital Stock</t>
  </si>
  <si>
    <t xml:space="preserve">    Issuance of Debt</t>
  </si>
  <si>
    <t xml:space="preserve">    Repayment of Debt</t>
  </si>
  <si>
    <t xml:space="preserve">    Repurchase of Capital Stock</t>
  </si>
  <si>
    <t xml:space="preserve">    FCF to CFO Ratio</t>
  </si>
  <si>
    <t>Per Share Calculations</t>
  </si>
  <si>
    <t xml:space="preserve">    Free Cash Flow per Share</t>
  </si>
  <si>
    <t xml:space="preserve">    Operating Cash Flow per Share</t>
  </si>
  <si>
    <t>BMFIN1</t>
  </si>
  <si>
    <t xml:space="preserve">Investments </t>
  </si>
  <si>
    <t xml:space="preserve">FIN-5744 </t>
  </si>
  <si>
    <t xml:space="preserve">A1 - Investment Proposal Report </t>
  </si>
  <si>
    <t xml:space="preserve">        General and Administrative Expenses</t>
  </si>
  <si>
    <t xml:space="preserve">        Selling and Marketing Expenses</t>
  </si>
  <si>
    <t xml:space="preserve">        Total Selling, General and Administrative Expenses</t>
  </si>
  <si>
    <t xml:space="preserve">    Depreciation, Amortization and Depletion</t>
  </si>
  <si>
    <t xml:space="preserve">        Depreciation and Amortization</t>
  </si>
  <si>
    <t xml:space="preserve">        Total Depreciation, Amortization and Depletion</t>
  </si>
  <si>
    <t xml:space="preserve">    Other (Income)/Expense, Operating</t>
  </si>
  <si>
    <t xml:space="preserve">        Other Expenses, Operating</t>
  </si>
  <si>
    <t xml:space="preserve">        Total Other (Income)/Expense, Operating</t>
  </si>
  <si>
    <t xml:space="preserve">    Net Investment Income</t>
  </si>
  <si>
    <t xml:space="preserve">        Gain/(Loss) on Investments and Other Financial Instruments</t>
  </si>
  <si>
    <t xml:space="preserve">        Total Net Investment Income</t>
  </si>
  <si>
    <t xml:space="preserve">    Irregular (Income)/Expenses</t>
  </si>
  <si>
    <t xml:space="preserve">        Restructuring and Reorganization (Income)/Expense</t>
  </si>
  <si>
    <t xml:space="preserve">        Total Irregular (Income)/Expenses</t>
  </si>
  <si>
    <t>-</t>
  </si>
  <si>
    <t xml:space="preserve">        Reported Normalized Income</t>
  </si>
  <si>
    <t xml:space="preserve">        Reported Normalized Operating Profit</t>
  </si>
  <si>
    <t xml:space="preserve">        EBITA</t>
  </si>
  <si>
    <t xml:space="preserve">                Amortization of Securities, Non-Cash Adjustment</t>
  </si>
  <si>
    <t xml:space="preserve">                    Total Irregular (Income)/Loss, Non-Cash Adjustment</t>
  </si>
  <si>
    <t xml:space="preserve">                    (Gain)/Loss on Financial Instruments, Non-Cash Adjustment</t>
  </si>
  <si>
    <t xml:space="preserve">                    Total Net Investment (Income)/Loss, Non-Cash Adjustment</t>
  </si>
  <si>
    <t xml:space="preserve">                    Change in Loans Receivable</t>
  </si>
  <si>
    <t xml:space="preserve">                        Change in Taxes Payable</t>
  </si>
  <si>
    <t xml:space="preserve">                Change in Other Operating Capital</t>
  </si>
  <si>
    <t xml:space="preserve">        Other Operating Cash Flow</t>
  </si>
  <si>
    <t xml:space="preserve">            Cash Advances and Loans Made to Other Parties</t>
  </si>
  <si>
    <t xml:space="preserve">            Cash Receipts from Repayment of Advances and Loans Made to Other Parties</t>
  </si>
  <si>
    <t xml:space="preserve">            Total Payment for Loan Granted and Repayments Received, Net</t>
  </si>
  <si>
    <t xml:space="preserve">            Sale and Disposal of Property, Plant and Equipment</t>
  </si>
  <si>
    <t xml:space="preserve">            Sale of Business</t>
  </si>
  <si>
    <t xml:space="preserve">        (Purchase)/Sale of Other Non-Current Assets, Net</t>
  </si>
  <si>
    <t xml:space="preserve">            Purchase of Other Non-Current Assets</t>
  </si>
  <si>
    <t xml:space="preserve">            Total (Purchase)/Sale of Other Non-Current Assets, Net</t>
  </si>
  <si>
    <t xml:space="preserve">        Change in Restricted Cash and Cash Equivalents</t>
  </si>
  <si>
    <t xml:space="preserve">Forecasting </t>
  </si>
  <si>
    <t>Sustainable</t>
  </si>
  <si>
    <t>Rapid</t>
  </si>
  <si>
    <t>Slow</t>
  </si>
  <si>
    <t>Net Investment Income</t>
  </si>
  <si>
    <t>Irregular Income/Expense</t>
  </si>
  <si>
    <t>Total Non-Operating Income/Expense</t>
  </si>
  <si>
    <t>CGS (% Sales)</t>
  </si>
  <si>
    <t>Sales Growth</t>
  </si>
  <si>
    <t>Shares Outstanding</t>
  </si>
  <si>
    <t>Interest Expense Net (% Long Term Debt)</t>
  </si>
  <si>
    <t>Assets</t>
  </si>
  <si>
    <t xml:space="preserve">    Current Assets</t>
  </si>
  <si>
    <t xml:space="preserve">        Cash, Cash Equivalents and Short Term Investments</t>
  </si>
  <si>
    <t xml:space="preserve">            Cash and Cash Equivalents</t>
  </si>
  <si>
    <t xml:space="preserve">            Short Term Investments</t>
  </si>
  <si>
    <t xml:space="preserve">                Available-for-Sale Securities, Current</t>
  </si>
  <si>
    <t xml:space="preserve">                Other Short Term Investments</t>
  </si>
  <si>
    <t xml:space="preserve">                Total Short Term Investments</t>
  </si>
  <si>
    <t xml:space="preserve">            Total Cash, Cash Equivalents and Short Term Investments</t>
  </si>
  <si>
    <t xml:space="preserve">        Cash Restricted or Pledged, Current</t>
  </si>
  <si>
    <t xml:space="preserve">        Trade and Other Receivables, Current</t>
  </si>
  <si>
    <t xml:space="preserve">            Trade/Accounts Receivable, Current</t>
  </si>
  <si>
    <t xml:space="preserve">            Loans Receivable, Current</t>
  </si>
  <si>
    <t xml:space="preserve">            Notes Receivable, Current</t>
  </si>
  <si>
    <t xml:space="preserve">            Total Trade and Other Receivables, Current</t>
  </si>
  <si>
    <t xml:space="preserve">        Other Current Assets</t>
  </si>
  <si>
    <t xml:space="preserve">        Total Current Assets</t>
  </si>
  <si>
    <t xml:space="preserve">    Non-Current Assets</t>
  </si>
  <si>
    <t xml:space="preserve">        Net Property, Plant and Equipment</t>
  </si>
  <si>
    <t xml:space="preserve">            Gross Property, Plant and Equipment</t>
  </si>
  <si>
    <t xml:space="preserve">                Properties</t>
  </si>
  <si>
    <t xml:space="preserve">                    Land and Improvements</t>
  </si>
  <si>
    <t xml:space="preserve">                    Buildings and Improvements</t>
  </si>
  <si>
    <t xml:space="preserve">                    Leasehold and Improvements</t>
  </si>
  <si>
    <t xml:space="preserve">                    Total Properties</t>
  </si>
  <si>
    <t xml:space="preserve">                Machinery, Furniture and Equipment</t>
  </si>
  <si>
    <t xml:space="preserve">                    Furniture, Fixtures and Office Equipment</t>
  </si>
  <si>
    <t xml:space="preserve">                    Total Machinery, Furniture and Equipment</t>
  </si>
  <si>
    <t xml:space="preserve">                Construction in Progress and Advance Payments</t>
  </si>
  <si>
    <t xml:space="preserve">                Total Gross Property, Plant and Equipment</t>
  </si>
  <si>
    <t xml:space="preserve">            Accumulated Depreciation and Impairment</t>
  </si>
  <si>
    <t xml:space="preserve">                Accumulated Depreciation</t>
  </si>
  <si>
    <t xml:space="preserve">                Total Accumulated Depreciation and Impairment</t>
  </si>
  <si>
    <t xml:space="preserve">            Total Net Property, Plant and Equipment</t>
  </si>
  <si>
    <t xml:space="preserve">        Net Intangible Assets</t>
  </si>
  <si>
    <t xml:space="preserve">            Gross Goodwill and Other Intangible Assets</t>
  </si>
  <si>
    <t xml:space="preserve">                Goodwill</t>
  </si>
  <si>
    <t xml:space="preserve">                Intangibles other than Goodwill</t>
  </si>
  <si>
    <t xml:space="preserve">                    Software and Technology</t>
  </si>
  <si>
    <t xml:space="preserve">                    Customer Relationships</t>
  </si>
  <si>
    <t xml:space="preserve">                    Other Intangible Assets</t>
  </si>
  <si>
    <t xml:space="preserve">                    Total Intangibles other than Goodwill</t>
  </si>
  <si>
    <t xml:space="preserve">                Total Gross Goodwill and Other Intangible Assets</t>
  </si>
  <si>
    <t xml:space="preserve">            Accumulated Amortization and Impairment</t>
  </si>
  <si>
    <t xml:space="preserve">                Accumulated Amortization of Intangible Assets</t>
  </si>
  <si>
    <t xml:space="preserve">                    Accumulated Amortization of Intangibles other than Goodwill</t>
  </si>
  <si>
    <t xml:space="preserve">                        Accumulated Amortization of Software and Technology</t>
  </si>
  <si>
    <t xml:space="preserve">                        Accumulated Amortization of Customer Relationships</t>
  </si>
  <si>
    <t xml:space="preserve">                        Accumulated Amortization of Other Intangible Assets</t>
  </si>
  <si>
    <t xml:space="preserve">                        Total Accumulated Amortization of Intangibles other than Goodwill</t>
  </si>
  <si>
    <t xml:space="preserve">                    Total Accumulated Amortization of Intangible Assets</t>
  </si>
  <si>
    <t xml:space="preserve">                Total Accumulated Amortization and Impairment</t>
  </si>
  <si>
    <t xml:space="preserve">            Total Net Intangible Assets</t>
  </si>
  <si>
    <t xml:space="preserve">        Long Term Investments</t>
  </si>
  <si>
    <t xml:space="preserve">            Investment in Financial Assets, Non-Current</t>
  </si>
  <si>
    <t xml:space="preserve">                Financial Investment Securities, Available-for-Sale &amp; Held-to-Maturity, Non-Current</t>
  </si>
  <si>
    <t xml:space="preserve">                    Available-for-Sale Securities, Non-Current</t>
  </si>
  <si>
    <t xml:space="preserve">                    Total Financial Investment Securities, Available-for-Sale &amp; Held-to-Maturity, Non-Current</t>
  </si>
  <si>
    <t xml:space="preserve">                Total Investment in Financial Assets, Non-Current</t>
  </si>
  <si>
    <t xml:space="preserve">            Other Investments, Non-Current</t>
  </si>
  <si>
    <t xml:space="preserve">            Total Long Term Investments</t>
  </si>
  <si>
    <t xml:space="preserve">        Other Non-Current Assets</t>
  </si>
  <si>
    <t xml:space="preserve">        Total Non-Current Assets</t>
  </si>
  <si>
    <t xml:space="preserve">    Total Assets</t>
  </si>
  <si>
    <t>Liabilities</t>
  </si>
  <si>
    <t xml:space="preserve">    Current Liabilities</t>
  </si>
  <si>
    <t xml:space="preserve">        Payables and Accrued Expenses, Current</t>
  </si>
  <si>
    <t xml:space="preserve">            Trade and Other Payables, Current</t>
  </si>
  <si>
    <t xml:space="preserve">                Trade/Accounts Payable, Current</t>
  </si>
  <si>
    <t xml:space="preserve">                Taxes Payable, Current</t>
  </si>
  <si>
    <t xml:space="preserve">                    Income Tax Payable, Current</t>
  </si>
  <si>
    <t xml:space="preserve">                    Total Taxes Payable, Current</t>
  </si>
  <si>
    <t xml:space="preserve">                Total Trade and Other Payables, Current</t>
  </si>
  <si>
    <t xml:space="preserve">            Accrued Expenses, Current</t>
  </si>
  <si>
    <t xml:space="preserve">            Total Payables and Accrued Expenses, Current</t>
  </si>
  <si>
    <t xml:space="preserve">        Financial Liabilities, Current</t>
  </si>
  <si>
    <t xml:space="preserve">            Current Debt and Capital Lease Obligation</t>
  </si>
  <si>
    <t xml:space="preserve">                Current Debt</t>
  </si>
  <si>
    <t xml:space="preserve">                    Notes Payable, Current Debt</t>
  </si>
  <si>
    <t xml:space="preserve">                    Total Current Debt</t>
  </si>
  <si>
    <t xml:space="preserve">                Total Current Debt and Capital Lease Obligation</t>
  </si>
  <si>
    <t xml:space="preserve">            Total Financial Liabilities, Current</t>
  </si>
  <si>
    <t xml:space="preserve">        Total Current Liabilities</t>
  </si>
  <si>
    <t xml:space="preserve">    Non-Current Liabilities</t>
  </si>
  <si>
    <t xml:space="preserve">        Financial Liabilities, Non-Current</t>
  </si>
  <si>
    <t xml:space="preserve">            Long Term Debt and Capital Lease Obligation</t>
  </si>
  <si>
    <t xml:space="preserve">                Long Term Debt</t>
  </si>
  <si>
    <t xml:space="preserve">                    Notes Payables, Non-Current</t>
  </si>
  <si>
    <t xml:space="preserve">                    Total Long Term Debt</t>
  </si>
  <si>
    <t xml:space="preserve">                Total Long Term Debt and Capital Lease Obligation</t>
  </si>
  <si>
    <t xml:space="preserve">            Total Financial Liabilities, Non-Current</t>
  </si>
  <si>
    <t xml:space="preserve">        Tax Liabilities, Non-Current</t>
  </si>
  <si>
    <t xml:space="preserve">            Deferred Tax Liabilities, Non-Current</t>
  </si>
  <si>
    <t xml:space="preserve">            Total Tax Liabilities, Non-Current</t>
  </si>
  <si>
    <t xml:space="preserve">        Other Non-Current Liabilities</t>
  </si>
  <si>
    <t xml:space="preserve">        Total Non-Current Liabilities</t>
  </si>
  <si>
    <t xml:space="preserve">    Total Liabilities</t>
  </si>
  <si>
    <t>Interest Income (% Cash &amp; Investments)</t>
  </si>
  <si>
    <t>Depreciation (% Sales)</t>
  </si>
  <si>
    <t>Equity</t>
  </si>
  <si>
    <t xml:space="preserve">    Equity Attributable to Parent Stockholders</t>
  </si>
  <si>
    <t xml:space="preserve">        Paid in Capital</t>
  </si>
  <si>
    <t xml:space="preserve">            Capital Stock</t>
  </si>
  <si>
    <t xml:space="preserve">                Common Stock</t>
  </si>
  <si>
    <t xml:space="preserve">                Preferred Stock</t>
  </si>
  <si>
    <t xml:space="preserve">                Additional Paid in Capital/Share Premium</t>
  </si>
  <si>
    <t xml:space="preserve">                Total Capital Stock</t>
  </si>
  <si>
    <t xml:space="preserve">            Treasury Stock</t>
  </si>
  <si>
    <t xml:space="preserve">            Total Paid in Capital</t>
  </si>
  <si>
    <t xml:space="preserve">        Retained Earnings/Accumulated Deficit</t>
  </si>
  <si>
    <t xml:space="preserve">        Reserves/Accumulated Comprehensive Income/Losses</t>
  </si>
  <si>
    <t xml:space="preserve">            Other Reserves/Accum. Comp. Inc</t>
  </si>
  <si>
    <t xml:space="preserve">            Total Reserves/Accumulated Comprehensive Income/Losses</t>
  </si>
  <si>
    <t xml:space="preserve">        Other Equity Interest</t>
  </si>
  <si>
    <t xml:space="preserve">        Total Equity Attributable to Parent Stockholders</t>
  </si>
  <si>
    <t xml:space="preserve">    Non-Controlling/Minority Interests</t>
  </si>
  <si>
    <t xml:space="preserve">    Total Equity</t>
  </si>
  <si>
    <t>Balance Sheet Supplemental Section</t>
  </si>
  <si>
    <t xml:space="preserve">    Common Shares Issued</t>
  </si>
  <si>
    <t xml:space="preserve">        Common Shares Outstanding</t>
  </si>
  <si>
    <t xml:space="preserve">        Common Shares Treasury</t>
  </si>
  <si>
    <t xml:space="preserve">        Total Common Shares Issued</t>
  </si>
  <si>
    <t>Total Maturity Schedule</t>
  </si>
  <si>
    <t xml:space="preserve">    Debt Maturity Schedule</t>
  </si>
  <si>
    <t xml:space="preserve">        Debt due in Year 1</t>
  </si>
  <si>
    <t xml:space="preserve">        Debt due in Year 2</t>
  </si>
  <si>
    <t xml:space="preserve">        Debt due in Year 3</t>
  </si>
  <si>
    <t xml:space="preserve">        Debt due in Year 4</t>
  </si>
  <si>
    <t xml:space="preserve">        Debt due in Year 5</t>
  </si>
  <si>
    <t xml:space="preserve">        Debt due Beyond</t>
  </si>
  <si>
    <t xml:space="preserve">        Debt - Interests Charges and Other Adjustments</t>
  </si>
  <si>
    <t xml:space="preserve">        Total Debt Maturity Schedule</t>
  </si>
  <si>
    <t xml:space="preserve">    Operating Lease Obligation Maturity Schedule</t>
  </si>
  <si>
    <t xml:space="preserve">        Operating Lease due in year 1</t>
  </si>
  <si>
    <t xml:space="preserve">        Operating Lease due in year 2</t>
  </si>
  <si>
    <t xml:space="preserve">        Operating Lease due in year 3</t>
  </si>
  <si>
    <t xml:space="preserve">        Operating Lease due in year 4</t>
  </si>
  <si>
    <t xml:space="preserve">        Operating Lease due in year 5</t>
  </si>
  <si>
    <t xml:space="preserve">        Operating Lease due Beyond</t>
  </si>
  <si>
    <t xml:space="preserve">        Operating Lease - Interests Charges and Other Adjustments</t>
  </si>
  <si>
    <t xml:space="preserve">        Operating Lease Obligation Maturity Schedule Total</t>
  </si>
  <si>
    <t xml:space="preserve">    Other Contractual Obligations Maturity Schedule</t>
  </si>
  <si>
    <t xml:space="preserve">        Other Contractual Obligations due in year 1</t>
  </si>
  <si>
    <t xml:space="preserve">        Other Contractual Obligations due in year 2</t>
  </si>
  <si>
    <t xml:space="preserve">        Other Contractual Obligations due in year 3</t>
  </si>
  <si>
    <t xml:space="preserve">        Other Contractual Obligations due in year 4</t>
  </si>
  <si>
    <t xml:space="preserve">        Other Contractual Obligations due in year 5</t>
  </si>
  <si>
    <t xml:space="preserve">        Other Contractual Obligations due Beyond</t>
  </si>
  <si>
    <t xml:space="preserve">        Other Contractual Obligations Maturity Schedule Total</t>
  </si>
  <si>
    <t xml:space="preserve">    Lease Liability</t>
  </si>
  <si>
    <t xml:space="preserve">        Total Lease Liability - Due in year 1</t>
  </si>
  <si>
    <t xml:space="preserve">        Total Lease Liability - Due in year 2</t>
  </si>
  <si>
    <t xml:space="preserve">        Total Lease Liability - Due in year 3</t>
  </si>
  <si>
    <t xml:space="preserve">        Total Lease Liability - Due in year 4</t>
  </si>
  <si>
    <t xml:space="preserve">        Total Lease Liability - Due in year 5</t>
  </si>
  <si>
    <t xml:space="preserve">        Total Lease Liability - Beyond</t>
  </si>
  <si>
    <t xml:space="preserve">        Total Lease Liability - Interest Charges and Other Adjustments</t>
  </si>
  <si>
    <t xml:space="preserve">        Total Lease Liability</t>
  </si>
  <si>
    <t xml:space="preserve">    Contractual Obligations</t>
  </si>
  <si>
    <t xml:space="preserve">        Total Contractual Obligations due in year 1</t>
  </si>
  <si>
    <t xml:space="preserve">        Total Contractual Obligations due in year 2</t>
  </si>
  <si>
    <t xml:space="preserve">        Total Contractual Obligations due in year 3</t>
  </si>
  <si>
    <t xml:space="preserve">        Total Contractual Obligations due in year 4</t>
  </si>
  <si>
    <t xml:space="preserve">        Total Contractual Obligations due in year 5</t>
  </si>
  <si>
    <t xml:space="preserve">        Total Contractual Obligations due Beyond</t>
  </si>
  <si>
    <t xml:space="preserve">        Total Contractual Obligations - Interests Charges and Other Adjustments</t>
  </si>
  <si>
    <t xml:space="preserve">        Total Contractual Obligations</t>
  </si>
  <si>
    <t>Financial Health Metrics</t>
  </si>
  <si>
    <t xml:space="preserve">    Total Debt</t>
  </si>
  <si>
    <t xml:space="preserve">    Net Debt</t>
  </si>
  <si>
    <t xml:space="preserve">    Common Equity Book Value</t>
  </si>
  <si>
    <t xml:space="preserve">    Total Liabilities &amp; Equity</t>
  </si>
  <si>
    <t xml:space="preserve">    Net Tangible Assets</t>
  </si>
  <si>
    <t xml:space="preserve">    Tangible Book Value</t>
  </si>
  <si>
    <t xml:space="preserve">    Working Capital</t>
  </si>
  <si>
    <t xml:space="preserve">    Invested Capital</t>
  </si>
  <si>
    <t xml:space="preserve">    Total Shares Outstanding (TSO)</t>
  </si>
  <si>
    <t xml:space="preserve">    Number of Employees</t>
  </si>
  <si>
    <t xml:space="preserve">    Book Value per Share</t>
  </si>
  <si>
    <t xml:space="preserve">    Cash And Cash Equivalents per Share</t>
  </si>
  <si>
    <t xml:space="preserve">    Cash, Cash Equivalents And Short Term Investments per Share</t>
  </si>
  <si>
    <t xml:space="preserve">    Net Intangible Assets per Share</t>
  </si>
  <si>
    <t xml:space="preserve">    Total Asset per Share</t>
  </si>
  <si>
    <t>General &amp; Admin Expense (% Sales)</t>
  </si>
  <si>
    <t>Selling &amp; Marketing Expense (% Sales)</t>
  </si>
  <si>
    <t>Research &amp; Development Expenses (% Sales)</t>
  </si>
  <si>
    <t>Other Operating Expense (% Sales)</t>
  </si>
  <si>
    <t>Cash and Equivalents</t>
  </si>
  <si>
    <t>Accounts Receivable</t>
  </si>
  <si>
    <t xml:space="preserve">   Receivable Days (End of Year)</t>
  </si>
  <si>
    <t>Inventory</t>
  </si>
  <si>
    <t xml:space="preserve">   Inventory Days (End of Year)</t>
  </si>
  <si>
    <t>Deferred Tax Assets (Current)</t>
  </si>
  <si>
    <t>Other Short-Term Assets</t>
  </si>
  <si>
    <t>Current Assets</t>
  </si>
  <si>
    <t>Net Property, Plant, and Equipment</t>
  </si>
  <si>
    <t>Goodwill</t>
  </si>
  <si>
    <t>Other Intangibles</t>
  </si>
  <si>
    <t>Deferred Tax Assets (Long-Term)</t>
  </si>
  <si>
    <t>Other Long-Term Operating Assets</t>
  </si>
  <si>
    <t>Long-Term Non-Operating Assets</t>
  </si>
  <si>
    <t>Total Assets</t>
  </si>
  <si>
    <t>Accounts Payable</t>
  </si>
  <si>
    <t xml:space="preserve">   Payable Days (End of Year)</t>
  </si>
  <si>
    <t>Short-Term Debt</t>
  </si>
  <si>
    <t>Deferred Tax Liabilities (Current)</t>
  </si>
  <si>
    <t>Other Short-Term Liabilities</t>
  </si>
  <si>
    <t>Current Liabilities</t>
  </si>
  <si>
    <t>Long-Term Debt</t>
  </si>
  <si>
    <t>Deferred Tax Liabilities (Long-Term)</t>
  </si>
  <si>
    <t>Other Long-Term Operating Liabilities</t>
  </si>
  <si>
    <t>Long-Term Non-Operating Liabilities</t>
  </si>
  <si>
    <t>Total Liabilities</t>
  </si>
  <si>
    <t>Preferred Stock</t>
  </si>
  <si>
    <t>Common Stock</t>
  </si>
  <si>
    <t>Additional Paid-In Capital</t>
  </si>
  <si>
    <t>Retained Earnings (Deficit)</t>
  </si>
  <si>
    <t>(Treasury Stock)</t>
  </si>
  <si>
    <t>Other Equity</t>
  </si>
  <si>
    <t>Shareholder's Equity</t>
  </si>
  <si>
    <t>Minority Interest</t>
  </si>
  <si>
    <t>Total Equity</t>
  </si>
  <si>
    <t>Balance Sheet</t>
  </si>
  <si>
    <t>Amortization (% Sales)</t>
  </si>
  <si>
    <t>Capital Expenditures (% Sales)</t>
  </si>
  <si>
    <t>Intangibles</t>
  </si>
  <si>
    <t>Net Working Capital</t>
  </si>
  <si>
    <t>Cash Flow Statement</t>
  </si>
  <si>
    <t>Depreciation</t>
  </si>
  <si>
    <t xml:space="preserve">   Depreciation as % Sales</t>
  </si>
  <si>
    <t xml:space="preserve">   Remaining Useful Life of PP&amp;E, in Years</t>
  </si>
  <si>
    <t>Amortization</t>
  </si>
  <si>
    <t>Stock-Based Compensation</t>
  </si>
  <si>
    <t xml:space="preserve">   as % SG&amp;A</t>
  </si>
  <si>
    <t>Impairment of Goodwill</t>
  </si>
  <si>
    <t>Impairment of Other Intangibles</t>
  </si>
  <si>
    <t>Deferred Taxes</t>
  </si>
  <si>
    <t>Other Non-Cash Adjustments</t>
  </si>
  <si>
    <t>(Increase) Decrease in Accounts Receivable</t>
  </si>
  <si>
    <t>(Increase) Decrease in Inventory</t>
  </si>
  <si>
    <t>Change in Other Short-Term Assets</t>
  </si>
  <si>
    <t>Increase (Decrease) in Accounts Payable</t>
  </si>
  <si>
    <t>Change in Other Short-Term Liabilities</t>
  </si>
  <si>
    <t>Cash From Operations</t>
  </si>
  <si>
    <t xml:space="preserve">   CFO as % Net Income</t>
  </si>
  <si>
    <t>(Capital Expenditures)</t>
  </si>
  <si>
    <t xml:space="preserve">   Capex as % Sales</t>
  </si>
  <si>
    <t xml:space="preserve">   Time to Replace PP&amp;E, in Years</t>
  </si>
  <si>
    <t>Net (Acquisitions), Asset Sales, and Disposals</t>
  </si>
  <si>
    <t xml:space="preserve">     % of Acquisition/Disposal Price Allocated to:</t>
  </si>
  <si>
    <t xml:space="preserve">     Net Property, Plant, and Equipment</t>
  </si>
  <si>
    <t xml:space="preserve">     Intangibles</t>
  </si>
  <si>
    <t xml:space="preserve">     Net Working Capital</t>
  </si>
  <si>
    <t xml:space="preserve">     Goodwill</t>
  </si>
  <si>
    <t xml:space="preserve">     Acquired (Divested) PP&amp;E</t>
  </si>
  <si>
    <t xml:space="preserve">     Acquired (Divested) Intangibles</t>
  </si>
  <si>
    <t xml:space="preserve">     Acquired (Divested) Net Working Capital</t>
  </si>
  <si>
    <t xml:space="preserve">     Change in Goodwill</t>
  </si>
  <si>
    <t>Net (Purchases) Sales of Investments</t>
  </si>
  <si>
    <t>Other Investing Cash Flow</t>
  </si>
  <si>
    <t>Cash From Investing</t>
  </si>
  <si>
    <t>Common Stock Issuance or (Repurchase)</t>
  </si>
  <si>
    <t xml:space="preserve">   Issuance/Repurchase Price Per Share</t>
  </si>
  <si>
    <t xml:space="preserve">   Shares Issued/(Repurchased)</t>
  </si>
  <si>
    <t>Common Stock (Dividends)</t>
  </si>
  <si>
    <t>Short-Term Debt Issuance (Retirement)</t>
  </si>
  <si>
    <t>Long-Term Debt Issuance (Retirement)</t>
  </si>
  <si>
    <t>Other Financing Cash Flows</t>
  </si>
  <si>
    <t>Cash From Financing</t>
  </si>
  <si>
    <t>Exchange Rates, Discontinued Ops, etc. (net)</t>
  </si>
  <si>
    <t>Net Change in Cash</t>
  </si>
  <si>
    <t>Check: Change in Cash on Balance Sheet</t>
  </si>
  <si>
    <t>Difference</t>
  </si>
  <si>
    <t>Stock Based Compensation (% SG&amp;A)</t>
  </si>
  <si>
    <t>Total Shareholder's Equity &amp; Liabilities</t>
  </si>
  <si>
    <t>Fair Value Estimate</t>
  </si>
  <si>
    <t>Enterprise Value</t>
  </si>
  <si>
    <t>Cash and Investments</t>
  </si>
  <si>
    <t>Debt</t>
  </si>
  <si>
    <t>Other Adjustments</t>
  </si>
  <si>
    <t>Total Equity Value</t>
  </si>
  <si>
    <t>Projected Diluted Shares Outstanding</t>
  </si>
  <si>
    <t>Fair Value Estimate (Beginning of Year)</t>
  </si>
  <si>
    <t>Discounted Cash Flows</t>
  </si>
  <si>
    <t>Operating Income</t>
  </si>
  <si>
    <t xml:space="preserve">     Taxes from Income Statement</t>
  </si>
  <si>
    <t xml:space="preserve">     Net Interest Tax Shield</t>
  </si>
  <si>
    <t xml:space="preserve">     Changes in Deferred Taxes</t>
  </si>
  <si>
    <t>Earnings Before Interest (EBI)</t>
  </si>
  <si>
    <t>EBI growth %</t>
  </si>
  <si>
    <t>(Net Investment in Working Capital)</t>
  </si>
  <si>
    <t>(Net Change in Other Operating Assets/Liabilities)</t>
  </si>
  <si>
    <t>(Net Acquisitions) / Asset Sales</t>
  </si>
  <si>
    <t>Net New Investment (NNI)</t>
  </si>
  <si>
    <t xml:space="preserve">   Investment Rate</t>
  </si>
  <si>
    <t xml:space="preserve">   RONIC (Growth/IR)</t>
  </si>
  <si>
    <t>Free Cash Flow to the Firm (FCFF)</t>
  </si>
  <si>
    <t>Discounted FCFF</t>
  </si>
  <si>
    <t>Stage II-III Value (Standard Methodology)</t>
  </si>
  <si>
    <t>Normalized Terminal FCFF</t>
  </si>
  <si>
    <t>Stage II Total Value</t>
  </si>
  <si>
    <t>Present Value</t>
  </si>
  <si>
    <t>Stage III Total Value</t>
  </si>
  <si>
    <t>General Information</t>
  </si>
  <si>
    <t>Company Name</t>
  </si>
  <si>
    <t>Ticker</t>
  </si>
  <si>
    <t>ShareClassID</t>
  </si>
  <si>
    <t>Analyst Name</t>
  </si>
  <si>
    <t>Last Fiscal Year End Date</t>
  </si>
  <si>
    <t>Fiscal Year End Month</t>
  </si>
  <si>
    <t>Reporting Currency (e.g. USD)</t>
  </si>
  <si>
    <t>Trading Currency (e.g. EUR)</t>
  </si>
  <si>
    <t>Financial Statement Units</t>
  </si>
  <si>
    <t>Sector</t>
  </si>
  <si>
    <t>Industry</t>
  </si>
  <si>
    <t>Stewardship</t>
  </si>
  <si>
    <t>Economic Moat</t>
  </si>
  <si>
    <t>Moat Trend</t>
  </si>
  <si>
    <t>Uncertainty</t>
  </si>
  <si>
    <t>Length of Stage I (Years)</t>
  </si>
  <si>
    <t>Display Fair Value Estimate</t>
  </si>
  <si>
    <t>% of Cash/Investments Added to FVE</t>
  </si>
  <si>
    <t>Cash/Investments in Fair Value Estimate</t>
  </si>
  <si>
    <t>Cost of Capital</t>
  </si>
  <si>
    <t>Systematic Risk to Equity (Cyclicality)</t>
  </si>
  <si>
    <t>Country Risk Premium and Inflation Adjustment for COE</t>
  </si>
  <si>
    <t>Estimated Cost of Equity</t>
  </si>
  <si>
    <t>Estimated Pre-Tax Cost of Debt</t>
  </si>
  <si>
    <t>Estimated Cost of Preferred</t>
  </si>
  <si>
    <t>Reporting Currency Expected Inflation Premium for COD</t>
  </si>
  <si>
    <t>Weighting of Equity in WACC</t>
  </si>
  <si>
    <t>Weighting of Debt in WACC</t>
  </si>
  <si>
    <t>Total</t>
  </si>
  <si>
    <t>Long-Run Tax Rate</t>
  </si>
  <si>
    <t>WACC</t>
  </si>
  <si>
    <t>PayPal Holdings, Inc</t>
  </si>
  <si>
    <t>PYPL</t>
  </si>
  <si>
    <t>0P00016CGN</t>
  </si>
  <si>
    <t>Edvard Tsymbala</t>
  </si>
  <si>
    <t>December</t>
  </si>
  <si>
    <t>USD</t>
  </si>
  <si>
    <t>Thousands</t>
  </si>
  <si>
    <t>Financial Services</t>
  </si>
  <si>
    <t>Credit Services</t>
  </si>
  <si>
    <t>Standard</t>
  </si>
  <si>
    <t>Narrow</t>
  </si>
  <si>
    <t>Stable</t>
  </si>
  <si>
    <t>60 months</t>
  </si>
  <si>
    <t>Dates</t>
  </si>
  <si>
    <t>Prices</t>
  </si>
  <si>
    <t>Monthly rate</t>
  </si>
  <si>
    <t>Paypal</t>
  </si>
  <si>
    <t>S&amp;P500</t>
  </si>
  <si>
    <t>Average</t>
  </si>
  <si>
    <t xml:space="preserve">CONSOLIDATED STATEMENTS OF OPERATIONS </t>
  </si>
  <si>
    <t>Net sales:</t>
  </si>
  <si>
    <t xml:space="preserve"> - Cost of sales:</t>
  </si>
  <si>
    <t xml:space="preserve"> - Research and development</t>
  </si>
  <si>
    <t xml:space="preserve"> - Selling, general and administrative</t>
  </si>
  <si>
    <t>Other income</t>
  </si>
  <si>
    <t xml:space="preserve"> - Other expense (Interest)</t>
  </si>
  <si>
    <t>Less Provision for income taxes</t>
  </si>
  <si>
    <t xml:space="preserve"> Gross margin</t>
  </si>
  <si>
    <t xml:space="preserve"> Operating income</t>
  </si>
  <si>
    <t xml:space="preserve"> Income before provision for income taxes</t>
  </si>
  <si>
    <t xml:space="preserve"> Net income</t>
  </si>
  <si>
    <t xml:space="preserve"> - Other Operating Expense</t>
  </si>
  <si>
    <t>Rm (S&amp;P500, %)</t>
  </si>
  <si>
    <t>Market Risk Premium (MRP, %)</t>
  </si>
  <si>
    <t>Unlevered Beta</t>
  </si>
  <si>
    <t>Equity Risk Premium (ERP, %)</t>
  </si>
  <si>
    <t>Required rate of return on Equity</t>
  </si>
  <si>
    <t>Beta (Paypal Inc.)</t>
  </si>
  <si>
    <t xml:space="preserve">Price of CS per share ($) as of today  </t>
  </si>
  <si>
    <t>Highest Coupon rate of Notes/Bonds from 10K (%)</t>
  </si>
  <si>
    <t>Tax rate (%)</t>
  </si>
  <si>
    <t>Cost of Debt (%)</t>
  </si>
  <si>
    <t>Cost of CS (%)</t>
  </si>
  <si>
    <t>WACC (%)</t>
  </si>
  <si>
    <t>MV of CS ($, thousand)</t>
  </si>
  <si>
    <t>MV of Debt ($, thousand)</t>
  </si>
  <si>
    <t>CS outstanding shares (thousand)</t>
  </si>
  <si>
    <t>Total MV of Capital Resouces ($, thousand)</t>
  </si>
  <si>
    <t>Growth Rate</t>
  </si>
  <si>
    <t>Growth Rate (%)</t>
  </si>
  <si>
    <t>Present Value of Stage II</t>
  </si>
  <si>
    <t>Present Value of Stage I</t>
  </si>
  <si>
    <t>Present Value of Stage III</t>
  </si>
  <si>
    <t>Ratios</t>
  </si>
  <si>
    <t>Growth</t>
  </si>
  <si>
    <t>Revenue Growth</t>
  </si>
  <si>
    <t>Operating Income Growth</t>
  </si>
  <si>
    <t>Net Income Growth</t>
  </si>
  <si>
    <t>EPS Growth</t>
  </si>
  <si>
    <t>Adjusted EPS Growth</t>
  </si>
  <si>
    <t>EBI Growth</t>
  </si>
  <si>
    <t>FCFF Growth</t>
  </si>
  <si>
    <t>Adjusted EBITDA Growth</t>
  </si>
  <si>
    <t>Profitability</t>
  </si>
  <si>
    <t>Gross Margin</t>
  </si>
  <si>
    <t>Operating Margin</t>
  </si>
  <si>
    <t>Net Margin</t>
  </si>
  <si>
    <t>Adjusted Net Income / Sales</t>
  </si>
  <si>
    <t>EBITDA / Sales</t>
  </si>
  <si>
    <t>FCFF / Sales</t>
  </si>
  <si>
    <t>FCFE / Sales (CFO-Capex)</t>
  </si>
  <si>
    <t>Return on Equity</t>
  </si>
  <si>
    <t>Return on Assets</t>
  </si>
  <si>
    <t>Efficiency</t>
  </si>
  <si>
    <t>Receivable Days (Average Balances)</t>
  </si>
  <si>
    <t>Inventory Days (Average Balances)</t>
  </si>
  <si>
    <t>Payable Days (Average Balances)</t>
  </si>
  <si>
    <t>Cash Conversion Cycle</t>
  </si>
  <si>
    <t>Asset Turnover</t>
  </si>
  <si>
    <t>Liquidity</t>
  </si>
  <si>
    <t>Current Ratio</t>
  </si>
  <si>
    <t>Quick Ratio</t>
  </si>
  <si>
    <t>Cash / Short-Term Debt</t>
  </si>
  <si>
    <t>Leverage</t>
  </si>
  <si>
    <t>Debt / Capital</t>
  </si>
  <si>
    <t>Debt / Equity</t>
  </si>
  <si>
    <t>Debt / EBITDA</t>
  </si>
  <si>
    <t>Net Debt / Net Capital</t>
  </si>
  <si>
    <t>Net Debt / Equity</t>
  </si>
  <si>
    <t>Net Debt / EBITDA</t>
  </si>
  <si>
    <t>Debt / FCFE (CFO-Capex)</t>
  </si>
  <si>
    <t>Total Assets / Equity</t>
  </si>
  <si>
    <t>Interest Coverage</t>
  </si>
  <si>
    <t>EBIT / Interest Expense</t>
  </si>
  <si>
    <t>EBIT / Net Interest Expense</t>
  </si>
  <si>
    <t>EBITDA / Interest Expense</t>
  </si>
  <si>
    <t>Normalized EBITDA / Interest Expense</t>
  </si>
  <si>
    <t>Rolling Enterprise Value</t>
  </si>
  <si>
    <t>Rolling Fair Value Estimate</t>
  </si>
  <si>
    <t>PayPal Holdings, Inc (PYPL)</t>
  </si>
  <si>
    <t>Last Price</t>
  </si>
  <si>
    <t>Fair Value</t>
  </si>
  <si>
    <t xml:space="preserve">Fair Value Estimate </t>
  </si>
  <si>
    <t xml:space="preserve">Market Price </t>
  </si>
  <si>
    <t>P / FVE</t>
  </si>
  <si>
    <t>Estimated COE</t>
  </si>
  <si>
    <t>Pre-Tax Cost of Debt</t>
  </si>
  <si>
    <t>Estimated WACC</t>
  </si>
  <si>
    <t>ROIC *</t>
  </si>
  <si>
    <t>Adjusted ROIC *</t>
  </si>
  <si>
    <t>ROIC and RONIC</t>
  </si>
  <si>
    <t>Adjusted Return on Invested Capital</t>
  </si>
  <si>
    <t>ROIC Excluding Goodwill</t>
  </si>
  <si>
    <t>Return on Invested Capital</t>
  </si>
  <si>
    <t>Total Cash</t>
  </si>
  <si>
    <t>Operating Cash</t>
  </si>
  <si>
    <t>Operating Cash/Revenue</t>
  </si>
  <si>
    <t>Required Investments</t>
  </si>
  <si>
    <t>Other Working Capital</t>
  </si>
  <si>
    <t>Total Working Capital</t>
  </si>
  <si>
    <t>PP&amp;E Adjustments</t>
  </si>
  <si>
    <t>Gross PP&amp;E</t>
  </si>
  <si>
    <t>(Accumulated Depreciation)</t>
  </si>
  <si>
    <t>Net PP&amp;E, Book Value</t>
  </si>
  <si>
    <t>Impairment Add-back</t>
  </si>
  <si>
    <t>Analyst Adjustments</t>
  </si>
  <si>
    <t>Net PP&amp;E, Adjusted</t>
  </si>
  <si>
    <t>Cumm. Non-cash Charges</t>
  </si>
  <si>
    <t>Intangibles Adjustments</t>
  </si>
  <si>
    <t>Net Intangibles, Book Value</t>
  </si>
  <si>
    <t xml:space="preserve">Net Intangibles, Adjusted                      </t>
  </si>
  <si>
    <t>Cumm. Intangible Impairments</t>
  </si>
  <si>
    <t>Goodwill Adjustments</t>
  </si>
  <si>
    <t>Goodwill, Book Value</t>
  </si>
  <si>
    <t>Goodwill, Adjusted</t>
  </si>
  <si>
    <t>Cumm. Goodwill Impairments</t>
  </si>
  <si>
    <t>Capitalized R&amp;D Expense</t>
  </si>
  <si>
    <t>R&amp;D Expense</t>
  </si>
  <si>
    <t>Beginning of Period Capitalized R&amp;D</t>
  </si>
  <si>
    <t>Current Period Amortization</t>
  </si>
  <si>
    <t>Curr. Period Capitalized R&amp;D</t>
  </si>
  <si>
    <t xml:space="preserve">End Capitalized R&amp;D </t>
  </si>
  <si>
    <t>Estimated Average Life of R&amp;D Assets, in years</t>
  </si>
  <si>
    <t>Capitalized Op. Leases</t>
  </si>
  <si>
    <t>Operating Lease Expense</t>
  </si>
  <si>
    <t>Estimated Average Life of Leased Assets, in years</t>
  </si>
  <si>
    <t>Pre-Tax Cost of Secured Debt</t>
  </si>
  <si>
    <t>Operating Lease Multiplier</t>
  </si>
  <si>
    <t>Other Capitalized Exp.</t>
  </si>
  <si>
    <t>Other Expense</t>
  </si>
  <si>
    <t>Begin of Period Capitalized Other Expense</t>
  </si>
  <si>
    <t>Curr. Period Capitalized Other Expense</t>
  </si>
  <si>
    <t>End Capitalized Other Exp</t>
  </si>
  <si>
    <t>Net Other Assets</t>
  </si>
  <si>
    <t>Total Invested Capital</t>
  </si>
  <si>
    <t>Revenue</t>
  </si>
  <si>
    <t>EBITDA, Excluding Charges</t>
  </si>
  <si>
    <t>R&amp;D Capitalization Adjustment</t>
  </si>
  <si>
    <t>Interest Comp. of Lease Exp</t>
  </si>
  <si>
    <t>Other Capitalized Expense Adjustment</t>
  </si>
  <si>
    <t>EBITA</t>
  </si>
  <si>
    <t xml:space="preserve">      Margin</t>
  </si>
  <si>
    <t>Taxes</t>
  </si>
  <si>
    <t>Book Taxes Rate</t>
  </si>
  <si>
    <t>Adjusted Cash Tax Rate</t>
  </si>
  <si>
    <t>Taxes on Operating Income</t>
  </si>
  <si>
    <t>Other Tax Adjustements</t>
  </si>
  <si>
    <t>Pension Adjustment</t>
  </si>
  <si>
    <t>Adjusted EBI</t>
  </si>
  <si>
    <t>Capital Spending</t>
  </si>
  <si>
    <t>Long-run Tax Rate</t>
  </si>
  <si>
    <t>Adj. Return on Invested Capital</t>
  </si>
  <si>
    <t>Tax-Neutral Adjusted ROIC</t>
  </si>
  <si>
    <t>Adjusted Return on New Invested Capital</t>
  </si>
  <si>
    <t>Economic Profit</t>
  </si>
  <si>
    <t>Working Capital</t>
  </si>
  <si>
    <t>Capitalized Op. Exp.</t>
  </si>
  <si>
    <t xml:space="preserve">Revenue Growth                             </t>
  </si>
  <si>
    <t xml:space="preserve">EBITA Margin                           </t>
  </si>
  <si>
    <t xml:space="preserve">Invested Capital Turns                      </t>
  </si>
  <si>
    <t>Income Statement</t>
  </si>
  <si>
    <t>Adjusted Income</t>
  </si>
  <si>
    <t>Adjusted EPS</t>
  </si>
  <si>
    <t>Adjusted EBITDA</t>
  </si>
  <si>
    <t>Growth (% YoY)</t>
  </si>
  <si>
    <t>Profitability (%)</t>
  </si>
  <si>
    <t>Adjusted EBITDA Margin</t>
  </si>
  <si>
    <t>Adjusted ROIC</t>
  </si>
  <si>
    <t>Adjusted RONIC</t>
  </si>
  <si>
    <t>FCFE / Total Debt</t>
  </si>
  <si>
    <t>Cash Flow</t>
  </si>
  <si>
    <t>Dividends per Share</t>
  </si>
  <si>
    <t>Free Cash Flow to the Firm</t>
  </si>
  <si>
    <t>FCFE (CFO-Capex)</t>
  </si>
  <si>
    <t>Dividend Franking</t>
  </si>
  <si>
    <t>Dividend Payout Ratio</t>
  </si>
  <si>
    <t>Pro Forma Income Statement</t>
  </si>
  <si>
    <t>Cost of Goods Sold</t>
  </si>
  <si>
    <t>Selling, General, and Admin. Expenses</t>
  </si>
  <si>
    <t>Research &amp; Development</t>
  </si>
  <si>
    <t>Other Operating Expense (Income)</t>
  </si>
  <si>
    <t>Depreciation &amp; Amortization</t>
  </si>
  <si>
    <t>Operating Income (ex charges)</t>
  </si>
  <si>
    <t>Interest Expense</t>
  </si>
  <si>
    <t>Interest Income</t>
  </si>
  <si>
    <t>Pre-Tax Income</t>
  </si>
  <si>
    <t>Income Tax Expense</t>
  </si>
  <si>
    <t>Other After-Tax Cash Gains (Losses)</t>
  </si>
  <si>
    <t>Other After-Tax Non-Cash Gains (Losses)</t>
  </si>
  <si>
    <t>(Minority Interest)</t>
  </si>
  <si>
    <t>(Preferred Dividends)</t>
  </si>
  <si>
    <t>Weighted Average Diluted Shares Outstanding</t>
  </si>
  <si>
    <t>Diluted Earnings Per Share (GAAP)</t>
  </si>
  <si>
    <t>Adjusted Net Income</t>
  </si>
  <si>
    <t>Diluted Earnings Per Share (Adjusted)</t>
  </si>
  <si>
    <t>Pro Forma Balance Sheet</t>
  </si>
  <si>
    <t>Investments</t>
  </si>
  <si>
    <t>Pro Forma Cash Flow Statement</t>
  </si>
  <si>
    <t>Forecast</t>
  </si>
  <si>
    <t>Adjusted EBITDA / Sales</t>
  </si>
  <si>
    <t>Debt / Adjusted EBITDA</t>
  </si>
  <si>
    <t>Net Debt / Adjusted EBITDA</t>
  </si>
  <si>
    <t>High</t>
  </si>
  <si>
    <t>Very High</t>
  </si>
  <si>
    <t>Adjusted P/E</t>
  </si>
  <si>
    <t>EV / Adjusted EBITDA</t>
  </si>
  <si>
    <t>EV / Sales</t>
  </si>
  <si>
    <t>Price / Book</t>
  </si>
  <si>
    <t>FCF Yield</t>
  </si>
  <si>
    <t>Dividend Yield</t>
  </si>
  <si>
    <t>Market Price</t>
  </si>
  <si>
    <t>Rf (10 Year T-bill, %)</t>
  </si>
  <si>
    <t>ROIC Including Goodwill</t>
  </si>
  <si>
    <t>Other Long-Term Assets</t>
  </si>
  <si>
    <t>Other Long-Term Liabilities</t>
  </si>
  <si>
    <t>Assumptions Forecasting</t>
  </si>
  <si>
    <t>Change the type of Growth</t>
  </si>
  <si>
    <t>Type of Growth</t>
  </si>
  <si>
    <t>Sensitlviity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</si>
</sst>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1">
    <numFmt numFmtId="6" formatCode="&quot;$&quot;#,##0_);[Red]\(&quot;$&quot;#,##0\)"/>
    <numFmt numFmtId="8" formatCode="&quot;$&quot;#,##0.00_);[Red]\(&quot;$&quot;#,##0.00\)"/>
    <numFmt numFmtId="44" formatCode="_(&quot;$&quot;* #,##0.00_);_(&quot;$&quot;* \(#,##0.00\);_(&quot;$&quot;* &quot;-&quot;??_);_(@_)"/>
    <numFmt numFmtId="43" formatCode="_(* #,##0.00_);_(* \(#,##0.00\);_(* &quot;-&quot;??_);_(@_)"/>
    <numFmt numFmtId="164" formatCode="0000"/>
    <numFmt numFmtId="165" formatCode="#,##0;[Red]\(#,##0\)"/>
    <numFmt numFmtId="166" formatCode="#,##0.00;[Red]\(#,##0.00\)"/>
    <numFmt numFmtId="167" formatCode="#,##0.00%;[Red]\-#,##0.00%"/>
    <numFmt numFmtId="168" formatCode="[$-409]#,##0.00_);[Red]\(#,##0.00\)"/>
    <numFmt numFmtId="169" formatCode="0.0%"/>
    <numFmt numFmtId="170" formatCode="#,##0.0;[Red]\(#,##0.0\)"/>
    <numFmt numFmtId="171" formatCode="_(* #,##0_);_(* \(#,##0\);_(* &quot;-&quot;??_);_(@_)"/>
    <numFmt numFmtId="172" formatCode="0000.0"/>
    <numFmt numFmtId="173" formatCode="[$-409]#,##0_);[Red]\(#,##0\)"/>
    <numFmt numFmtId="174" formatCode="_(&quot;$&quot;* #,##0_);_(&quot;$&quot;* \(#,##0\);_(&quot;$&quot;* &quot;-&quot;??_);_(@_)"/>
    <numFmt numFmtId="175" formatCode="0.000"/>
    <numFmt numFmtId="176" formatCode="m/d/yyyy;@"/>
    <numFmt numFmtId="177" formatCode="_(* #,##0.0_);_(* \(#,##0.0\);_(* &quot;-&quot;??_);_(@_)"/>
    <numFmt numFmtId="178" formatCode="#,##0.0_);[Red]\(#,##0.0\)"/>
    <numFmt numFmtId="179" formatCode="0.0%;[Red]\-0.0%"/>
    <numFmt numFmtId="180" formatCode="_(* #,##0.000_);_(* \(#,##0.000\);_(* &quot;-&quot;??_);_(@_)"/>
  </numFmts>
  <fonts count="51" x14ac:knownFonts="1">
    <font>
      <sz val="12"/>
      <color theme="1"/>
      <name val="Calibri"/>
      <family val="2"/>
      <scheme val="minor"/>
    </font>
    <font>
      <b/>
      <sz val="12"/>
      <color theme="0"/>
      <name val="Calibri"/>
      <family val="2"/>
      <scheme val="minor"/>
    </font>
    <font>
      <i/>
      <sz val="12"/>
      <color theme="1"/>
      <name val="Calibri"/>
      <family val="2"/>
      <scheme val="minor"/>
    </font>
    <font>
      <b/>
      <sz val="10"/>
      <color theme="1"/>
      <name val="Calibri"/>
      <family val="2"/>
    </font>
    <font>
      <b/>
      <sz val="14"/>
      <color theme="0"/>
      <name val="Calibri Light"/>
      <family val="2"/>
      <scheme val="major"/>
    </font>
    <font>
      <sz val="10"/>
      <color theme="1"/>
      <name val="Calibri"/>
      <family val="2"/>
    </font>
    <font>
      <sz val="14"/>
      <color theme="1"/>
      <name val="Calibri Light"/>
      <family val="2"/>
      <scheme val="major"/>
    </font>
    <font>
      <b/>
      <sz val="14"/>
      <color theme="1"/>
      <name val="Calibri Light"/>
      <family val="2"/>
      <scheme val="major"/>
    </font>
    <font>
      <b/>
      <sz val="26"/>
      <color theme="0"/>
      <name val="Calibri Light"/>
      <family val="2"/>
      <scheme val="major"/>
    </font>
    <font>
      <sz val="14"/>
      <color rgb="FF000000"/>
      <name val="Calibri Light"/>
      <family val="2"/>
      <scheme val="major"/>
    </font>
    <font>
      <b/>
      <sz val="14"/>
      <color rgb="FF000000"/>
      <name val="Calibri Light"/>
      <family val="2"/>
      <scheme val="major"/>
    </font>
    <font>
      <i/>
      <sz val="14"/>
      <color theme="1"/>
      <name val="Calibri Light"/>
      <family val="2"/>
      <scheme val="major"/>
    </font>
    <font>
      <sz val="12"/>
      <color theme="1"/>
      <name val="Calibri"/>
      <family val="2"/>
      <scheme val="minor"/>
    </font>
    <font>
      <sz val="12"/>
      <color rgb="FF0070C0"/>
      <name val="Calibri"/>
      <family val="2"/>
      <scheme val="minor"/>
    </font>
    <font>
      <sz val="14"/>
      <color theme="1"/>
      <name val="Calibri"/>
      <family val="2"/>
      <scheme val="minor"/>
    </font>
    <font>
      <i/>
      <sz val="14"/>
      <color theme="1"/>
      <name val="Calibri"/>
      <family val="2"/>
      <scheme val="minor"/>
    </font>
    <font>
      <sz val="14"/>
      <color indexed="8"/>
      <name val="Calibri Light"/>
      <family val="2"/>
      <scheme val="major"/>
    </font>
    <font>
      <i/>
      <sz val="14"/>
      <color indexed="8"/>
      <name val="Calibri Light"/>
      <family val="2"/>
      <scheme val="major"/>
    </font>
    <font>
      <b/>
      <sz val="14"/>
      <color indexed="8"/>
      <name val="Calibri Light"/>
      <family val="2"/>
      <scheme val="major"/>
    </font>
    <font>
      <sz val="14"/>
      <color indexed="10"/>
      <name val="Calibri Light"/>
      <family val="2"/>
      <scheme val="major"/>
    </font>
    <font>
      <i/>
      <sz val="12"/>
      <color theme="1"/>
      <name val="Calibri Light"/>
      <family val="2"/>
      <scheme val="major"/>
    </font>
    <font>
      <sz val="14"/>
      <color rgb="FFFF0000"/>
      <name val="Calibri Light"/>
      <family val="2"/>
      <scheme val="major"/>
    </font>
    <font>
      <sz val="11"/>
      <color indexed="8"/>
      <name val="Arial Narrow"/>
      <family val="2"/>
    </font>
    <font>
      <b/>
      <sz val="14"/>
      <color rgb="FFFF0000"/>
      <name val="Calibri Light"/>
      <family val="2"/>
      <scheme val="major"/>
    </font>
    <font>
      <b/>
      <sz val="11"/>
      <color indexed="8"/>
      <name val="Arial Narrow"/>
      <family val="2"/>
    </font>
    <font>
      <sz val="14"/>
      <name val="Calibri Light"/>
      <family val="2"/>
      <scheme val="major"/>
    </font>
    <font>
      <b/>
      <sz val="9"/>
      <color rgb="FF000000"/>
      <name val="Tahoma"/>
      <family val="2"/>
    </font>
    <font>
      <sz val="9"/>
      <color rgb="FF000000"/>
      <name val="Tahoma"/>
      <family val="2"/>
    </font>
    <font>
      <b/>
      <u/>
      <sz val="12"/>
      <color theme="0"/>
      <name val="Times New Roman"/>
      <family val="1"/>
    </font>
    <font>
      <u/>
      <sz val="14"/>
      <color theme="1"/>
      <name val="Calibri Light"/>
      <family val="2"/>
      <scheme val="major"/>
    </font>
    <font>
      <u val="singleAccounting"/>
      <sz val="14"/>
      <color theme="1"/>
      <name val="Calibri Light"/>
      <family val="2"/>
      <scheme val="major"/>
    </font>
    <font>
      <b/>
      <sz val="14"/>
      <color theme="1"/>
      <name val="Times New Roman"/>
      <family val="1"/>
    </font>
    <font>
      <sz val="14"/>
      <color theme="1"/>
      <name val="Calibri Light"/>
      <family val="2"/>
      <scheme val="major"/>
    </font>
    <font>
      <b/>
      <u/>
      <sz val="14"/>
      <color theme="0"/>
      <name val="Calibri Light"/>
      <family val="2"/>
      <scheme val="major"/>
    </font>
    <font>
      <b/>
      <sz val="12"/>
      <color theme="1"/>
      <name val="Calibri"/>
      <family val="2"/>
      <scheme val="minor"/>
    </font>
    <font>
      <b/>
      <sz val="12"/>
      <color indexed="8"/>
      <name val="Calibri Light"/>
      <family val="2"/>
      <scheme val="major"/>
    </font>
    <font>
      <sz val="12"/>
      <color indexed="8"/>
      <name val="Calibri Light"/>
      <family val="2"/>
      <scheme val="major"/>
    </font>
    <font>
      <b/>
      <sz val="14"/>
      <color theme="0"/>
      <name val="Calibri"/>
      <family val="2"/>
      <scheme val="minor"/>
    </font>
    <font>
      <sz val="12"/>
      <color theme="1"/>
      <name val="Calibri Light"/>
      <family val="2"/>
      <scheme val="major"/>
    </font>
    <font>
      <i/>
      <sz val="14"/>
      <color rgb="FFFF0000"/>
      <name val="Calibri Light"/>
      <family val="2"/>
      <scheme val="major"/>
    </font>
    <font>
      <b/>
      <sz val="20"/>
      <color theme="0"/>
      <name val="Arial Narrow"/>
      <family val="2"/>
    </font>
    <font>
      <sz val="20"/>
      <color theme="0"/>
      <name val="Calibri"/>
      <family val="2"/>
      <scheme val="minor"/>
    </font>
    <font>
      <b/>
      <sz val="8"/>
      <color indexed="8"/>
      <name val="Arial Narrow"/>
      <family val="2"/>
    </font>
    <font>
      <sz val="8"/>
      <color indexed="8"/>
      <name val="Arial Narrow"/>
      <family val="2"/>
    </font>
    <font>
      <b/>
      <u/>
      <sz val="14"/>
      <color theme="1"/>
      <name val="Calibri Light"/>
      <family val="2"/>
      <scheme val="major"/>
    </font>
    <font>
      <sz val="12"/>
      <color theme="0"/>
      <name val="Calibri"/>
      <family val="2"/>
      <scheme val="minor"/>
    </font>
    <font>
      <sz val="14"/>
      <color theme="0"/>
      <name val="Calibri Light"/>
      <family val="2"/>
      <scheme val="major"/>
    </font>
    <font>
      <b/>
      <i/>
      <sz val="12"/>
      <color theme="0"/>
      <name val="Calibri"/>
      <family val="2"/>
      <scheme val="minor"/>
    </font>
    <font>
      <b/>
      <i/>
      <sz val="12"/>
      <color theme="0"/>
      <name val="Calibri Light"/>
      <family val="2"/>
      <scheme val="major"/>
    </font>
    <font>
      <b/>
      <sz val="14"/>
      <name val="Calibri Light"/>
      <family val="2"/>
      <scheme val="major"/>
    </font>
    <font>
      <sz val="12"/>
      <name val="Calibri"/>
      <family val="2"/>
      <scheme val="minor"/>
    </font>
  </fonts>
  <fills count="9">
    <fill>
      <patternFill patternType="none"/>
    </fill>
    <fill>
      <patternFill patternType="gray125"/>
    </fill>
    <fill>
      <patternFill patternType="solid">
        <fgColor rgb="FF0070C0"/>
        <bgColor indexed="64"/>
      </patternFill>
    </fill>
    <fill>
      <patternFill patternType="solid">
        <fgColor rgb="FFF2F2F2"/>
        <bgColor rgb="FFF2F2F2"/>
      </patternFill>
    </fill>
    <fill>
      <patternFill patternType="solid">
        <fgColor rgb="FF0070C0"/>
        <bgColor rgb="FFF2F2F2"/>
      </patternFill>
    </fill>
    <fill>
      <patternFill patternType="solid">
        <fgColor theme="0" tint="-4.9989318521683403E-2"/>
        <bgColor indexed="64"/>
      </patternFill>
    </fill>
    <fill>
      <patternFill patternType="solid">
        <fgColor indexed="9"/>
        <bgColor indexed="64"/>
      </patternFill>
    </fill>
    <fill>
      <patternFill patternType="solid">
        <fgColor theme="7" tint="0.79998168889431442"/>
        <bgColor indexed="64"/>
      </patternFill>
    </fill>
    <fill>
      <patternFill patternType="solid">
        <fgColor rgb="FF00B0F0"/>
        <bgColor indexed="64"/>
      </patternFill>
    </fill>
  </fills>
  <borders count="27">
    <border>
      <left/>
      <right/>
      <top/>
      <bottom/>
      <diagonal/>
    </border>
    <border>
      <left/>
      <right/>
      <top style="thin">
        <color rgb="FF000000"/>
      </top>
      <bottom/>
      <diagonal/>
    </border>
    <border>
      <left/>
      <right/>
      <top/>
      <bottom style="medium">
        <color indexed="64"/>
      </bottom>
      <diagonal/>
    </border>
    <border>
      <left/>
      <right/>
      <top/>
      <bottom style="thin">
        <color theme="1"/>
      </bottom>
      <diagonal/>
    </border>
    <border>
      <left/>
      <right/>
      <top style="thin">
        <color theme="1"/>
      </top>
      <bottom style="thin">
        <color theme="1"/>
      </bottom>
      <diagonal/>
    </border>
    <border>
      <left/>
      <right/>
      <top style="thin">
        <color indexed="64"/>
      </top>
      <bottom/>
      <diagonal/>
    </border>
    <border>
      <left/>
      <right/>
      <top style="thin">
        <color indexed="64"/>
      </top>
      <bottom style="thin">
        <color rgb="FF000000"/>
      </bottom>
      <diagonal/>
    </border>
    <border>
      <left/>
      <right/>
      <top/>
      <bottom style="thin">
        <color indexed="64"/>
      </bottom>
      <diagonal/>
    </border>
    <border>
      <left/>
      <right/>
      <top style="thin">
        <color indexed="64"/>
      </top>
      <bottom style="thin">
        <color indexed="64"/>
      </bottom>
      <diagonal/>
    </border>
    <border>
      <left/>
      <right/>
      <top style="medium">
        <color indexed="64"/>
      </top>
      <bottom/>
      <diagonal/>
    </border>
    <border>
      <left style="thin">
        <color indexed="64"/>
      </left>
      <right/>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medium">
        <color indexed="8"/>
      </bottom>
      <diagonal/>
    </border>
    <border>
      <left/>
      <right/>
      <top style="hair">
        <color indexed="8"/>
      </top>
      <bottom/>
      <diagonal/>
    </border>
    <border>
      <left/>
      <right/>
      <top style="thin">
        <color indexed="64"/>
      </top>
      <bottom style="medium">
        <color indexed="64"/>
      </bottom>
      <diagonal/>
    </border>
    <border>
      <left/>
      <right/>
      <top style="thin">
        <color indexed="64"/>
      </top>
      <bottom style="double">
        <color indexed="64"/>
      </bottom>
      <diagonal/>
    </border>
    <border>
      <left/>
      <right/>
      <top style="hair">
        <color indexed="64"/>
      </top>
      <bottom/>
      <diagonal/>
    </border>
    <border>
      <left/>
      <right/>
      <top style="thin">
        <color indexed="8"/>
      </top>
      <bottom style="thin">
        <color indexed="64"/>
      </bottom>
      <diagonal/>
    </border>
  </borders>
  <cellStyleXfs count="10">
    <xf numFmtId="0" fontId="0" fillId="0" borderId="0"/>
    <xf numFmtId="0" fontId="3" fillId="0" borderId="0">
      <alignment horizontal="left" indent="1"/>
    </xf>
    <xf numFmtId="0" fontId="3" fillId="0" borderId="0">
      <alignment horizontal="right"/>
    </xf>
    <xf numFmtId="0" fontId="5" fillId="0" borderId="0">
      <alignment horizontal="left" indent="1"/>
    </xf>
    <xf numFmtId="0" fontId="5" fillId="0" borderId="0">
      <alignment horizontal="right"/>
    </xf>
    <xf numFmtId="9" fontId="12" fillId="0" borderId="0" applyFont="0" applyFill="0" applyBorder="0" applyAlignment="0" applyProtection="0"/>
    <xf numFmtId="43" fontId="12" fillId="0" borderId="0" applyFont="0" applyFill="0" applyBorder="0" applyAlignment="0" applyProtection="0"/>
    <xf numFmtId="44" fontId="12" fillId="0" borderId="0" applyFont="0" applyFill="0" applyBorder="0" applyAlignment="0" applyProtection="0"/>
    <xf numFmtId="0" fontId="12" fillId="0" borderId="0"/>
    <xf numFmtId="9" fontId="12" fillId="0" borderId="0" applyFont="0" applyFill="0" applyBorder="0" applyAlignment="0" applyProtection="0"/>
  </cellStyleXfs>
  <cellXfs count="367">
    <xf numFmtId="0" fontId="0" fillId="0" borderId="0" xfId="0"/>
    <xf numFmtId="0" fontId="2" fillId="0" borderId="0" xfId="0" applyFont="1"/>
    <xf numFmtId="0" fontId="6" fillId="0" borderId="0" xfId="3" applyFont="1">
      <alignment horizontal="left" indent="1"/>
    </xf>
    <xf numFmtId="165" fontId="6" fillId="0" borderId="0" xfId="4" applyNumberFormat="1" applyFont="1">
      <alignment horizontal="right"/>
    </xf>
    <xf numFmtId="0" fontId="7" fillId="0" borderId="0" xfId="1" applyFont="1">
      <alignment horizontal="left" indent="1"/>
    </xf>
    <xf numFmtId="165" fontId="7" fillId="0" borderId="1" xfId="2" applyNumberFormat="1" applyFont="1" applyBorder="1">
      <alignment horizontal="right"/>
    </xf>
    <xf numFmtId="0" fontId="6" fillId="0" borderId="0" xfId="1" applyFont="1">
      <alignment horizontal="left" indent="1"/>
    </xf>
    <xf numFmtId="166" fontId="6" fillId="0" borderId="0" xfId="4" applyNumberFormat="1" applyFont="1">
      <alignment horizontal="right"/>
    </xf>
    <xf numFmtId="0" fontId="6" fillId="0" borderId="0" xfId="4" applyFont="1">
      <alignment horizontal="right"/>
    </xf>
    <xf numFmtId="167" fontId="6" fillId="0" borderId="0" xfId="4" applyNumberFormat="1" applyFont="1">
      <alignment horizontal="right"/>
    </xf>
    <xf numFmtId="168" fontId="6" fillId="0" borderId="0" xfId="4" applyNumberFormat="1" applyFont="1">
      <alignment horizontal="right"/>
    </xf>
    <xf numFmtId="0" fontId="8" fillId="0" borderId="0" xfId="0" applyFont="1"/>
    <xf numFmtId="0" fontId="1" fillId="0" borderId="0" xfId="0" applyFont="1"/>
    <xf numFmtId="0" fontId="8" fillId="2" borderId="0" xfId="0" applyFont="1" applyFill="1"/>
    <xf numFmtId="0" fontId="1" fillId="2" borderId="0" xfId="0" applyFont="1" applyFill="1"/>
    <xf numFmtId="165" fontId="4" fillId="0" borderId="0" xfId="2" applyNumberFormat="1" applyFont="1">
      <alignment horizontal="right"/>
    </xf>
    <xf numFmtId="165" fontId="7" fillId="0" borderId="0" xfId="2" applyNumberFormat="1" applyFont="1">
      <alignment horizontal="right"/>
    </xf>
    <xf numFmtId="0" fontId="9" fillId="0" borderId="0" xfId="0" applyFont="1" applyAlignment="1">
      <alignment horizontal="left" indent="1"/>
    </xf>
    <xf numFmtId="0" fontId="10" fillId="0" borderId="0" xfId="0" applyFont="1" applyAlignment="1">
      <alignment horizontal="left" indent="1"/>
    </xf>
    <xf numFmtId="165" fontId="7" fillId="3" borderId="0" xfId="2" applyNumberFormat="1" applyFont="1" applyFill="1">
      <alignment horizontal="right"/>
    </xf>
    <xf numFmtId="165" fontId="7" fillId="0" borderId="3" xfId="2" applyNumberFormat="1" applyFont="1" applyBorder="1">
      <alignment horizontal="right"/>
    </xf>
    <xf numFmtId="165" fontId="7" fillId="0" borderId="4" xfId="2" applyNumberFormat="1" applyFont="1" applyBorder="1">
      <alignment horizontal="right"/>
    </xf>
    <xf numFmtId="166" fontId="7" fillId="3" borderId="1" xfId="2" applyNumberFormat="1" applyFont="1" applyFill="1" applyBorder="1">
      <alignment horizontal="right"/>
    </xf>
    <xf numFmtId="0" fontId="4" fillId="4" borderId="0" xfId="1" applyFont="1" applyFill="1">
      <alignment horizontal="left" indent="1"/>
    </xf>
    <xf numFmtId="164" fontId="4" fillId="4" borderId="0" xfId="2" applyNumberFormat="1" applyFont="1" applyFill="1">
      <alignment horizontal="right"/>
    </xf>
    <xf numFmtId="165" fontId="4" fillId="4" borderId="0" xfId="2" applyNumberFormat="1" applyFont="1" applyFill="1">
      <alignment horizontal="right"/>
    </xf>
    <xf numFmtId="166" fontId="4" fillId="4" borderId="0" xfId="2" applyNumberFormat="1" applyFont="1" applyFill="1">
      <alignment horizontal="right"/>
    </xf>
    <xf numFmtId="0" fontId="4" fillId="4" borderId="0" xfId="2" applyFont="1" applyFill="1">
      <alignment horizontal="right"/>
    </xf>
    <xf numFmtId="166" fontId="6" fillId="0" borderId="0" xfId="4" applyNumberFormat="1" applyFont="1" applyAlignment="1">
      <alignment horizontal="center"/>
    </xf>
    <xf numFmtId="0" fontId="11" fillId="0" borderId="0" xfId="3" applyFont="1">
      <alignment horizontal="left" indent="1"/>
    </xf>
    <xf numFmtId="165" fontId="6" fillId="5" borderId="0" xfId="4" applyNumberFormat="1" applyFont="1" applyFill="1">
      <alignment horizontal="right"/>
    </xf>
    <xf numFmtId="165" fontId="7" fillId="5" borderId="1" xfId="2" applyNumberFormat="1" applyFont="1" applyFill="1" applyBorder="1">
      <alignment horizontal="right"/>
    </xf>
    <xf numFmtId="165" fontId="7" fillId="5" borderId="0" xfId="2" applyNumberFormat="1" applyFont="1" applyFill="1">
      <alignment horizontal="right"/>
    </xf>
    <xf numFmtId="165" fontId="6" fillId="5" borderId="0" xfId="2" applyNumberFormat="1" applyFont="1" applyFill="1">
      <alignment horizontal="right"/>
    </xf>
    <xf numFmtId="166" fontId="6" fillId="5" borderId="0" xfId="4" applyNumberFormat="1" applyFont="1" applyFill="1">
      <alignment horizontal="right"/>
    </xf>
    <xf numFmtId="166" fontId="7" fillId="5" borderId="1" xfId="2" applyNumberFormat="1" applyFont="1" applyFill="1" applyBorder="1">
      <alignment horizontal="right"/>
    </xf>
    <xf numFmtId="0" fontId="6" fillId="5" borderId="0" xfId="4" applyFont="1" applyFill="1">
      <alignment horizontal="right"/>
    </xf>
    <xf numFmtId="166" fontId="6" fillId="5" borderId="0" xfId="4" applyNumberFormat="1" applyFont="1" applyFill="1" applyAlignment="1">
      <alignment horizontal="center"/>
    </xf>
    <xf numFmtId="167" fontId="6" fillId="5" borderId="0" xfId="4" applyNumberFormat="1" applyFont="1" applyFill="1">
      <alignment horizontal="right"/>
    </xf>
    <xf numFmtId="0" fontId="7" fillId="5" borderId="0" xfId="2" applyFont="1" applyFill="1">
      <alignment horizontal="right"/>
    </xf>
    <xf numFmtId="165" fontId="7" fillId="5" borderId="4" xfId="2" applyNumberFormat="1" applyFont="1" applyFill="1" applyBorder="1">
      <alignment horizontal="right"/>
    </xf>
    <xf numFmtId="165" fontId="6" fillId="0" borderId="5" xfId="4" applyNumberFormat="1" applyFont="1" applyBorder="1">
      <alignment horizontal="right"/>
    </xf>
    <xf numFmtId="165" fontId="6" fillId="0" borderId="6" xfId="4" applyNumberFormat="1" applyFont="1" applyBorder="1">
      <alignment horizontal="right"/>
    </xf>
    <xf numFmtId="0" fontId="6" fillId="0" borderId="7" xfId="0" applyFont="1" applyBorder="1"/>
    <xf numFmtId="165" fontId="6" fillId="0" borderId="7" xfId="4" applyNumberFormat="1" applyFont="1" applyBorder="1">
      <alignment horizontal="right"/>
    </xf>
    <xf numFmtId="165" fontId="6" fillId="0" borderId="0" xfId="4" applyNumberFormat="1" applyFont="1" applyAlignment="1">
      <alignment horizontal="center"/>
    </xf>
    <xf numFmtId="165" fontId="7" fillId="0" borderId="1" xfId="2" applyNumberFormat="1" applyFont="1" applyBorder="1" applyAlignment="1">
      <alignment horizontal="center"/>
    </xf>
    <xf numFmtId="0" fontId="0" fillId="0" borderId="0" xfId="0" applyAlignment="1">
      <alignment horizontal="center"/>
    </xf>
    <xf numFmtId="9" fontId="13" fillId="0" borderId="0" xfId="5" applyFont="1" applyAlignment="1">
      <alignment horizontal="center"/>
    </xf>
    <xf numFmtId="9" fontId="13" fillId="0" borderId="0" xfId="0" applyNumberFormat="1" applyFont="1" applyAlignment="1">
      <alignment horizontal="center"/>
    </xf>
    <xf numFmtId="169" fontId="13" fillId="0" borderId="0" xfId="5" applyNumberFormat="1" applyFont="1" applyAlignment="1">
      <alignment horizontal="center"/>
    </xf>
    <xf numFmtId="0" fontId="4" fillId="2" borderId="0" xfId="1" applyFont="1" applyFill="1">
      <alignment horizontal="left" indent="1"/>
    </xf>
    <xf numFmtId="165" fontId="4" fillId="2" borderId="0" xfId="2" applyNumberFormat="1" applyFont="1" applyFill="1">
      <alignment horizontal="right"/>
    </xf>
    <xf numFmtId="165" fontId="7" fillId="4" borderId="0" xfId="2" applyNumberFormat="1" applyFont="1" applyFill="1">
      <alignment horizontal="right"/>
    </xf>
    <xf numFmtId="0" fontId="15" fillId="0" borderId="0" xfId="0" applyFont="1"/>
    <xf numFmtId="0" fontId="14" fillId="0" borderId="0" xfId="0" applyFont="1"/>
    <xf numFmtId="0" fontId="4" fillId="0" borderId="0" xfId="1" applyFont="1">
      <alignment horizontal="left" indent="1"/>
    </xf>
    <xf numFmtId="0" fontId="6" fillId="0" borderId="0" xfId="0" applyFont="1"/>
    <xf numFmtId="165" fontId="7" fillId="3" borderId="1" xfId="2" applyNumberFormat="1" applyFont="1" applyFill="1" applyBorder="1">
      <alignment horizontal="right"/>
    </xf>
    <xf numFmtId="0" fontId="7" fillId="3" borderId="0" xfId="1" applyFont="1" applyFill="1">
      <alignment horizontal="left" indent="1"/>
    </xf>
    <xf numFmtId="0" fontId="6" fillId="2" borderId="0" xfId="0" applyFont="1" applyFill="1"/>
    <xf numFmtId="0" fontId="0" fillId="2" borderId="0" xfId="0" applyFill="1"/>
    <xf numFmtId="0" fontId="7" fillId="4" borderId="0" xfId="2" applyFont="1" applyFill="1">
      <alignment horizontal="right"/>
    </xf>
    <xf numFmtId="164" fontId="4" fillId="0" borderId="0" xfId="2" applyNumberFormat="1" applyFont="1">
      <alignment horizontal="right"/>
    </xf>
    <xf numFmtId="0" fontId="16" fillId="0" borderId="0" xfId="0" applyFont="1"/>
    <xf numFmtId="0" fontId="16" fillId="0" borderId="0" xfId="0" applyFont="1" applyAlignment="1">
      <alignment horizontal="left" indent="1"/>
    </xf>
    <xf numFmtId="0" fontId="18" fillId="0" borderId="8" xfId="0" applyFont="1" applyBorder="1" applyAlignment="1">
      <alignment horizontal="left" indent="1"/>
    </xf>
    <xf numFmtId="0" fontId="16" fillId="0" borderId="0" xfId="0" applyFont="1" applyAlignment="1">
      <alignment horizontal="left" indent="3"/>
    </xf>
    <xf numFmtId="0" fontId="17" fillId="0" borderId="0" xfId="0" applyFont="1" applyAlignment="1">
      <alignment horizontal="left" indent="3"/>
    </xf>
    <xf numFmtId="0" fontId="19" fillId="0" borderId="0" xfId="0" applyFont="1" applyAlignment="1">
      <alignment horizontal="left" indent="3"/>
    </xf>
    <xf numFmtId="165" fontId="6" fillId="0" borderId="0" xfId="2" applyNumberFormat="1" applyFont="1">
      <alignment horizontal="right"/>
    </xf>
    <xf numFmtId="170" fontId="6" fillId="0" borderId="0" xfId="2" applyNumberFormat="1" applyFont="1">
      <alignment horizontal="right"/>
    </xf>
    <xf numFmtId="164" fontId="7" fillId="0" borderId="0" xfId="2" applyNumberFormat="1" applyFont="1">
      <alignment horizontal="right"/>
    </xf>
    <xf numFmtId="171" fontId="6" fillId="0" borderId="0" xfId="6" applyNumberFormat="1" applyFont="1" applyAlignment="1">
      <alignment horizontal="right"/>
    </xf>
    <xf numFmtId="164" fontId="6" fillId="0" borderId="0" xfId="2" applyNumberFormat="1" applyFont="1">
      <alignment horizontal="right"/>
    </xf>
    <xf numFmtId="43" fontId="6" fillId="0" borderId="0" xfId="6" applyFont="1" applyAlignment="1">
      <alignment horizontal="right"/>
    </xf>
    <xf numFmtId="164" fontId="4" fillId="5" borderId="0" xfId="2" applyNumberFormat="1" applyFont="1" applyFill="1">
      <alignment horizontal="right"/>
    </xf>
    <xf numFmtId="164" fontId="7" fillId="5" borderId="0" xfId="2" applyNumberFormat="1" applyFont="1" applyFill="1">
      <alignment horizontal="right"/>
    </xf>
    <xf numFmtId="171" fontId="18" fillId="0" borderId="8" xfId="0" applyNumberFormat="1" applyFont="1" applyBorder="1" applyAlignment="1">
      <alignment horizontal="left" indent="1"/>
    </xf>
    <xf numFmtId="171" fontId="18" fillId="5" borderId="8" xfId="0" applyNumberFormat="1" applyFont="1" applyFill="1" applyBorder="1" applyAlignment="1">
      <alignment horizontal="left" indent="1"/>
    </xf>
    <xf numFmtId="165" fontId="0" fillId="0" borderId="0" xfId="0" applyNumberFormat="1"/>
    <xf numFmtId="172" fontId="6" fillId="0" borderId="0" xfId="2" applyNumberFormat="1" applyFont="1">
      <alignment horizontal="right"/>
    </xf>
    <xf numFmtId="171" fontId="6" fillId="5" borderId="0" xfId="6" applyNumberFormat="1" applyFont="1" applyFill="1" applyAlignment="1">
      <alignment horizontal="right"/>
    </xf>
    <xf numFmtId="164" fontId="6" fillId="5" borderId="0" xfId="2" applyNumberFormat="1" applyFont="1" applyFill="1">
      <alignment horizontal="right"/>
    </xf>
    <xf numFmtId="0" fontId="18" fillId="0" borderId="5" xfId="0" applyFont="1" applyBorder="1" applyAlignment="1">
      <alignment horizontal="left" indent="1"/>
    </xf>
    <xf numFmtId="38" fontId="19" fillId="0" borderId="0" xfId="0" applyNumberFormat="1" applyFont="1" applyAlignment="1">
      <alignment horizontal="left" indent="3"/>
    </xf>
    <xf numFmtId="38" fontId="16" fillId="0" borderId="0" xfId="0" applyNumberFormat="1" applyFont="1" applyAlignment="1">
      <alignment horizontal="left" indent="3"/>
    </xf>
    <xf numFmtId="38" fontId="18" fillId="0" borderId="8" xfId="0" applyNumberFormat="1" applyFont="1" applyBorder="1" applyAlignment="1">
      <alignment horizontal="left" indent="3"/>
    </xf>
    <xf numFmtId="0" fontId="18" fillId="0" borderId="8" xfId="0" applyFont="1" applyBorder="1" applyAlignment="1">
      <alignment horizontal="left" indent="3"/>
    </xf>
    <xf numFmtId="38" fontId="17" fillId="0" borderId="0" xfId="0" applyNumberFormat="1" applyFont="1" applyAlignment="1">
      <alignment horizontal="left" indent="3"/>
    </xf>
    <xf numFmtId="0" fontId="18" fillId="0" borderId="9" xfId="0" applyFont="1" applyBorder="1" applyAlignment="1">
      <alignment horizontal="left" indent="3"/>
    </xf>
    <xf numFmtId="43" fontId="6" fillId="5" borderId="0" xfId="6" applyFont="1" applyFill="1" applyAlignment="1">
      <alignment horizontal="right"/>
    </xf>
    <xf numFmtId="0" fontId="12" fillId="0" borderId="0" xfId="0" applyFont="1"/>
    <xf numFmtId="173" fontId="6" fillId="0" borderId="0" xfId="4" applyNumberFormat="1" applyFont="1">
      <alignment horizontal="right"/>
    </xf>
    <xf numFmtId="10" fontId="20" fillId="0" borderId="0" xfId="5" applyNumberFormat="1" applyFont="1" applyAlignment="1">
      <alignment horizontal="right"/>
    </xf>
    <xf numFmtId="171" fontId="6" fillId="0" borderId="0" xfId="6" applyNumberFormat="1" applyFont="1"/>
    <xf numFmtId="171" fontId="18" fillId="0" borderId="8" xfId="6" applyNumberFormat="1" applyFont="1" applyFill="1" applyBorder="1" applyAlignment="1">
      <alignment horizontal="left" indent="3"/>
    </xf>
    <xf numFmtId="0" fontId="12" fillId="5" borderId="0" xfId="0" applyFont="1" applyFill="1"/>
    <xf numFmtId="0" fontId="0" fillId="5" borderId="0" xfId="0" applyFill="1"/>
    <xf numFmtId="171" fontId="7" fillId="5" borderId="8" xfId="6" applyNumberFormat="1" applyFont="1" applyFill="1" applyBorder="1" applyAlignment="1">
      <alignment horizontal="left" indent="3"/>
    </xf>
    <xf numFmtId="171" fontId="6" fillId="0" borderId="8" xfId="6" applyNumberFormat="1" applyFont="1" applyBorder="1" applyAlignment="1">
      <alignment horizontal="right"/>
    </xf>
    <xf numFmtId="171" fontId="6" fillId="5" borderId="8" xfId="6" applyNumberFormat="1" applyFont="1" applyFill="1" applyBorder="1" applyAlignment="1">
      <alignment horizontal="right"/>
    </xf>
    <xf numFmtId="10" fontId="20" fillId="5" borderId="0" xfId="5" applyNumberFormat="1" applyFont="1" applyFill="1" applyAlignment="1">
      <alignment horizontal="right"/>
    </xf>
    <xf numFmtId="173" fontId="6" fillId="5" borderId="0" xfId="4" applyNumberFormat="1" applyFont="1" applyFill="1">
      <alignment horizontal="right"/>
    </xf>
    <xf numFmtId="9" fontId="20" fillId="5" borderId="0" xfId="5" applyFont="1" applyFill="1" applyAlignment="1">
      <alignment horizontal="right"/>
    </xf>
    <xf numFmtId="169" fontId="20" fillId="0" borderId="0" xfId="5" applyNumberFormat="1" applyFont="1"/>
    <xf numFmtId="165" fontId="6" fillId="5" borderId="0" xfId="0" applyNumberFormat="1" applyFont="1" applyFill="1"/>
    <xf numFmtId="43" fontId="6" fillId="5" borderId="0" xfId="6" applyFont="1" applyFill="1"/>
    <xf numFmtId="171" fontId="6" fillId="5" borderId="0" xfId="0" applyNumberFormat="1" applyFont="1" applyFill="1"/>
    <xf numFmtId="169" fontId="13" fillId="0" borderId="0" xfId="0" applyNumberFormat="1" applyFont="1" applyAlignment="1">
      <alignment horizontal="center"/>
    </xf>
    <xf numFmtId="169" fontId="20" fillId="5" borderId="0" xfId="0" applyNumberFormat="1" applyFont="1" applyFill="1"/>
    <xf numFmtId="171" fontId="6" fillId="5" borderId="0" xfId="6" applyNumberFormat="1" applyFont="1" applyFill="1"/>
    <xf numFmtId="169" fontId="0" fillId="5" borderId="0" xfId="0" applyNumberFormat="1" applyFill="1"/>
    <xf numFmtId="10" fontId="0" fillId="0" borderId="0" xfId="0" applyNumberFormat="1"/>
    <xf numFmtId="43" fontId="6" fillId="0" borderId="0" xfId="6" applyFont="1"/>
    <xf numFmtId="171" fontId="21" fillId="0" borderId="0" xfId="6" applyNumberFormat="1" applyFont="1"/>
    <xf numFmtId="171" fontId="21" fillId="5" borderId="0" xfId="6" applyNumberFormat="1" applyFont="1" applyFill="1"/>
    <xf numFmtId="171" fontId="21" fillId="0" borderId="0" xfId="6" applyNumberFormat="1" applyFont="1" applyAlignment="1">
      <alignment horizontal="right"/>
    </xf>
    <xf numFmtId="171" fontId="21" fillId="5" borderId="0" xfId="6" applyNumberFormat="1" applyFont="1" applyFill="1" applyAlignment="1">
      <alignment horizontal="right"/>
    </xf>
    <xf numFmtId="9" fontId="20" fillId="5" borderId="0" xfId="0" applyNumberFormat="1" applyFont="1" applyFill="1"/>
    <xf numFmtId="171" fontId="20" fillId="0" borderId="0" xfId="6" applyNumberFormat="1" applyFont="1"/>
    <xf numFmtId="171" fontId="20" fillId="5" borderId="0" xfId="6" applyNumberFormat="1" applyFont="1" applyFill="1"/>
    <xf numFmtId="165" fontId="6" fillId="0" borderId="0" xfId="0" applyNumberFormat="1" applyFont="1"/>
    <xf numFmtId="171" fontId="21" fillId="0" borderId="0" xfId="6" applyNumberFormat="1" applyFont="1" applyFill="1" applyProtection="1">
      <protection locked="0"/>
    </xf>
    <xf numFmtId="171" fontId="18" fillId="0" borderId="8" xfId="0" applyNumberFormat="1" applyFont="1" applyBorder="1" applyAlignment="1">
      <alignment horizontal="left" indent="3"/>
    </xf>
    <xf numFmtId="171" fontId="23" fillId="0" borderId="8" xfId="0" applyNumberFormat="1" applyFont="1" applyBorder="1" applyAlignment="1">
      <alignment horizontal="left" indent="3"/>
    </xf>
    <xf numFmtId="171" fontId="6" fillId="0" borderId="0" xfId="0" applyNumberFormat="1" applyFont="1"/>
    <xf numFmtId="43" fontId="6" fillId="0" borderId="0" xfId="6" applyFont="1" applyFill="1"/>
    <xf numFmtId="171" fontId="6" fillId="0" borderId="0" xfId="6" applyNumberFormat="1" applyFont="1" applyFill="1"/>
    <xf numFmtId="171" fontId="21" fillId="0" borderId="0" xfId="0" applyNumberFormat="1" applyFont="1"/>
    <xf numFmtId="171" fontId="21" fillId="5" borderId="0" xfId="0" applyNumberFormat="1" applyFont="1" applyFill="1"/>
    <xf numFmtId="171" fontId="21" fillId="0" borderId="0" xfId="6" applyNumberFormat="1" applyFont="1" applyFill="1"/>
    <xf numFmtId="38" fontId="18" fillId="5" borderId="8" xfId="0" applyNumberFormat="1" applyFont="1" applyFill="1" applyBorder="1" applyAlignment="1">
      <alignment horizontal="left" indent="3"/>
    </xf>
    <xf numFmtId="171" fontId="18" fillId="0" borderId="9" xfId="0" applyNumberFormat="1" applyFont="1" applyBorder="1" applyAlignment="1">
      <alignment horizontal="left" indent="3"/>
    </xf>
    <xf numFmtId="171" fontId="13" fillId="0" borderId="0" xfId="6" applyNumberFormat="1" applyFont="1" applyAlignment="1">
      <alignment horizontal="center"/>
    </xf>
    <xf numFmtId="165" fontId="18" fillId="5" borderId="8" xfId="0" applyNumberFormat="1" applyFont="1" applyFill="1" applyBorder="1" applyAlignment="1">
      <alignment horizontal="center"/>
    </xf>
    <xf numFmtId="171" fontId="18" fillId="5" borderId="8" xfId="0" applyNumberFormat="1" applyFont="1" applyFill="1" applyBorder="1" applyAlignment="1">
      <alignment horizontal="center"/>
    </xf>
    <xf numFmtId="171" fontId="18" fillId="0" borderId="8" xfId="0" applyNumberFormat="1" applyFont="1" applyBorder="1" applyAlignment="1">
      <alignment horizontal="center"/>
    </xf>
    <xf numFmtId="165" fontId="18" fillId="0" borderId="8" xfId="0" applyNumberFormat="1" applyFont="1" applyBorder="1" applyAlignment="1">
      <alignment horizontal="center"/>
    </xf>
    <xf numFmtId="171" fontId="23" fillId="0" borderId="9" xfId="0" applyNumberFormat="1" applyFont="1" applyBorder="1" applyAlignment="1">
      <alignment horizontal="left" indent="3"/>
    </xf>
    <xf numFmtId="0" fontId="22" fillId="0" borderId="0" xfId="0" applyFont="1"/>
    <xf numFmtId="0" fontId="18" fillId="0" borderId="0" xfId="0" applyFont="1"/>
    <xf numFmtId="38" fontId="16" fillId="0" borderId="0" xfId="0" applyNumberFormat="1" applyFont="1"/>
    <xf numFmtId="38" fontId="17" fillId="0" borderId="0" xfId="0" applyNumberFormat="1" applyFont="1"/>
    <xf numFmtId="38" fontId="18" fillId="6" borderId="8" xfId="0" applyNumberFormat="1" applyFont="1" applyFill="1" applyBorder="1"/>
    <xf numFmtId="0" fontId="11" fillId="0" borderId="0" xfId="0" applyFont="1" applyAlignment="1">
      <alignment horizontal="left" indent="3"/>
    </xf>
    <xf numFmtId="9" fontId="20" fillId="0" borderId="0" xfId="5" applyFont="1"/>
    <xf numFmtId="38" fontId="6" fillId="0" borderId="0" xfId="0" applyNumberFormat="1" applyFont="1"/>
    <xf numFmtId="171" fontId="25" fillId="0" borderId="0" xfId="6" applyNumberFormat="1" applyFont="1"/>
    <xf numFmtId="9" fontId="16" fillId="0" borderId="0" xfId="0" applyNumberFormat="1" applyFont="1"/>
    <xf numFmtId="9" fontId="2" fillId="0" borderId="0" xfId="5" applyFont="1"/>
    <xf numFmtId="38" fontId="18" fillId="0" borderId="0" xfId="0" applyNumberFormat="1" applyFont="1"/>
    <xf numFmtId="0" fontId="16" fillId="0" borderId="0" xfId="0" applyFont="1" applyAlignment="1" applyProtection="1">
      <alignment horizontal="left"/>
      <protection locked="0"/>
    </xf>
    <xf numFmtId="0" fontId="9" fillId="0" borderId="0" xfId="0" applyFont="1"/>
    <xf numFmtId="0" fontId="25" fillId="0" borderId="0" xfId="0" applyFont="1" applyAlignment="1">
      <alignment horizontal="center"/>
    </xf>
    <xf numFmtId="0" fontId="16" fillId="0" borderId="0" xfId="0" applyFont="1" applyProtection="1">
      <protection locked="0"/>
    </xf>
    <xf numFmtId="0" fontId="6" fillId="0" borderId="0" xfId="0" applyFont="1" applyAlignment="1">
      <alignment horizontal="center"/>
    </xf>
    <xf numFmtId="0" fontId="6" fillId="0" borderId="0" xfId="0" applyFont="1" applyAlignment="1">
      <alignment horizontal="left"/>
    </xf>
    <xf numFmtId="9" fontId="6" fillId="0" borderId="0" xfId="5" applyFont="1" applyAlignment="1">
      <alignment horizontal="center"/>
    </xf>
    <xf numFmtId="174" fontId="6" fillId="0" borderId="0" xfId="7" applyNumberFormat="1" applyFont="1" applyAlignment="1"/>
    <xf numFmtId="2" fontId="9" fillId="7" borderId="0" xfId="0" applyNumberFormat="1" applyFont="1" applyFill="1" applyAlignment="1">
      <alignment horizontal="center"/>
    </xf>
    <xf numFmtId="9" fontId="9" fillId="7" borderId="12" xfId="5" applyFont="1" applyFill="1" applyBorder="1" applyAlignment="1">
      <alignment horizontal="center" vertical="center"/>
    </xf>
    <xf numFmtId="2" fontId="9" fillId="7" borderId="14" xfId="0" applyNumberFormat="1" applyFont="1" applyFill="1" applyBorder="1" applyAlignment="1">
      <alignment horizontal="center"/>
    </xf>
    <xf numFmtId="9" fontId="9" fillId="7" borderId="13" xfId="5" applyFont="1" applyFill="1" applyBorder="1" applyAlignment="1">
      <alignment horizontal="center" vertical="center"/>
    </xf>
    <xf numFmtId="2" fontId="9" fillId="7" borderId="7" xfId="0" applyNumberFormat="1" applyFont="1" applyFill="1" applyBorder="1" applyAlignment="1">
      <alignment horizontal="center"/>
    </xf>
    <xf numFmtId="14" fontId="6" fillId="7" borderId="17" xfId="0" applyNumberFormat="1" applyFont="1" applyFill="1" applyBorder="1" applyAlignment="1">
      <alignment horizontal="center"/>
    </xf>
    <xf numFmtId="14" fontId="6" fillId="7" borderId="16" xfId="8" applyNumberFormat="1" applyFont="1" applyFill="1" applyBorder="1" applyAlignment="1">
      <alignment horizontal="center" vertical="center"/>
    </xf>
    <xf numFmtId="0" fontId="28" fillId="2" borderId="11" xfId="8" applyFont="1" applyFill="1" applyBorder="1" applyAlignment="1">
      <alignment horizontal="center" vertical="center"/>
    </xf>
    <xf numFmtId="9" fontId="6" fillId="7" borderId="12" xfId="5" applyFont="1" applyFill="1" applyBorder="1" applyAlignment="1">
      <alignment horizontal="center" vertical="center"/>
    </xf>
    <xf numFmtId="0" fontId="6" fillId="0" borderId="0" xfId="8" applyFont="1" applyAlignment="1">
      <alignment vertical="center"/>
    </xf>
    <xf numFmtId="0" fontId="29" fillId="0" borderId="0" xfId="8" applyFont="1" applyAlignment="1">
      <alignment vertical="center"/>
    </xf>
    <xf numFmtId="0" fontId="6" fillId="0" borderId="18" xfId="8" applyFont="1" applyBorder="1" applyAlignment="1">
      <alignment horizontal="left" vertical="center" indent="1"/>
    </xf>
    <xf numFmtId="0" fontId="0" fillId="0" borderId="11" xfId="0" applyBorder="1"/>
    <xf numFmtId="0" fontId="6" fillId="0" borderId="10" xfId="8" applyFont="1" applyBorder="1" applyAlignment="1">
      <alignment horizontal="left" vertical="center" indent="1"/>
    </xf>
    <xf numFmtId="171" fontId="6" fillId="0" borderId="12" xfId="6" applyNumberFormat="1" applyFont="1" applyBorder="1"/>
    <xf numFmtId="0" fontId="29" fillId="0" borderId="10" xfId="8" applyFont="1" applyBorder="1" applyAlignment="1">
      <alignment horizontal="left" vertical="center" indent="1"/>
    </xf>
    <xf numFmtId="171" fontId="30" fillId="0" borderId="12" xfId="6" applyNumberFormat="1" applyFont="1" applyBorder="1"/>
    <xf numFmtId="0" fontId="7" fillId="0" borderId="10" xfId="8" applyFont="1" applyBorder="1" applyAlignment="1">
      <alignment horizontal="left" vertical="center" indent="1"/>
    </xf>
    <xf numFmtId="171" fontId="7" fillId="0" borderId="12" xfId="6" applyNumberFormat="1" applyFont="1" applyBorder="1"/>
    <xf numFmtId="0" fontId="7" fillId="0" borderId="14" xfId="8" applyFont="1" applyBorder="1" applyAlignment="1">
      <alignment horizontal="left" vertical="center" indent="1"/>
    </xf>
    <xf numFmtId="171" fontId="7" fillId="0" borderId="13" xfId="0" applyNumberFormat="1" applyFont="1" applyBorder="1"/>
    <xf numFmtId="0" fontId="6" fillId="0" borderId="15" xfId="8" applyFont="1" applyBorder="1" applyAlignment="1">
      <alignment vertical="center"/>
    </xf>
    <xf numFmtId="0" fontId="6" fillId="0" borderId="17" xfId="8" applyFont="1" applyBorder="1" applyAlignment="1">
      <alignment vertical="center"/>
    </xf>
    <xf numFmtId="0" fontId="7" fillId="0" borderId="16" xfId="8" applyFont="1" applyBorder="1" applyAlignment="1">
      <alignment vertical="center"/>
    </xf>
    <xf numFmtId="10" fontId="6" fillId="0" borderId="11" xfId="5" applyNumberFormat="1" applyFont="1" applyBorder="1"/>
    <xf numFmtId="10" fontId="6" fillId="0" borderId="12" xfId="5" applyNumberFormat="1" applyFont="1" applyBorder="1"/>
    <xf numFmtId="10" fontId="6" fillId="0" borderId="13" xfId="5" applyNumberFormat="1" applyFont="1" applyBorder="1"/>
    <xf numFmtId="43" fontId="6" fillId="0" borderId="12" xfId="6" applyFont="1" applyBorder="1"/>
    <xf numFmtId="0" fontId="6" fillId="0" borderId="18" xfId="8" applyFont="1" applyBorder="1" applyAlignment="1">
      <alignment vertical="center"/>
    </xf>
    <xf numFmtId="0" fontId="6" fillId="0" borderId="10" xfId="8" applyFont="1" applyBorder="1" applyAlignment="1">
      <alignment vertical="center"/>
    </xf>
    <xf numFmtId="0" fontId="6" fillId="0" borderId="14" xfId="8" applyFont="1" applyBorder="1" applyAlignment="1">
      <alignment vertical="center"/>
    </xf>
    <xf numFmtId="0" fontId="7" fillId="0" borderId="14" xfId="8" applyFont="1" applyBorder="1" applyAlignment="1">
      <alignment vertical="center"/>
    </xf>
    <xf numFmtId="44" fontId="6" fillId="0" borderId="15" xfId="7" applyFont="1" applyBorder="1"/>
    <xf numFmtId="3" fontId="32" fillId="0" borderId="17" xfId="0" applyNumberFormat="1" applyFont="1" applyBorder="1" applyAlignment="1">
      <alignment horizontal="center"/>
    </xf>
    <xf numFmtId="9" fontId="6" fillId="0" borderId="17" xfId="5" applyFont="1" applyBorder="1"/>
    <xf numFmtId="10" fontId="6" fillId="0" borderId="17" xfId="5" applyNumberFormat="1" applyFont="1" applyBorder="1"/>
    <xf numFmtId="10" fontId="6" fillId="0" borderId="17" xfId="0" applyNumberFormat="1" applyFont="1" applyBorder="1"/>
    <xf numFmtId="174" fontId="6" fillId="0" borderId="17" xfId="0" applyNumberFormat="1" applyFont="1" applyBorder="1"/>
    <xf numFmtId="174" fontId="6" fillId="0" borderId="17" xfId="7" applyNumberFormat="1" applyFont="1" applyBorder="1"/>
    <xf numFmtId="10" fontId="31" fillId="0" borderId="16" xfId="9" applyNumberFormat="1" applyFont="1" applyFill="1" applyBorder="1" applyAlignment="1">
      <alignment vertical="center"/>
    </xf>
    <xf numFmtId="175" fontId="6" fillId="0" borderId="12" xfId="5" applyNumberFormat="1" applyFont="1" applyBorder="1"/>
    <xf numFmtId="10" fontId="7" fillId="0" borderId="0" xfId="0" applyNumberFormat="1" applyFont="1" applyAlignment="1">
      <alignment horizontal="center"/>
    </xf>
    <xf numFmtId="9" fontId="6" fillId="0" borderId="0" xfId="0" applyNumberFormat="1" applyFont="1" applyAlignment="1">
      <alignment horizontal="center"/>
    </xf>
    <xf numFmtId="169" fontId="6" fillId="0" borderId="0" xfId="5" applyNumberFormat="1" applyFont="1" applyAlignment="1">
      <alignment horizontal="center"/>
    </xf>
    <xf numFmtId="169" fontId="6" fillId="0" borderId="0" xfId="0" applyNumberFormat="1" applyFont="1" applyAlignment="1">
      <alignment horizontal="center"/>
    </xf>
    <xf numFmtId="10" fontId="6" fillId="0" borderId="0" xfId="0" applyNumberFormat="1" applyFont="1" applyAlignment="1">
      <alignment horizontal="center"/>
    </xf>
    <xf numFmtId="0" fontId="4" fillId="2" borderId="13" xfId="8" applyFont="1" applyFill="1" applyBorder="1" applyAlignment="1">
      <alignment horizontal="center" vertical="center"/>
    </xf>
    <xf numFmtId="0" fontId="33" fillId="2" borderId="18" xfId="8" applyFont="1" applyFill="1" applyBorder="1" applyAlignment="1">
      <alignment horizontal="center" vertical="center"/>
    </xf>
    <xf numFmtId="0" fontId="4" fillId="2" borderId="7" xfId="8" applyFont="1" applyFill="1" applyBorder="1" applyAlignment="1">
      <alignment horizontal="center" vertical="center"/>
    </xf>
    <xf numFmtId="0" fontId="33" fillId="2" borderId="5" xfId="8" applyFont="1" applyFill="1" applyBorder="1" applyAlignment="1">
      <alignment horizontal="center" vertical="center"/>
    </xf>
    <xf numFmtId="0" fontId="33" fillId="2" borderId="11" xfId="8" applyFont="1" applyFill="1" applyBorder="1" applyAlignment="1">
      <alignment horizontal="center" vertical="center"/>
    </xf>
    <xf numFmtId="0" fontId="4" fillId="2" borderId="15" xfId="8" applyFont="1" applyFill="1" applyBorder="1" applyAlignment="1">
      <alignment horizontal="center" vertical="center"/>
    </xf>
    <xf numFmtId="0" fontId="4" fillId="2" borderId="16" xfId="8" applyFont="1" applyFill="1" applyBorder="1" applyAlignment="1">
      <alignment horizontal="center" vertical="center"/>
    </xf>
    <xf numFmtId="0" fontId="7" fillId="7" borderId="19" xfId="0" applyFont="1" applyFill="1" applyBorder="1" applyAlignment="1">
      <alignment horizontal="center"/>
    </xf>
    <xf numFmtId="10" fontId="7" fillId="7" borderId="8" xfId="0" applyNumberFormat="1" applyFont="1" applyFill="1" applyBorder="1" applyAlignment="1">
      <alignment horizontal="center"/>
    </xf>
    <xf numFmtId="0" fontId="7" fillId="7" borderId="8" xfId="0" applyFont="1" applyFill="1" applyBorder="1" applyAlignment="1">
      <alignment horizontal="center"/>
    </xf>
    <xf numFmtId="176" fontId="6" fillId="0" borderId="0" xfId="0" applyNumberFormat="1" applyFont="1" applyAlignment="1">
      <alignment horizontal="center"/>
    </xf>
    <xf numFmtId="10" fontId="31" fillId="0" borderId="20" xfId="9" applyNumberFormat="1" applyFont="1" applyFill="1" applyBorder="1" applyAlignment="1">
      <alignment vertical="center"/>
    </xf>
    <xf numFmtId="0" fontId="24" fillId="0" borderId="0" xfId="0" applyFont="1"/>
    <xf numFmtId="171" fontId="0" fillId="0" borderId="0" xfId="0" applyNumberFormat="1"/>
    <xf numFmtId="177" fontId="6" fillId="0" borderId="0" xfId="6" applyNumberFormat="1" applyFont="1"/>
    <xf numFmtId="43" fontId="0" fillId="0" borderId="0" xfId="6" applyFont="1"/>
    <xf numFmtId="171" fontId="18" fillId="5" borderId="9" xfId="0" applyNumberFormat="1" applyFont="1" applyFill="1" applyBorder="1" applyAlignment="1">
      <alignment horizontal="left" indent="3"/>
    </xf>
    <xf numFmtId="44" fontId="7" fillId="0" borderId="0" xfId="7" applyFont="1"/>
    <xf numFmtId="0" fontId="37" fillId="2" borderId="0" xfId="0" applyFont="1" applyFill="1"/>
    <xf numFmtId="0" fontId="34" fillId="2" borderId="0" xfId="0" applyFont="1" applyFill="1"/>
    <xf numFmtId="0" fontId="4" fillId="2" borderId="0" xfId="0" applyFont="1" applyFill="1"/>
    <xf numFmtId="169" fontId="16" fillId="0" borderId="0" xfId="0" applyNumberFormat="1" applyFont="1"/>
    <xf numFmtId="178" fontId="16" fillId="0" borderId="0" xfId="0" applyNumberFormat="1" applyFont="1"/>
    <xf numFmtId="9" fontId="0" fillId="0" borderId="0" xfId="5" applyFont="1"/>
    <xf numFmtId="169" fontId="11" fillId="0" borderId="0" xfId="5" applyNumberFormat="1" applyFont="1"/>
    <xf numFmtId="169" fontId="11" fillId="0" borderId="0" xfId="0" applyNumberFormat="1" applyFont="1"/>
    <xf numFmtId="0" fontId="11" fillId="0" borderId="0" xfId="0" applyFont="1"/>
    <xf numFmtId="9" fontId="11" fillId="0" borderId="0" xfId="5" applyFont="1"/>
    <xf numFmtId="9" fontId="20" fillId="5" borderId="0" xfId="5" applyFont="1" applyFill="1"/>
    <xf numFmtId="9" fontId="2" fillId="5" borderId="0" xfId="5" applyFont="1" applyFill="1"/>
    <xf numFmtId="169" fontId="39" fillId="0" borderId="0" xfId="5" applyNumberFormat="1" applyFont="1"/>
    <xf numFmtId="43" fontId="21" fillId="0" borderId="0" xfId="6" applyFont="1"/>
    <xf numFmtId="40" fontId="18" fillId="0" borderId="0" xfId="0" applyNumberFormat="1" applyFont="1"/>
    <xf numFmtId="171" fontId="6" fillId="5" borderId="2" xfId="6" applyNumberFormat="1" applyFont="1" applyFill="1" applyBorder="1"/>
    <xf numFmtId="171" fontId="7" fillId="5" borderId="0" xfId="6" applyNumberFormat="1" applyFont="1" applyFill="1"/>
    <xf numFmtId="44" fontId="7" fillId="5" borderId="0" xfId="7" applyFont="1" applyFill="1"/>
    <xf numFmtId="44" fontId="7" fillId="5" borderId="0" xfId="0" applyNumberFormat="1" applyFont="1" applyFill="1"/>
    <xf numFmtId="38" fontId="18" fillId="5" borderId="8" xfId="0" applyNumberFormat="1" applyFont="1" applyFill="1" applyBorder="1"/>
    <xf numFmtId="171" fontId="7" fillId="5" borderId="0" xfId="0" applyNumberFormat="1" applyFont="1" applyFill="1"/>
    <xf numFmtId="38" fontId="18" fillId="5" borderId="0" xfId="0" applyNumberFormat="1" applyFont="1" applyFill="1"/>
    <xf numFmtId="0" fontId="42" fillId="0" borderId="0" xfId="0" applyFont="1" applyAlignment="1">
      <alignment vertical="top"/>
    </xf>
    <xf numFmtId="0" fontId="43" fillId="0" borderId="0" xfId="0" applyFont="1" applyAlignment="1">
      <alignment vertical="top"/>
    </xf>
    <xf numFmtId="14" fontId="43" fillId="0" borderId="0" xfId="0" applyNumberFormat="1" applyFont="1" applyAlignment="1">
      <alignment vertical="top"/>
    </xf>
    <xf numFmtId="6" fontId="43" fillId="0" borderId="21" xfId="0" applyNumberFormat="1" applyFont="1" applyBorder="1" applyAlignment="1">
      <alignment horizontal="left" vertical="top"/>
    </xf>
    <xf numFmtId="0" fontId="43" fillId="0" borderId="21" xfId="0" applyFont="1" applyBorder="1" applyAlignment="1">
      <alignment vertical="top"/>
    </xf>
    <xf numFmtId="0" fontId="43" fillId="0" borderId="0" xfId="0" applyFont="1" applyAlignment="1">
      <alignment horizontal="left" vertical="top"/>
    </xf>
    <xf numFmtId="0" fontId="43" fillId="0" borderId="21" xfId="0" applyFont="1" applyBorder="1" applyAlignment="1">
      <alignment horizontal="left" vertical="top"/>
    </xf>
    <xf numFmtId="0" fontId="35" fillId="0" borderId="0" xfId="0" applyFont="1" applyAlignment="1">
      <alignment vertical="top"/>
    </xf>
    <xf numFmtId="0" fontId="35" fillId="0" borderId="0" xfId="0" applyFont="1" applyAlignment="1">
      <alignment vertical="top" wrapText="1"/>
    </xf>
    <xf numFmtId="44" fontId="35" fillId="0" borderId="0" xfId="0" applyNumberFormat="1" applyFont="1" applyAlignment="1">
      <alignment vertical="top"/>
    </xf>
    <xf numFmtId="44" fontId="35" fillId="0" borderId="0" xfId="0" applyNumberFormat="1" applyFont="1" applyAlignment="1">
      <alignment vertical="top" wrapText="1"/>
    </xf>
    <xf numFmtId="0" fontId="36" fillId="0" borderId="0" xfId="0" applyFont="1" applyAlignment="1">
      <alignment vertical="top"/>
    </xf>
    <xf numFmtId="4" fontId="36" fillId="0" borderId="0" xfId="0" applyNumberFormat="1" applyFont="1" applyAlignment="1">
      <alignment horizontal="right" vertical="top"/>
    </xf>
    <xf numFmtId="2" fontId="36" fillId="0" borderId="0" xfId="0" applyNumberFormat="1" applyFont="1" applyAlignment="1">
      <alignment horizontal="right" vertical="top"/>
    </xf>
    <xf numFmtId="0" fontId="38" fillId="0" borderId="0" xfId="0" applyFont="1"/>
    <xf numFmtId="0" fontId="36" fillId="0" borderId="22" xfId="0" applyFont="1" applyBorder="1" applyAlignment="1">
      <alignment vertical="top"/>
    </xf>
    <xf numFmtId="169" fontId="36" fillId="0" borderId="22" xfId="0" applyNumberFormat="1" applyFont="1" applyBorder="1" applyAlignment="1">
      <alignment horizontal="right" vertical="top"/>
    </xf>
    <xf numFmtId="169" fontId="36" fillId="0" borderId="0" xfId="0" applyNumberFormat="1" applyFont="1" applyAlignment="1">
      <alignment horizontal="right" vertical="top"/>
    </xf>
    <xf numFmtId="10" fontId="36" fillId="0" borderId="0" xfId="0" applyNumberFormat="1" applyFont="1" applyAlignment="1">
      <alignment horizontal="right" vertical="top"/>
    </xf>
    <xf numFmtId="0" fontId="7" fillId="0" borderId="0" xfId="0" applyFont="1"/>
    <xf numFmtId="0" fontId="6" fillId="0" borderId="23" xfId="0" applyFont="1" applyBorder="1" applyAlignment="1">
      <alignment horizontal="left" vertical="center" indent="1"/>
    </xf>
    <xf numFmtId="0" fontId="44" fillId="0" borderId="0" xfId="0" applyFont="1"/>
    <xf numFmtId="0" fontId="6" fillId="0" borderId="0" xfId="0" applyFont="1" applyAlignment="1">
      <alignment horizontal="left" vertical="center" indent="1"/>
    </xf>
    <xf numFmtId="0" fontId="7" fillId="0" borderId="24" xfId="0" applyFont="1" applyBorder="1" applyAlignment="1">
      <alignment horizontal="left" vertical="center" indent="1"/>
    </xf>
    <xf numFmtId="0" fontId="7" fillId="0" borderId="23" xfId="0" applyFont="1" applyBorder="1" applyAlignment="1">
      <alignment horizontal="left" vertical="center" indent="1"/>
    </xf>
    <xf numFmtId="171" fontId="7" fillId="0" borderId="23" xfId="0" applyNumberFormat="1" applyFont="1" applyBorder="1" applyAlignment="1">
      <alignment horizontal="left" vertical="center" indent="1"/>
    </xf>
    <xf numFmtId="171" fontId="7" fillId="0" borderId="23" xfId="6" applyNumberFormat="1" applyFont="1" applyFill="1" applyBorder="1" applyAlignment="1">
      <alignment horizontal="left" vertical="center" indent="1"/>
    </xf>
    <xf numFmtId="171" fontId="6" fillId="0" borderId="23" xfId="0" applyNumberFormat="1" applyFont="1" applyBorder="1" applyAlignment="1">
      <alignment horizontal="left" vertical="center" indent="1"/>
    </xf>
    <xf numFmtId="171" fontId="23" fillId="0" borderId="23" xfId="6" applyNumberFormat="1" applyFont="1" applyFill="1" applyBorder="1" applyAlignment="1">
      <alignment horizontal="left" vertical="center" indent="1"/>
    </xf>
    <xf numFmtId="171" fontId="7" fillId="0" borderId="24" xfId="0" applyNumberFormat="1" applyFont="1" applyBorder="1" applyAlignment="1">
      <alignment horizontal="left" vertical="center" indent="1"/>
    </xf>
    <xf numFmtId="0" fontId="16" fillId="2" borderId="8" xfId="0" applyFont="1" applyFill="1" applyBorder="1"/>
    <xf numFmtId="10" fontId="11" fillId="0" borderId="0" xfId="5" applyNumberFormat="1" applyFont="1"/>
    <xf numFmtId="0" fontId="18" fillId="0" borderId="0" xfId="0" applyFont="1" applyAlignment="1">
      <alignment vertical="top"/>
    </xf>
    <xf numFmtId="0" fontId="16" fillId="0" borderId="0" xfId="0" applyFont="1" applyAlignment="1">
      <alignment vertical="top"/>
    </xf>
    <xf numFmtId="0" fontId="16" fillId="0" borderId="0" xfId="0" applyFont="1" applyAlignment="1">
      <alignment horizontal="left" vertical="top"/>
    </xf>
    <xf numFmtId="0" fontId="18" fillId="0" borderId="22" xfId="0" applyFont="1" applyBorder="1" applyAlignment="1">
      <alignment vertical="top"/>
    </xf>
    <xf numFmtId="179" fontId="16" fillId="0" borderId="0" xfId="0" applyNumberFormat="1" applyFont="1" applyAlignment="1">
      <alignment horizontal="center" vertical="top"/>
    </xf>
    <xf numFmtId="178" fontId="16" fillId="0" borderId="0" xfId="0" applyNumberFormat="1" applyFont="1" applyAlignment="1">
      <alignment horizontal="center" vertical="top"/>
    </xf>
    <xf numFmtId="0" fontId="18" fillId="0" borderId="25" xfId="0" applyFont="1" applyBorder="1" applyAlignment="1">
      <alignment vertical="top"/>
    </xf>
    <xf numFmtId="0" fontId="16" fillId="0" borderId="25" xfId="0" applyFont="1" applyBorder="1" applyAlignment="1">
      <alignment vertical="top"/>
    </xf>
    <xf numFmtId="40" fontId="18" fillId="0" borderId="0" xfId="0" applyNumberFormat="1" applyFont="1" applyAlignment="1">
      <alignment vertical="top"/>
    </xf>
    <xf numFmtId="38" fontId="16" fillId="0" borderId="0" xfId="0" applyNumberFormat="1" applyFont="1" applyAlignment="1">
      <alignment vertical="top"/>
    </xf>
    <xf numFmtId="38" fontId="18" fillId="0" borderId="0" xfId="0" applyNumberFormat="1" applyFont="1" applyAlignment="1">
      <alignment vertical="top"/>
    </xf>
    <xf numFmtId="9" fontId="6" fillId="0" borderId="0" xfId="5" applyFont="1"/>
    <xf numFmtId="43" fontId="39" fillId="0" borderId="0" xfId="6" applyFont="1"/>
    <xf numFmtId="43" fontId="11" fillId="0" borderId="0" xfId="6" applyFont="1"/>
    <xf numFmtId="171" fontId="6" fillId="0" borderId="0" xfId="6" applyNumberFormat="1" applyFont="1" applyAlignment="1">
      <alignment horizontal="center"/>
    </xf>
    <xf numFmtId="43" fontId="6" fillId="0" borderId="0" xfId="6" applyFont="1" applyAlignment="1">
      <alignment horizontal="center"/>
    </xf>
    <xf numFmtId="180" fontId="0" fillId="0" borderId="0" xfId="6" applyNumberFormat="1" applyFont="1" applyAlignment="1">
      <alignment horizontal="center"/>
    </xf>
    <xf numFmtId="171" fontId="0" fillId="0" borderId="0" xfId="6" applyNumberFormat="1" applyFont="1" applyAlignment="1">
      <alignment horizontal="center"/>
    </xf>
    <xf numFmtId="0" fontId="18" fillId="2" borderId="25" xfId="0" applyFont="1" applyFill="1" applyBorder="1" applyAlignment="1">
      <alignment vertical="top"/>
    </xf>
    <xf numFmtId="0" fontId="16" fillId="2" borderId="25" xfId="0" applyFont="1" applyFill="1" applyBorder="1" applyAlignment="1">
      <alignment vertical="top"/>
    </xf>
    <xf numFmtId="0" fontId="4" fillId="2" borderId="25" xfId="0" applyFont="1" applyFill="1" applyBorder="1" applyAlignment="1">
      <alignment vertical="top"/>
    </xf>
    <xf numFmtId="0" fontId="4" fillId="2" borderId="0" xfId="0" applyFont="1" applyFill="1" applyAlignment="1">
      <alignment vertical="top"/>
    </xf>
    <xf numFmtId="0" fontId="46" fillId="2" borderId="0" xfId="0" applyFont="1" applyFill="1" applyAlignment="1">
      <alignment vertical="top"/>
    </xf>
    <xf numFmtId="0" fontId="45" fillId="2" borderId="0" xfId="0" applyFont="1" applyFill="1"/>
    <xf numFmtId="171" fontId="16" fillId="0" borderId="25" xfId="6" applyNumberFormat="1" applyFont="1" applyBorder="1" applyAlignment="1">
      <alignment vertical="top"/>
    </xf>
    <xf numFmtId="0" fontId="16" fillId="0" borderId="5" xfId="0" applyFont="1" applyBorder="1" applyAlignment="1">
      <alignment vertical="top"/>
    </xf>
    <xf numFmtId="0" fontId="0" fillId="0" borderId="5" xfId="0" applyBorder="1"/>
    <xf numFmtId="0" fontId="0" fillId="0" borderId="5" xfId="0" applyBorder="1" applyAlignment="1">
      <alignment horizontal="center"/>
    </xf>
    <xf numFmtId="177" fontId="6" fillId="0" borderId="0" xfId="6" applyNumberFormat="1" applyFont="1" applyAlignment="1">
      <alignment horizontal="center"/>
    </xf>
    <xf numFmtId="171" fontId="6" fillId="0" borderId="5" xfId="6" applyNumberFormat="1" applyFont="1" applyBorder="1" applyAlignment="1">
      <alignment horizontal="center"/>
    </xf>
    <xf numFmtId="0" fontId="4" fillId="2" borderId="5" xfId="0" applyFont="1" applyFill="1" applyBorder="1" applyAlignment="1">
      <alignment vertical="top"/>
    </xf>
    <xf numFmtId="0" fontId="46" fillId="2" borderId="5" xfId="0" applyFont="1" applyFill="1" applyBorder="1" applyAlignment="1">
      <alignment vertical="top"/>
    </xf>
    <xf numFmtId="0" fontId="45" fillId="2" borderId="5" xfId="0" applyFont="1" applyFill="1" applyBorder="1"/>
    <xf numFmtId="171" fontId="6" fillId="0" borderId="0" xfId="6" applyNumberFormat="1" applyFont="1" applyBorder="1" applyAlignment="1">
      <alignment horizontal="center"/>
    </xf>
    <xf numFmtId="0" fontId="47" fillId="2" borderId="0" xfId="0" applyFont="1" applyFill="1" applyAlignment="1">
      <alignment horizontal="center"/>
    </xf>
    <xf numFmtId="0" fontId="48" fillId="2" borderId="5" xfId="0" applyFont="1" applyFill="1" applyBorder="1" applyAlignment="1">
      <alignment horizontal="center"/>
    </xf>
    <xf numFmtId="0" fontId="48" fillId="2" borderId="5" xfId="0" applyFont="1" applyFill="1" applyBorder="1"/>
    <xf numFmtId="0" fontId="48" fillId="2" borderId="0" xfId="0" applyFont="1" applyFill="1" applyAlignment="1">
      <alignment horizontal="center"/>
    </xf>
    <xf numFmtId="0" fontId="48" fillId="2" borderId="0" xfId="0" applyFont="1" applyFill="1"/>
    <xf numFmtId="0" fontId="4" fillId="8" borderId="26" xfId="0" applyFont="1" applyFill="1" applyBorder="1" applyAlignment="1">
      <alignment vertical="top"/>
    </xf>
    <xf numFmtId="0" fontId="46" fillId="8" borderId="26" xfId="0" applyFont="1" applyFill="1" applyBorder="1" applyAlignment="1">
      <alignment vertical="top"/>
    </xf>
    <xf numFmtId="0" fontId="4" fillId="2" borderId="22" xfId="0" applyFont="1" applyFill="1" applyBorder="1" applyAlignment="1">
      <alignment vertical="top"/>
    </xf>
    <xf numFmtId="0" fontId="46" fillId="2" borderId="22" xfId="0" applyFont="1" applyFill="1" applyBorder="1" applyAlignment="1">
      <alignment vertical="top"/>
    </xf>
    <xf numFmtId="38" fontId="16" fillId="0" borderId="5" xfId="0" applyNumberFormat="1" applyFont="1" applyBorder="1" applyAlignment="1">
      <alignment vertical="top"/>
    </xf>
    <xf numFmtId="171" fontId="21" fillId="0" borderId="0" xfId="6" applyNumberFormat="1" applyFont="1" applyAlignment="1">
      <alignment horizontal="center"/>
    </xf>
    <xf numFmtId="171" fontId="21" fillId="0" borderId="5" xfId="6" applyNumberFormat="1" applyFont="1" applyBorder="1" applyAlignment="1">
      <alignment horizontal="center"/>
    </xf>
    <xf numFmtId="171" fontId="21" fillId="0" borderId="0" xfId="6" applyNumberFormat="1" applyFont="1" applyBorder="1" applyAlignment="1">
      <alignment horizontal="center"/>
    </xf>
    <xf numFmtId="9" fontId="21" fillId="0" borderId="0" xfId="5" applyFont="1"/>
    <xf numFmtId="177" fontId="21" fillId="0" borderId="0" xfId="6" applyNumberFormat="1" applyFont="1" applyAlignment="1">
      <alignment horizontal="center"/>
    </xf>
    <xf numFmtId="43" fontId="13" fillId="0" borderId="0" xfId="6" applyFont="1" applyAlignment="1">
      <alignment horizontal="center"/>
    </xf>
    <xf numFmtId="43" fontId="38" fillId="0" borderId="0" xfId="6" applyFont="1"/>
    <xf numFmtId="0" fontId="36" fillId="0" borderId="0" xfId="0" applyFont="1" applyAlignment="1">
      <alignment horizontal="left" vertical="top"/>
    </xf>
    <xf numFmtId="169" fontId="0" fillId="0" borderId="0" xfId="5" applyNumberFormat="1" applyFont="1"/>
    <xf numFmtId="177" fontId="38" fillId="0" borderId="0" xfId="6" applyNumberFormat="1" applyFont="1"/>
    <xf numFmtId="177" fontId="0" fillId="0" borderId="0" xfId="0" applyNumberFormat="1"/>
    <xf numFmtId="177" fontId="38" fillId="0" borderId="0" xfId="0" applyNumberFormat="1" applyFont="1"/>
    <xf numFmtId="43" fontId="38" fillId="0" borderId="0" xfId="0" applyNumberFormat="1" applyFont="1"/>
    <xf numFmtId="166" fontId="7" fillId="0" borderId="1" xfId="2" applyNumberFormat="1" applyFont="1" applyBorder="1">
      <alignment horizontal="right"/>
    </xf>
    <xf numFmtId="44" fontId="0" fillId="0" borderId="0" xfId="0" applyNumberFormat="1"/>
    <xf numFmtId="178" fontId="49" fillId="0" borderId="0" xfId="0" applyNumberFormat="1" applyFont="1"/>
    <xf numFmtId="0" fontId="50" fillId="0" borderId="0" xfId="0" applyFont="1"/>
    <xf numFmtId="44" fontId="16" fillId="0" borderId="0" xfId="0" applyNumberFormat="1" applyFont="1"/>
    <xf numFmtId="10" fontId="0" fillId="0" borderId="0" xfId="5" applyNumberFormat="1" applyFont="1" applyFill="1"/>
    <xf numFmtId="10" fontId="16" fillId="0" borderId="0" xfId="5" applyNumberFormat="1" applyFont="1" applyFill="1"/>
    <xf numFmtId="169" fontId="11" fillId="5" borderId="0" xfId="5" applyNumberFormat="1" applyFont="1" applyFill="1"/>
    <xf numFmtId="171" fontId="7" fillId="5" borderId="23" xfId="6" applyNumberFormat="1" applyFont="1" applyFill="1" applyBorder="1" applyAlignment="1">
      <alignment horizontal="left" vertical="center" indent="1"/>
    </xf>
    <xf numFmtId="171" fontId="7" fillId="5" borderId="23" xfId="0" applyNumberFormat="1" applyFont="1" applyFill="1" applyBorder="1" applyAlignment="1">
      <alignment horizontal="left" vertical="center" indent="1"/>
    </xf>
    <xf numFmtId="171" fontId="6" fillId="5" borderId="0" xfId="6" applyNumberFormat="1" applyFont="1" applyFill="1" applyAlignment="1">
      <alignment vertical="center"/>
    </xf>
    <xf numFmtId="10" fontId="6" fillId="5" borderId="0" xfId="5" applyNumberFormat="1" applyFont="1" applyFill="1"/>
    <xf numFmtId="171" fontId="7" fillId="5" borderId="24" xfId="0" applyNumberFormat="1" applyFont="1" applyFill="1" applyBorder="1" applyAlignment="1">
      <alignment horizontal="left" vertical="center" indent="1"/>
    </xf>
    <xf numFmtId="171" fontId="6" fillId="5" borderId="23" xfId="0" applyNumberFormat="1" applyFont="1" applyFill="1" applyBorder="1" applyAlignment="1">
      <alignment horizontal="left" vertical="center" indent="1"/>
    </xf>
    <xf numFmtId="9" fontId="11" fillId="5" borderId="0" xfId="5" applyFont="1" applyFill="1"/>
    <xf numFmtId="10" fontId="11" fillId="5" borderId="0" xfId="5" applyNumberFormat="1" applyFont="1" applyFill="1"/>
    <xf numFmtId="43" fontId="0" fillId="5" borderId="0" xfId="6" applyFont="1" applyFill="1"/>
    <xf numFmtId="8" fontId="0" fillId="5" borderId="0" xfId="0" applyNumberFormat="1" applyFill="1"/>
    <xf numFmtId="43" fontId="0" fillId="0" borderId="0" xfId="0" applyNumberFormat="1"/>
    <xf numFmtId="171" fontId="0" fillId="5" borderId="0" xfId="0" applyNumberFormat="1" applyFill="1"/>
    <xf numFmtId="43" fontId="0" fillId="5" borderId="0" xfId="0" applyNumberFormat="1" applyFill="1"/>
    <xf numFmtId="10" fontId="6" fillId="0" borderId="0" xfId="0" applyNumberFormat="1" applyFont="1"/>
    <xf numFmtId="0" fontId="7" fillId="0" borderId="0" xfId="0" applyFont="1" applyAlignment="1">
      <alignment horizontal="left"/>
    </xf>
    <xf numFmtId="10" fontId="0" fillId="0" borderId="20" xfId="5" applyNumberFormat="1" applyFont="1" applyBorder="1"/>
    <xf numFmtId="44" fontId="0" fillId="0" borderId="20" xfId="7" applyFont="1" applyBorder="1"/>
    <xf numFmtId="43" fontId="0" fillId="0" borderId="0" xfId="6" applyFont="1" applyBorder="1"/>
    <xf numFmtId="0" fontId="8" fillId="2" borderId="0" xfId="0" applyFont="1" applyFill="1" applyAlignment="1">
      <alignment horizontal="center"/>
    </xf>
    <xf numFmtId="0" fontId="8" fillId="2" borderId="2" xfId="0" applyFont="1" applyFill="1" applyBorder="1" applyAlignment="1">
      <alignment horizontal="center"/>
    </xf>
    <xf numFmtId="0" fontId="40" fillId="2" borderId="5" xfId="0" applyFont="1" applyFill="1" applyBorder="1" applyAlignment="1">
      <alignment horizontal="left" vertical="top"/>
    </xf>
    <xf numFmtId="0" fontId="41" fillId="2" borderId="5" xfId="0" applyFont="1" applyFill="1" applyBorder="1" applyAlignment="1">
      <alignment horizontal="left" vertical="top"/>
    </xf>
    <xf numFmtId="0" fontId="4" fillId="4" borderId="0" xfId="1" applyFont="1" applyFill="1" applyAlignment="1">
      <alignment horizontal="center" vertical="center"/>
    </xf>
    <xf numFmtId="0" fontId="4" fillId="2" borderId="0" xfId="0" applyFont="1" applyFill="1" applyAlignment="1">
      <alignment horizontal="center" vertical="center"/>
    </xf>
  </cellXfs>
  <cellStyles count="10">
    <cellStyle name="bondFinValueStyle" xfId="2" xr:uid="{4BC5E4E4-B1EE-174D-A420-A4DE5CD908B6}"/>
    <cellStyle name="Comma" xfId="6" builtinId="3"/>
    <cellStyle name="Currency" xfId="7" builtinId="4"/>
    <cellStyle name="finCategoryStyle" xfId="1" xr:uid="{D096E010-D682-8748-9D5D-3B0EF6FA8EA4}"/>
    <cellStyle name="finItemStyle" xfId="3" xr:uid="{66FEA17B-486B-2641-9591-D8EBFFE2CAA7}"/>
    <cellStyle name="finValueStyle" xfId="4" xr:uid="{8FCDF2C9-457D-2D47-A682-523D895F4138}"/>
    <cellStyle name="Normal" xfId="0" builtinId="0"/>
    <cellStyle name="Normal 3" xfId="8" xr:uid="{8215BD87-D221-184D-96E0-4AB9AF92A578}"/>
    <cellStyle name="Percent" xfId="5" builtinId="5"/>
    <cellStyle name="Percent 2 2" xfId="9" xr:uid="{654B6D67-C138-C44D-805A-E8AC8EA200B2}"/>
  </cellStyles>
  <dxfs count="6">
    <dxf>
      <font>
        <color theme="0"/>
      </font>
    </dxf>
    <dxf>
      <font>
        <color theme="0"/>
      </font>
    </dxf>
    <dxf>
      <font>
        <color theme="0"/>
      </font>
    </dxf>
    <dxf>
      <font>
        <color theme="0"/>
      </font>
    </dxf>
    <dxf>
      <font>
        <color theme="0"/>
      </font>
    </dxf>
    <dxf>
      <font>
        <color theme="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Leverage Ratios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lineChart>
        <c:grouping val="standard"/>
        <c:varyColors val="0"/>
        <c:ser>
          <c:idx val="0"/>
          <c:order val="0"/>
          <c:tx>
            <c:v>Capital</c:v>
          </c:tx>
          <c:spPr>
            <a:ln w="34925" cap="rnd">
              <a:solidFill>
                <a:schemeClr val="accent1"/>
              </a:solidFill>
              <a:round/>
            </a:ln>
            <a:effectLst>
              <a:outerShdw blurRad="57150" dist="19050" dir="5400000" algn="ctr" rotWithShape="0">
                <a:srgbClr val="000000">
                  <a:alpha val="63000"/>
                </a:srgbClr>
              </a:outerShd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numRef>
              <c:f>Summary!$E$55:$K$55</c:f>
              <c:numCache>
                <c:formatCode>General</c:formatCode>
                <c:ptCount val="7"/>
                <c:pt idx="0">
                  <c:v>2023</c:v>
                </c:pt>
                <c:pt idx="1">
                  <c:v>2024</c:v>
                </c:pt>
                <c:pt idx="2">
                  <c:v>2025</c:v>
                </c:pt>
                <c:pt idx="3">
                  <c:v>2026</c:v>
                </c:pt>
                <c:pt idx="4">
                  <c:v>2027</c:v>
                </c:pt>
                <c:pt idx="5">
                  <c:v>2028</c:v>
                </c:pt>
                <c:pt idx="6">
                  <c:v>2029</c:v>
                </c:pt>
              </c:numCache>
            </c:numRef>
          </c:cat>
          <c:val>
            <c:numRef>
              <c:f>Summary!$E$43:$K$43</c:f>
              <c:numCache>
                <c:formatCode>_(* #,##0.00_);_(* \(#,##0.00\);_(* "-"??_);_(@_)</c:formatCode>
                <c:ptCount val="7"/>
                <c:pt idx="0">
                  <c:v>0.31490220327399354</c:v>
                </c:pt>
                <c:pt idx="1">
                  <c:v>0.29516988033838792</c:v>
                </c:pt>
                <c:pt idx="2">
                  <c:v>0.27605920069693746</c:v>
                </c:pt>
                <c:pt idx="3">
                  <c:v>0.25805895127295614</c:v>
                </c:pt>
                <c:pt idx="4">
                  <c:v>0.24114122331070761</c:v>
                </c:pt>
                <c:pt idx="5">
                  <c:v>0.22527101061862759</c:v>
                </c:pt>
                <c:pt idx="6">
                  <c:v>0.21040804859922593</c:v>
                </c:pt>
              </c:numCache>
            </c:numRef>
          </c:val>
          <c:smooth val="0"/>
          <c:extLst>
            <c:ext xmlns:c16="http://schemas.microsoft.com/office/drawing/2014/chart" uri="{C3380CC4-5D6E-409C-BE32-E72D297353CC}">
              <c16:uniqueId val="{00000000-38E2-8C43-BE03-6332FF8C2CBB}"/>
            </c:ext>
          </c:extLst>
        </c:ser>
        <c:ser>
          <c:idx val="1"/>
          <c:order val="1"/>
          <c:tx>
            <c:v>EBITDA</c:v>
          </c:tx>
          <c:spPr>
            <a:ln w="34925" cap="rnd">
              <a:solidFill>
                <a:schemeClr val="accent2"/>
              </a:solidFill>
              <a:round/>
            </a:ln>
            <a:effectLst>
              <a:outerShdw blurRad="57150" dist="19050" dir="5400000" algn="ctr" rotWithShape="0">
                <a:srgbClr val="000000">
                  <a:alpha val="63000"/>
                </a:srgbClr>
              </a:outerShdw>
            </a:effectLst>
          </c:spPr>
          <c:marker>
            <c:symbol val="none"/>
          </c:marker>
          <c:dLbls>
            <c:dLbl>
              <c:idx val="6"/>
              <c:layout>
                <c:manualLayout>
                  <c:x val="-6.1341207349081571E-2"/>
                  <c:y val="-0.11339129483814524"/>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38E2-8C43-BE03-6332FF8C2CB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numRef>
              <c:f>Summary!$E$55:$K$55</c:f>
              <c:numCache>
                <c:formatCode>General</c:formatCode>
                <c:ptCount val="7"/>
                <c:pt idx="0">
                  <c:v>2023</c:v>
                </c:pt>
                <c:pt idx="1">
                  <c:v>2024</c:v>
                </c:pt>
                <c:pt idx="2">
                  <c:v>2025</c:v>
                </c:pt>
                <c:pt idx="3">
                  <c:v>2026</c:v>
                </c:pt>
                <c:pt idx="4">
                  <c:v>2027</c:v>
                </c:pt>
                <c:pt idx="5">
                  <c:v>2028</c:v>
                </c:pt>
                <c:pt idx="6">
                  <c:v>2029</c:v>
                </c:pt>
              </c:numCache>
            </c:numRef>
          </c:cat>
          <c:val>
            <c:numRef>
              <c:f>Summary!$E$44:$K$44</c:f>
              <c:numCache>
                <c:formatCode>_(* #,##0.00_);_(* \(#,##0.00\);_(* "-"??_);_(@_)</c:formatCode>
                <c:ptCount val="7"/>
                <c:pt idx="0">
                  <c:v>1.5237795275590551</c:v>
                </c:pt>
                <c:pt idx="1">
                  <c:v>1.5446878820360996</c:v>
                </c:pt>
                <c:pt idx="2">
                  <c:v>1.4277894977618961</c:v>
                </c:pt>
                <c:pt idx="3">
                  <c:v>1.3197377111757025</c:v>
                </c:pt>
                <c:pt idx="4">
                  <c:v>1.2198630323513822</c:v>
                </c:pt>
                <c:pt idx="5">
                  <c:v>1.1275466368024361</c:v>
                </c:pt>
                <c:pt idx="6">
                  <c:v>1.0422165312394422</c:v>
                </c:pt>
              </c:numCache>
            </c:numRef>
          </c:val>
          <c:smooth val="0"/>
          <c:extLst>
            <c:ext xmlns:c16="http://schemas.microsoft.com/office/drawing/2014/chart" uri="{C3380CC4-5D6E-409C-BE32-E72D297353CC}">
              <c16:uniqueId val="{00000001-38E2-8C43-BE03-6332FF8C2CBB}"/>
            </c:ext>
          </c:extLst>
        </c:ser>
        <c:ser>
          <c:idx val="2"/>
          <c:order val="2"/>
          <c:tx>
            <c:v>Earning Interest</c:v>
          </c:tx>
          <c:spPr>
            <a:ln w="34925" cap="rnd">
              <a:solidFill>
                <a:schemeClr val="accent3"/>
              </a:solidFill>
              <a:round/>
            </a:ln>
            <a:effectLst>
              <a:outerShdw blurRad="57150" dist="19050" dir="5400000" algn="ctr" rotWithShape="0">
                <a:srgbClr val="000000">
                  <a:alpha val="63000"/>
                </a:srgbClr>
              </a:outerShd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numRef>
              <c:f>Summary!$E$55:$K$55</c:f>
              <c:numCache>
                <c:formatCode>General</c:formatCode>
                <c:ptCount val="7"/>
                <c:pt idx="0">
                  <c:v>2023</c:v>
                </c:pt>
                <c:pt idx="1">
                  <c:v>2024</c:v>
                </c:pt>
                <c:pt idx="2">
                  <c:v>2025</c:v>
                </c:pt>
                <c:pt idx="3">
                  <c:v>2026</c:v>
                </c:pt>
                <c:pt idx="4">
                  <c:v>2027</c:v>
                </c:pt>
                <c:pt idx="5">
                  <c:v>2028</c:v>
                </c:pt>
                <c:pt idx="6">
                  <c:v>2029</c:v>
                </c:pt>
              </c:numCache>
            </c:numRef>
          </c:cat>
          <c:val>
            <c:numRef>
              <c:f>Summary!$E$45:$K$45</c:f>
              <c:numCache>
                <c:formatCode>_(* #,##0.00_);_(* \(#,##0.00\);_(* "-"??_);_(@_)</c:formatCode>
                <c:ptCount val="7"/>
                <c:pt idx="0">
                  <c:v>0.72488584474885842</c:v>
                </c:pt>
                <c:pt idx="1">
                  <c:v>0.6609589041095888</c:v>
                </c:pt>
                <c:pt idx="2">
                  <c:v>0.66095890410958857</c:v>
                </c:pt>
                <c:pt idx="3">
                  <c:v>0.66095890410958902</c:v>
                </c:pt>
                <c:pt idx="4">
                  <c:v>0.66095890410958869</c:v>
                </c:pt>
                <c:pt idx="5">
                  <c:v>0.66095890410958902</c:v>
                </c:pt>
                <c:pt idx="6">
                  <c:v>0.66095890410958902</c:v>
                </c:pt>
              </c:numCache>
            </c:numRef>
          </c:val>
          <c:smooth val="0"/>
          <c:extLst>
            <c:ext xmlns:c16="http://schemas.microsoft.com/office/drawing/2014/chart" uri="{C3380CC4-5D6E-409C-BE32-E72D297353CC}">
              <c16:uniqueId val="{00000002-38E2-8C43-BE03-6332FF8C2CBB}"/>
            </c:ext>
          </c:extLst>
        </c:ser>
        <c:ser>
          <c:idx val="3"/>
          <c:order val="3"/>
          <c:tx>
            <c:v>FCFE</c:v>
          </c:tx>
          <c:spPr>
            <a:ln w="34925" cap="rnd">
              <a:solidFill>
                <a:schemeClr val="accent4"/>
              </a:solidFill>
              <a:round/>
            </a:ln>
            <a:effectLst>
              <a:outerShdw blurRad="57150" dist="19050" dir="5400000" algn="ctr" rotWithShape="0">
                <a:srgbClr val="000000">
                  <a:alpha val="63000"/>
                </a:srgbClr>
              </a:outerShd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numRef>
              <c:f>Summary!$E$55:$K$55</c:f>
              <c:numCache>
                <c:formatCode>General</c:formatCode>
                <c:ptCount val="7"/>
                <c:pt idx="0">
                  <c:v>2023</c:v>
                </c:pt>
                <c:pt idx="1">
                  <c:v>2024</c:v>
                </c:pt>
                <c:pt idx="2">
                  <c:v>2025</c:v>
                </c:pt>
                <c:pt idx="3">
                  <c:v>2026</c:v>
                </c:pt>
                <c:pt idx="4">
                  <c:v>2027</c:v>
                </c:pt>
                <c:pt idx="5">
                  <c:v>2028</c:v>
                </c:pt>
                <c:pt idx="6">
                  <c:v>2029</c:v>
                </c:pt>
              </c:numCache>
            </c:numRef>
          </c:cat>
          <c:val>
            <c:numRef>
              <c:f>Summary!$E$46:$K$46</c:f>
              <c:numCache>
                <c:formatCode>_(* #,##0.00_);_(* \(#,##0.00\);_(* "-"??_);_(@_)</c:formatCode>
                <c:ptCount val="7"/>
                <c:pt idx="0">
                  <c:v>0.56025217031831342</c:v>
                </c:pt>
                <c:pt idx="1">
                  <c:v>0.79284322788671568</c:v>
                </c:pt>
                <c:pt idx="2">
                  <c:v>0.85963700297038359</c:v>
                </c:pt>
                <c:pt idx="3">
                  <c:v>0.96664346477153751</c:v>
                </c:pt>
                <c:pt idx="4">
                  <c:v>0.98723907081341022</c:v>
                </c:pt>
                <c:pt idx="5">
                  <c:v>1.1614315644424622</c:v>
                </c:pt>
                <c:pt idx="6">
                  <c:v>1.1928390793927812</c:v>
                </c:pt>
              </c:numCache>
            </c:numRef>
          </c:val>
          <c:smooth val="0"/>
          <c:extLst>
            <c:ext xmlns:c16="http://schemas.microsoft.com/office/drawing/2014/chart" uri="{C3380CC4-5D6E-409C-BE32-E72D297353CC}">
              <c16:uniqueId val="{00000003-38E2-8C43-BE03-6332FF8C2CBB}"/>
            </c:ext>
          </c:extLst>
        </c:ser>
        <c:dLbls>
          <c:dLblPos val="ctr"/>
          <c:showLegendKey val="0"/>
          <c:showVal val="1"/>
          <c:showCatName val="0"/>
          <c:showSerName val="0"/>
          <c:showPercent val="0"/>
          <c:showBubbleSize val="0"/>
        </c:dLbls>
        <c:smooth val="0"/>
        <c:axId val="894593375"/>
        <c:axId val="894595087"/>
      </c:lineChart>
      <c:catAx>
        <c:axId val="894593375"/>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94595087"/>
        <c:crosses val="autoZero"/>
        <c:auto val="1"/>
        <c:lblAlgn val="ctr"/>
        <c:lblOffset val="100"/>
        <c:noMultiLvlLbl val="0"/>
      </c:catAx>
      <c:valAx>
        <c:axId val="894595087"/>
        <c:scaling>
          <c:orientation val="minMax"/>
        </c:scaling>
        <c:delete val="0"/>
        <c:axPos val="l"/>
        <c:majorGridlines>
          <c:spPr>
            <a:ln w="9525" cap="flat" cmpd="sng" algn="ctr">
              <a:solidFill>
                <a:schemeClr val="lt1">
                  <a:lumMod val="95000"/>
                  <a:alpha val="10000"/>
                </a:schemeClr>
              </a:solidFill>
              <a:round/>
            </a:ln>
            <a:effectLst/>
          </c:spPr>
        </c:majorGridlines>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9459337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 Gross Profit vs Sales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v>Sales</c:v>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Forecast!$H$5:$M$5</c:f>
              <c:numCache>
                <c:formatCode>#,##0;[Red]\(#,##0\)</c:formatCode>
                <c:ptCount val="6"/>
                <c:pt idx="0">
                  <c:v>32208461.407079004</c:v>
                </c:pt>
                <c:pt idx="1">
                  <c:v>34845486.755946979</c:v>
                </c:pt>
                <c:pt idx="2">
                  <c:v>37698415.081448413</c:v>
                </c:pt>
                <c:pt idx="3">
                  <c:v>40784923.155381955</c:v>
                </c:pt>
                <c:pt idx="4">
                  <c:v>44124135.011951312</c:v>
                </c:pt>
                <c:pt idx="5">
                  <c:v>47736740.440468147</c:v>
                </c:pt>
              </c:numCache>
            </c:numRef>
          </c:val>
          <c:extLst>
            <c:ext xmlns:c16="http://schemas.microsoft.com/office/drawing/2014/chart" uri="{C3380CC4-5D6E-409C-BE32-E72D297353CC}">
              <c16:uniqueId val="{00000000-04EB-2740-BA9F-AF24DE65AA13}"/>
            </c:ext>
          </c:extLst>
        </c:ser>
        <c:ser>
          <c:idx val="1"/>
          <c:order val="1"/>
          <c:tx>
            <c:v>Gross Profit</c:v>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Forecast!$H$9:$M$9</c:f>
              <c:numCache>
                <c:formatCode>#,##0;[Red]\(#,##0\)</c:formatCode>
                <c:ptCount val="6"/>
                <c:pt idx="0">
                  <c:v>14825996.947452575</c:v>
                </c:pt>
                <c:pt idx="1">
                  <c:v>16039855.916949291</c:v>
                </c:pt>
                <c:pt idx="2">
                  <c:v>17353097.990533374</c:v>
                </c:pt>
                <c:pt idx="3">
                  <c:v>18773860.028932661</c:v>
                </c:pt>
                <c:pt idx="4">
                  <c:v>20310945.087628253</c:v>
                </c:pt>
                <c:pt idx="5">
                  <c:v>21973876.960672315</c:v>
                </c:pt>
              </c:numCache>
            </c:numRef>
          </c:val>
          <c:extLst>
            <c:ext xmlns:c16="http://schemas.microsoft.com/office/drawing/2014/chart" uri="{C3380CC4-5D6E-409C-BE32-E72D297353CC}">
              <c16:uniqueId val="{00000001-04EB-2740-BA9F-AF24DE65AA13}"/>
            </c:ext>
          </c:extLst>
        </c:ser>
        <c:dLbls>
          <c:showLegendKey val="0"/>
          <c:showVal val="0"/>
          <c:showCatName val="0"/>
          <c:showSerName val="0"/>
          <c:showPercent val="0"/>
          <c:showBubbleSize val="0"/>
        </c:dLbls>
        <c:gapWidth val="100"/>
        <c:overlap val="-24"/>
        <c:axId val="149470704"/>
        <c:axId val="2061758767"/>
      </c:barChart>
      <c:catAx>
        <c:axId val="14947070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61758767"/>
        <c:crosses val="autoZero"/>
        <c:auto val="1"/>
        <c:lblAlgn val="ctr"/>
        <c:lblOffset val="100"/>
        <c:noMultiLvlLbl val="0"/>
      </c:catAx>
      <c:valAx>
        <c:axId val="2061758767"/>
        <c:scaling>
          <c:orientation val="minMax"/>
        </c:scaling>
        <c:delete val="0"/>
        <c:axPos val="l"/>
        <c:majorGridlines>
          <c:spPr>
            <a:ln w="9525" cap="flat" cmpd="sng" algn="ctr">
              <a:solidFill>
                <a:schemeClr val="lt1">
                  <a:lumMod val="95000"/>
                  <a:alpha val="10000"/>
                </a:schemeClr>
              </a:solidFill>
              <a:round/>
            </a:ln>
            <a:effectLst/>
          </c:spPr>
        </c:majorGridlines>
        <c:numFmt formatCode="#,##0;[Red]\(#,##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947070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EBITDA Comparison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stacked"/>
        <c:varyColors val="0"/>
        <c:ser>
          <c:idx val="0"/>
          <c:order val="0"/>
          <c:tx>
            <c:v>EBITDA Norm</c:v>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numRef>
              <c:f>Forecast!$F$2:$M$2</c:f>
              <c:numCache>
                <c:formatCode>0000</c:formatCode>
                <c:ptCount val="8"/>
                <c:pt idx="0">
                  <c:v>2022</c:v>
                </c:pt>
                <c:pt idx="1">
                  <c:v>2023</c:v>
                </c:pt>
                <c:pt idx="2">
                  <c:v>2024</c:v>
                </c:pt>
                <c:pt idx="3">
                  <c:v>2025</c:v>
                </c:pt>
                <c:pt idx="4">
                  <c:v>2026</c:v>
                </c:pt>
                <c:pt idx="5">
                  <c:v>2027</c:v>
                </c:pt>
                <c:pt idx="6">
                  <c:v>2028</c:v>
                </c:pt>
                <c:pt idx="7">
                  <c:v>2029</c:v>
                </c:pt>
              </c:numCache>
            </c:numRef>
          </c:cat>
          <c:val>
            <c:numRef>
              <c:f>Forecast!$F$71:$M$71</c:f>
              <c:numCache>
                <c:formatCode>#,##0;[Red]\(#,##0\)</c:formatCode>
                <c:ptCount val="8"/>
                <c:pt idx="0">
                  <c:v>4813000</c:v>
                </c:pt>
                <c:pt idx="1">
                  <c:v>6350000</c:v>
                </c:pt>
                <c:pt idx="2">
                  <c:v>6264048.6227196734</c:v>
                </c:pt>
                <c:pt idx="3">
                  <c:v>6776909.3519509891</c:v>
                </c:pt>
                <c:pt idx="4">
                  <c:v>7331759.8777866485</c:v>
                </c:pt>
                <c:pt idx="5">
                  <c:v>7932038.0595096378</c:v>
                </c:pt>
                <c:pt idx="6">
                  <c:v>8581463.2266030051</c:v>
                </c:pt>
                <c:pt idx="7">
                  <c:v>9284059.2237516567</c:v>
                </c:pt>
              </c:numCache>
            </c:numRef>
          </c:val>
          <c:extLst>
            <c:ext xmlns:c16="http://schemas.microsoft.com/office/drawing/2014/chart" uri="{C3380CC4-5D6E-409C-BE32-E72D297353CC}">
              <c16:uniqueId val="{00000000-1E5D-CD4B-B046-CBFE6CFD27F0}"/>
            </c:ext>
          </c:extLst>
        </c:ser>
        <c:ser>
          <c:idx val="1"/>
          <c:order val="1"/>
          <c:tx>
            <c:v>EBITDA</c:v>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numRef>
              <c:f>Forecast!$F$2:$M$2</c:f>
              <c:numCache>
                <c:formatCode>0000</c:formatCode>
                <c:ptCount val="8"/>
                <c:pt idx="0">
                  <c:v>2022</c:v>
                </c:pt>
                <c:pt idx="1">
                  <c:v>2023</c:v>
                </c:pt>
                <c:pt idx="2">
                  <c:v>2024</c:v>
                </c:pt>
                <c:pt idx="3">
                  <c:v>2025</c:v>
                </c:pt>
                <c:pt idx="4">
                  <c:v>2026</c:v>
                </c:pt>
                <c:pt idx="5">
                  <c:v>2027</c:v>
                </c:pt>
                <c:pt idx="6">
                  <c:v>2028</c:v>
                </c:pt>
                <c:pt idx="7">
                  <c:v>2029</c:v>
                </c:pt>
              </c:numCache>
            </c:numRef>
          </c:cat>
          <c:val>
            <c:numRef>
              <c:f>Forecast!$F$83:$M$83</c:f>
              <c:numCache>
                <c:formatCode>#,##0;[Red]\(#,##0\)</c:formatCode>
                <c:ptCount val="8"/>
                <c:pt idx="0">
                  <c:v>6585000</c:v>
                </c:pt>
                <c:pt idx="1">
                  <c:v>7184000</c:v>
                </c:pt>
                <c:pt idx="2">
                  <c:v>7086768.7688276749</c:v>
                </c:pt>
                <c:pt idx="3">
                  <c:v>7666988.626236232</c:v>
                </c:pt>
                <c:pt idx="4">
                  <c:v>8294713.2201351468</c:v>
                </c:pt>
                <c:pt idx="5">
                  <c:v>8973831.9382456336</c:v>
                </c:pt>
                <c:pt idx="6">
                  <c:v>9708552.6067850441</c:v>
                </c:pt>
                <c:pt idx="7">
                  <c:v>10503427.5621992</c:v>
                </c:pt>
              </c:numCache>
            </c:numRef>
          </c:val>
          <c:extLst>
            <c:ext xmlns:c16="http://schemas.microsoft.com/office/drawing/2014/chart" uri="{C3380CC4-5D6E-409C-BE32-E72D297353CC}">
              <c16:uniqueId val="{00000001-1E5D-CD4B-B046-CBFE6CFD27F0}"/>
            </c:ext>
          </c:extLst>
        </c:ser>
        <c:dLbls>
          <c:showLegendKey val="0"/>
          <c:showVal val="0"/>
          <c:showCatName val="0"/>
          <c:showSerName val="0"/>
          <c:showPercent val="0"/>
          <c:showBubbleSize val="0"/>
        </c:dLbls>
        <c:gapWidth val="150"/>
        <c:overlap val="100"/>
        <c:axId val="99893535"/>
        <c:axId val="99895247"/>
      </c:barChart>
      <c:catAx>
        <c:axId val="99893535"/>
        <c:scaling>
          <c:orientation val="minMax"/>
        </c:scaling>
        <c:delete val="0"/>
        <c:axPos val="b"/>
        <c:numFmt formatCode="0000"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9895247"/>
        <c:crosses val="autoZero"/>
        <c:auto val="1"/>
        <c:lblAlgn val="ctr"/>
        <c:lblOffset val="100"/>
        <c:noMultiLvlLbl val="0"/>
      </c:catAx>
      <c:valAx>
        <c:axId val="99895247"/>
        <c:scaling>
          <c:orientation val="minMax"/>
        </c:scaling>
        <c:delete val="0"/>
        <c:axPos val="l"/>
        <c:majorGridlines>
          <c:spPr>
            <a:ln w="9525" cap="flat" cmpd="sng" algn="ctr">
              <a:solidFill>
                <a:schemeClr val="lt1">
                  <a:lumMod val="95000"/>
                  <a:alpha val="10000"/>
                </a:schemeClr>
              </a:solidFill>
              <a:round/>
            </a:ln>
            <a:effectLst/>
          </c:spPr>
        </c:majorGridlines>
        <c:numFmt formatCode="#,##0;[Red]\(#,##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989353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 Asset vs Liability</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bar"/>
        <c:grouping val="clustered"/>
        <c:varyColors val="0"/>
        <c:ser>
          <c:idx val="0"/>
          <c:order val="0"/>
          <c:tx>
            <c:v>Assets</c:v>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numRef>
              <c:f>Forecast!$G$2:$M$2</c:f>
              <c:numCache>
                <c:formatCode>0000</c:formatCode>
                <c:ptCount val="7"/>
                <c:pt idx="0">
                  <c:v>2023</c:v>
                </c:pt>
                <c:pt idx="1">
                  <c:v>2024</c:v>
                </c:pt>
                <c:pt idx="2">
                  <c:v>2025</c:v>
                </c:pt>
                <c:pt idx="3">
                  <c:v>2026</c:v>
                </c:pt>
                <c:pt idx="4">
                  <c:v>2027</c:v>
                </c:pt>
                <c:pt idx="5">
                  <c:v>2028</c:v>
                </c:pt>
                <c:pt idx="6">
                  <c:v>2029</c:v>
                </c:pt>
              </c:numCache>
            </c:numRef>
          </c:cat>
          <c:val>
            <c:numRef>
              <c:f>Forecast!$G$111:$M$111</c:f>
              <c:numCache>
                <c:formatCode>_(* #,##0_);_(* \(#,##0\);_(* "-"??_);_(@_)</c:formatCode>
                <c:ptCount val="7"/>
                <c:pt idx="0">
                  <c:v>82166000</c:v>
                </c:pt>
                <c:pt idx="1">
                  <c:v>88732499.12279506</c:v>
                </c:pt>
                <c:pt idx="2">
                  <c:v>96463480.217164248</c:v>
                </c:pt>
                <c:pt idx="3">
                  <c:v>104752754.84611848</c:v>
                </c:pt>
                <c:pt idx="4">
                  <c:v>113865765.78711289</c:v>
                </c:pt>
                <c:pt idx="5">
                  <c:v>124276617.48240405</c:v>
                </c:pt>
                <c:pt idx="6">
                  <c:v>135113867.30031714</c:v>
                </c:pt>
              </c:numCache>
            </c:numRef>
          </c:val>
          <c:extLst>
            <c:ext xmlns:c16="http://schemas.microsoft.com/office/drawing/2014/chart" uri="{C3380CC4-5D6E-409C-BE32-E72D297353CC}">
              <c16:uniqueId val="{00000000-007B-C441-B395-616C3775ECDC}"/>
            </c:ext>
          </c:extLst>
        </c:ser>
        <c:ser>
          <c:idx val="1"/>
          <c:order val="1"/>
          <c:tx>
            <c:v>Liabilities</c:v>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numRef>
              <c:f>Forecast!$G$2:$M$2</c:f>
              <c:numCache>
                <c:formatCode>0000</c:formatCode>
                <c:ptCount val="7"/>
                <c:pt idx="0">
                  <c:v>2023</c:v>
                </c:pt>
                <c:pt idx="1">
                  <c:v>2024</c:v>
                </c:pt>
                <c:pt idx="2">
                  <c:v>2025</c:v>
                </c:pt>
                <c:pt idx="3">
                  <c:v>2026</c:v>
                </c:pt>
                <c:pt idx="4">
                  <c:v>2027</c:v>
                </c:pt>
                <c:pt idx="5">
                  <c:v>2028</c:v>
                </c:pt>
                <c:pt idx="6">
                  <c:v>2029</c:v>
                </c:pt>
              </c:numCache>
            </c:numRef>
          </c:cat>
          <c:val>
            <c:numRef>
              <c:f>Forecast!$G$124:$M$124</c:f>
              <c:numCache>
                <c:formatCode>_(* #,##0_);_(* \(#,##0\);_(* "-"??_);_(@_)</c:formatCode>
                <c:ptCount val="7"/>
                <c:pt idx="0">
                  <c:v>61115000</c:v>
                </c:pt>
                <c:pt idx="1">
                  <c:v>65627376.6420485</c:v>
                </c:pt>
                <c:pt idx="2">
                  <c:v>71089027.359327868</c:v>
                </c:pt>
                <c:pt idx="3">
                  <c:v>76933446.304135665</c:v>
                </c:pt>
                <c:pt idx="4">
                  <c:v>83415901.502462611</c:v>
                </c:pt>
                <c:pt idx="5">
                  <c:v>90999909.215910867</c:v>
                </c:pt>
                <c:pt idx="6">
                  <c:v>98803033.315509215</c:v>
                </c:pt>
              </c:numCache>
            </c:numRef>
          </c:val>
          <c:extLst>
            <c:ext xmlns:c16="http://schemas.microsoft.com/office/drawing/2014/chart" uri="{C3380CC4-5D6E-409C-BE32-E72D297353CC}">
              <c16:uniqueId val="{00000001-007B-C441-B395-616C3775ECDC}"/>
            </c:ext>
          </c:extLst>
        </c:ser>
        <c:dLbls>
          <c:showLegendKey val="0"/>
          <c:showVal val="0"/>
          <c:showCatName val="0"/>
          <c:showSerName val="0"/>
          <c:showPercent val="0"/>
          <c:showBubbleSize val="0"/>
        </c:dLbls>
        <c:gapWidth val="115"/>
        <c:overlap val="-20"/>
        <c:axId val="29565743"/>
        <c:axId val="29567455"/>
      </c:barChart>
      <c:catAx>
        <c:axId val="29565743"/>
        <c:scaling>
          <c:orientation val="minMax"/>
        </c:scaling>
        <c:delete val="0"/>
        <c:axPos val="l"/>
        <c:numFmt formatCode="0000"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9567455"/>
        <c:crosses val="autoZero"/>
        <c:auto val="1"/>
        <c:lblAlgn val="ctr"/>
        <c:lblOffset val="100"/>
        <c:noMultiLvlLbl val="0"/>
      </c:catAx>
      <c:valAx>
        <c:axId val="29567455"/>
        <c:scaling>
          <c:orientation val="minMax"/>
        </c:scaling>
        <c:delete val="0"/>
        <c:axPos val="b"/>
        <c:majorGridlines>
          <c:spPr>
            <a:ln w="9525" cap="flat" cmpd="sng" algn="ctr">
              <a:solidFill>
                <a:schemeClr val="lt1">
                  <a:lumMod val="95000"/>
                  <a:alpha val="10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956574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Net Income vs Pretax Income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v>Pretax</c:v>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numRef>
              <c:f>Forecast!$H$2:$M$2</c:f>
              <c:numCache>
                <c:formatCode>0000</c:formatCode>
                <c:ptCount val="6"/>
                <c:pt idx="0">
                  <c:v>2024</c:v>
                </c:pt>
                <c:pt idx="1">
                  <c:v>2025</c:v>
                </c:pt>
                <c:pt idx="2">
                  <c:v>2026</c:v>
                </c:pt>
                <c:pt idx="3">
                  <c:v>2027</c:v>
                </c:pt>
                <c:pt idx="4">
                  <c:v>2028</c:v>
                </c:pt>
                <c:pt idx="5">
                  <c:v>2029</c:v>
                </c:pt>
              </c:numCache>
            </c:numRef>
          </c:cat>
          <c:val>
            <c:numRef>
              <c:f>Forecast!$H$39:$M$39</c:f>
              <c:numCache>
                <c:formatCode>#,##0;[Red]\(#,##0\)</c:formatCode>
                <c:ptCount val="6"/>
                <c:pt idx="0">
                  <c:v>5281867.013052688</c:v>
                </c:pt>
                <c:pt idx="1">
                  <c:v>5799489.0758065162</c:v>
                </c:pt>
                <c:pt idx="2">
                  <c:v>6306002.994252339</c:v>
                </c:pt>
                <c:pt idx="3">
                  <c:v>6853987.0725302091</c:v>
                </c:pt>
                <c:pt idx="4">
                  <c:v>7446836.6253469335</c:v>
                </c:pt>
                <c:pt idx="5">
                  <c:v>8088224.9543282064</c:v>
                </c:pt>
              </c:numCache>
            </c:numRef>
          </c:val>
          <c:extLst>
            <c:ext xmlns:c16="http://schemas.microsoft.com/office/drawing/2014/chart" uri="{C3380CC4-5D6E-409C-BE32-E72D297353CC}">
              <c16:uniqueId val="{00000000-1B58-AF47-B867-041E7193C5CE}"/>
            </c:ext>
          </c:extLst>
        </c:ser>
        <c:ser>
          <c:idx val="1"/>
          <c:order val="1"/>
          <c:tx>
            <c:v>After Tax</c:v>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numRef>
              <c:f>Forecast!$H$2:$M$2</c:f>
              <c:numCache>
                <c:formatCode>0000</c:formatCode>
                <c:ptCount val="6"/>
                <c:pt idx="0">
                  <c:v>2024</c:v>
                </c:pt>
                <c:pt idx="1">
                  <c:v>2025</c:v>
                </c:pt>
                <c:pt idx="2">
                  <c:v>2026</c:v>
                </c:pt>
                <c:pt idx="3">
                  <c:v>2027</c:v>
                </c:pt>
                <c:pt idx="4">
                  <c:v>2028</c:v>
                </c:pt>
                <c:pt idx="5">
                  <c:v>2029</c:v>
                </c:pt>
              </c:numCache>
            </c:numRef>
          </c:cat>
          <c:val>
            <c:numRef>
              <c:f>Forecast!$H$41:$M$41</c:f>
              <c:numCache>
                <c:formatCode>#,##0;[Red]\(#,##0\)</c:formatCode>
                <c:ptCount val="6"/>
                <c:pt idx="0">
                  <c:v>4158622.4807465617</c:v>
                </c:pt>
                <c:pt idx="1">
                  <c:v>4584280.3770898338</c:v>
                </c:pt>
                <c:pt idx="2">
                  <c:v>4991300.6841464303</c:v>
                </c:pt>
                <c:pt idx="3">
                  <c:v>5431645.2426674655</c:v>
                </c:pt>
                <c:pt idx="4">
                  <c:v>5908042.4318429083</c:v>
                </c:pt>
                <c:pt idx="5">
                  <c:v>6423444.0133147491</c:v>
                </c:pt>
              </c:numCache>
            </c:numRef>
          </c:val>
          <c:extLst>
            <c:ext xmlns:c16="http://schemas.microsoft.com/office/drawing/2014/chart" uri="{C3380CC4-5D6E-409C-BE32-E72D297353CC}">
              <c16:uniqueId val="{00000001-1B58-AF47-B867-041E7193C5CE}"/>
            </c:ext>
          </c:extLst>
        </c:ser>
        <c:dLbls>
          <c:showLegendKey val="0"/>
          <c:showVal val="0"/>
          <c:showCatName val="0"/>
          <c:showSerName val="0"/>
          <c:showPercent val="0"/>
          <c:showBubbleSize val="0"/>
        </c:dLbls>
        <c:gapWidth val="100"/>
        <c:overlap val="-24"/>
        <c:axId val="1097930319"/>
        <c:axId val="1098362031"/>
      </c:barChart>
      <c:catAx>
        <c:axId val="1097930319"/>
        <c:scaling>
          <c:orientation val="minMax"/>
        </c:scaling>
        <c:delete val="0"/>
        <c:axPos val="b"/>
        <c:numFmt formatCode="0000"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98362031"/>
        <c:crosses val="autoZero"/>
        <c:auto val="1"/>
        <c:lblAlgn val="ctr"/>
        <c:lblOffset val="100"/>
        <c:noMultiLvlLbl val="0"/>
      </c:catAx>
      <c:valAx>
        <c:axId val="1098362031"/>
        <c:scaling>
          <c:orientation val="minMax"/>
        </c:scaling>
        <c:delete val="0"/>
        <c:axPos val="l"/>
        <c:majorGridlines>
          <c:spPr>
            <a:ln w="9525" cap="flat" cmpd="sng" algn="ctr">
              <a:solidFill>
                <a:schemeClr val="lt1">
                  <a:lumMod val="95000"/>
                  <a:alpha val="10000"/>
                </a:schemeClr>
              </a:solidFill>
              <a:round/>
            </a:ln>
            <a:effectLst/>
          </c:spPr>
        </c:majorGridlines>
        <c:numFmt formatCode="#,##0;[Red]\(#,##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9793031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ROIC</a:t>
            </a:r>
            <a:r>
              <a:rPr lang="en-US" baseline="0"/>
              <a:t> vs Tax Neutral</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lineChart>
        <c:grouping val="standard"/>
        <c:varyColors val="0"/>
        <c:ser>
          <c:idx val="0"/>
          <c:order val="0"/>
          <c:spPr>
            <a:ln w="34925" cap="rnd">
              <a:solidFill>
                <a:schemeClr val="accent1"/>
              </a:solidFill>
              <a:round/>
            </a:ln>
            <a:effectLst>
              <a:outerShdw blurRad="57150" dist="19050" dir="5400000" algn="ctr" rotWithShape="0">
                <a:srgbClr val="000000">
                  <a:alpha val="63000"/>
                </a:srgbClr>
              </a:outerShdw>
            </a:effectLst>
          </c:spPr>
          <c:marker>
            <c:symbol val="none"/>
          </c:marker>
          <c:cat>
            <c:numRef>
              <c:f>ROIC!$F$2:$L$2</c:f>
              <c:numCache>
                <c:formatCode>0000</c:formatCode>
                <c:ptCount val="7"/>
                <c:pt idx="0">
                  <c:v>2023</c:v>
                </c:pt>
                <c:pt idx="1">
                  <c:v>2024</c:v>
                </c:pt>
                <c:pt idx="2">
                  <c:v>2025</c:v>
                </c:pt>
                <c:pt idx="3">
                  <c:v>2026</c:v>
                </c:pt>
                <c:pt idx="4">
                  <c:v>2027</c:v>
                </c:pt>
                <c:pt idx="5">
                  <c:v>2028</c:v>
                </c:pt>
                <c:pt idx="6">
                  <c:v>2029</c:v>
                </c:pt>
              </c:numCache>
            </c:numRef>
          </c:cat>
          <c:val>
            <c:numRef>
              <c:f>ROIC!$F$92:$L$92</c:f>
              <c:numCache>
                <c:formatCode>0.0%</c:formatCode>
                <c:ptCount val="7"/>
                <c:pt idx="0">
                  <c:v>0.18578552017423694</c:v>
                </c:pt>
                <c:pt idx="1">
                  <c:v>0.21828372118071737</c:v>
                </c:pt>
                <c:pt idx="2">
                  <c:v>0.22921379907682896</c:v>
                </c:pt>
                <c:pt idx="3">
                  <c:v>0.24068987967186847</c:v>
                </c:pt>
                <c:pt idx="4">
                  <c:v>0.26991390106805219</c:v>
                </c:pt>
                <c:pt idx="5">
                  <c:v>0.26996235840232369</c:v>
                </c:pt>
                <c:pt idx="6">
                  <c:v>0.27369871103020976</c:v>
                </c:pt>
              </c:numCache>
            </c:numRef>
          </c:val>
          <c:smooth val="0"/>
          <c:extLst>
            <c:ext xmlns:c16="http://schemas.microsoft.com/office/drawing/2014/chart" uri="{C3380CC4-5D6E-409C-BE32-E72D297353CC}">
              <c16:uniqueId val="{00000000-4B90-C945-8474-5CE4261A1FB9}"/>
            </c:ext>
          </c:extLst>
        </c:ser>
        <c:ser>
          <c:idx val="1"/>
          <c:order val="1"/>
          <c:spPr>
            <a:ln w="34925" cap="rnd">
              <a:solidFill>
                <a:schemeClr val="accent2"/>
              </a:solidFill>
              <a:round/>
            </a:ln>
            <a:effectLst>
              <a:outerShdw blurRad="57150" dist="19050" dir="5400000" algn="ctr" rotWithShape="0">
                <a:srgbClr val="000000">
                  <a:alpha val="63000"/>
                </a:srgbClr>
              </a:outerShdw>
            </a:effectLst>
          </c:spPr>
          <c:marker>
            <c:symbol val="none"/>
          </c:marker>
          <c:cat>
            <c:numRef>
              <c:f>ROIC!$F$2:$L$2</c:f>
              <c:numCache>
                <c:formatCode>0000</c:formatCode>
                <c:ptCount val="7"/>
                <c:pt idx="0">
                  <c:v>2023</c:v>
                </c:pt>
                <c:pt idx="1">
                  <c:v>2024</c:v>
                </c:pt>
                <c:pt idx="2">
                  <c:v>2025</c:v>
                </c:pt>
                <c:pt idx="3">
                  <c:v>2026</c:v>
                </c:pt>
                <c:pt idx="4">
                  <c:v>2027</c:v>
                </c:pt>
                <c:pt idx="5">
                  <c:v>2028</c:v>
                </c:pt>
                <c:pt idx="6">
                  <c:v>2029</c:v>
                </c:pt>
              </c:numCache>
            </c:numRef>
          </c:cat>
          <c:val>
            <c:numRef>
              <c:f>ROIC!$F$93:$L$93</c:f>
              <c:numCache>
                <c:formatCode>0%</c:formatCode>
                <c:ptCount val="7"/>
                <c:pt idx="0">
                  <c:v>0.22101538163801074</c:v>
                </c:pt>
                <c:pt idx="1">
                  <c:v>0.21828372118071737</c:v>
                </c:pt>
                <c:pt idx="2">
                  <c:v>0.22921379907682896</c:v>
                </c:pt>
                <c:pt idx="3">
                  <c:v>0.24068987967186847</c:v>
                </c:pt>
                <c:pt idx="4">
                  <c:v>0.26991390106805219</c:v>
                </c:pt>
                <c:pt idx="5">
                  <c:v>0.26996235840232369</c:v>
                </c:pt>
                <c:pt idx="6">
                  <c:v>0.27369871103020976</c:v>
                </c:pt>
              </c:numCache>
            </c:numRef>
          </c:val>
          <c:smooth val="0"/>
          <c:extLst>
            <c:ext xmlns:c16="http://schemas.microsoft.com/office/drawing/2014/chart" uri="{C3380CC4-5D6E-409C-BE32-E72D297353CC}">
              <c16:uniqueId val="{00000001-4B90-C945-8474-5CE4261A1FB9}"/>
            </c:ext>
          </c:extLst>
        </c:ser>
        <c:dLbls>
          <c:showLegendKey val="0"/>
          <c:showVal val="0"/>
          <c:showCatName val="0"/>
          <c:showSerName val="0"/>
          <c:showPercent val="0"/>
          <c:showBubbleSize val="0"/>
        </c:dLbls>
        <c:smooth val="0"/>
        <c:axId val="106820063"/>
        <c:axId val="106795375"/>
      </c:lineChart>
      <c:catAx>
        <c:axId val="106820063"/>
        <c:scaling>
          <c:orientation val="minMax"/>
        </c:scaling>
        <c:delete val="0"/>
        <c:axPos val="b"/>
        <c:numFmt formatCode="0000"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6795375"/>
        <c:crosses val="autoZero"/>
        <c:auto val="1"/>
        <c:lblAlgn val="ctr"/>
        <c:lblOffset val="100"/>
        <c:noMultiLvlLbl val="0"/>
      </c:catAx>
      <c:valAx>
        <c:axId val="106795375"/>
        <c:scaling>
          <c:orientation val="minMax"/>
        </c:scaling>
        <c:delete val="0"/>
        <c:axPos val="l"/>
        <c:majorGridlines>
          <c:spPr>
            <a:ln w="9525" cap="flat" cmpd="sng" algn="ctr">
              <a:solidFill>
                <a:schemeClr val="lt1">
                  <a:lumMod val="95000"/>
                  <a:alpha val="10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682006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ROIC vs Goodwill</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lineChart>
        <c:grouping val="standard"/>
        <c:varyColors val="0"/>
        <c:ser>
          <c:idx val="0"/>
          <c:order val="0"/>
          <c:tx>
            <c:v>Including</c:v>
          </c:tx>
          <c:spPr>
            <a:ln w="34925" cap="rnd">
              <a:solidFill>
                <a:schemeClr val="accent1"/>
              </a:solidFill>
              <a:round/>
            </a:ln>
            <a:effectLst>
              <a:outerShdw blurRad="57150" dist="19050" dir="5400000" algn="ctr" rotWithShape="0">
                <a:srgbClr val="000000">
                  <a:alpha val="63000"/>
                </a:srgbClr>
              </a:outerShdw>
            </a:effectLst>
          </c:spPr>
          <c:marker>
            <c:symbol val="none"/>
          </c:marker>
          <c:cat>
            <c:numRef>
              <c:f>ROIC!$F$2:$L$2</c:f>
              <c:numCache>
                <c:formatCode>0000</c:formatCode>
                <c:ptCount val="7"/>
                <c:pt idx="0">
                  <c:v>2023</c:v>
                </c:pt>
                <c:pt idx="1">
                  <c:v>2024</c:v>
                </c:pt>
                <c:pt idx="2">
                  <c:v>2025</c:v>
                </c:pt>
                <c:pt idx="3">
                  <c:v>2026</c:v>
                </c:pt>
                <c:pt idx="4">
                  <c:v>2027</c:v>
                </c:pt>
                <c:pt idx="5">
                  <c:v>2028</c:v>
                </c:pt>
                <c:pt idx="6">
                  <c:v>2029</c:v>
                </c:pt>
              </c:numCache>
            </c:numRef>
          </c:cat>
          <c:val>
            <c:numRef>
              <c:f>ROIC!$F$94:$L$94</c:f>
              <c:numCache>
                <c:formatCode>0%</c:formatCode>
                <c:ptCount val="7"/>
                <c:pt idx="0">
                  <c:v>0.12806513608260997</c:v>
                </c:pt>
                <c:pt idx="1">
                  <c:v>0.15016964861565393</c:v>
                </c:pt>
                <c:pt idx="2">
                  <c:v>0.15940746567094702</c:v>
                </c:pt>
                <c:pt idx="3">
                  <c:v>0.1690660181964731</c:v>
                </c:pt>
                <c:pt idx="4">
                  <c:v>0.19265511287436077</c:v>
                </c:pt>
                <c:pt idx="5">
                  <c:v>0.19593169768999183</c:v>
                </c:pt>
                <c:pt idx="6">
                  <c:v>0.20141997824714097</c:v>
                </c:pt>
              </c:numCache>
            </c:numRef>
          </c:val>
          <c:smooth val="0"/>
          <c:extLst>
            <c:ext xmlns:c16="http://schemas.microsoft.com/office/drawing/2014/chart" uri="{C3380CC4-5D6E-409C-BE32-E72D297353CC}">
              <c16:uniqueId val="{00000000-6857-C442-9E89-AC345F9BBB59}"/>
            </c:ext>
          </c:extLst>
        </c:ser>
        <c:ser>
          <c:idx val="1"/>
          <c:order val="1"/>
          <c:tx>
            <c:v>Excluding</c:v>
          </c:tx>
          <c:spPr>
            <a:ln w="34925" cap="rnd">
              <a:solidFill>
                <a:schemeClr val="accent2"/>
              </a:solidFill>
              <a:round/>
            </a:ln>
            <a:effectLst>
              <a:outerShdw blurRad="57150" dist="19050" dir="5400000" algn="ctr" rotWithShape="0">
                <a:srgbClr val="000000">
                  <a:alpha val="63000"/>
                </a:srgbClr>
              </a:outerShdw>
            </a:effectLst>
          </c:spPr>
          <c:marker>
            <c:symbol val="none"/>
          </c:marker>
          <c:cat>
            <c:numRef>
              <c:f>ROIC!$F$2:$L$2</c:f>
              <c:numCache>
                <c:formatCode>0000</c:formatCode>
                <c:ptCount val="7"/>
                <c:pt idx="0">
                  <c:v>2023</c:v>
                </c:pt>
                <c:pt idx="1">
                  <c:v>2024</c:v>
                </c:pt>
                <c:pt idx="2">
                  <c:v>2025</c:v>
                </c:pt>
                <c:pt idx="3">
                  <c:v>2026</c:v>
                </c:pt>
                <c:pt idx="4">
                  <c:v>2027</c:v>
                </c:pt>
                <c:pt idx="5">
                  <c:v>2028</c:v>
                </c:pt>
                <c:pt idx="6">
                  <c:v>2029</c:v>
                </c:pt>
              </c:numCache>
            </c:numRef>
          </c:cat>
          <c:val>
            <c:numRef>
              <c:f>ROIC!$F$95:$L$95</c:f>
              <c:numCache>
                <c:formatCode>0%</c:formatCode>
                <c:ptCount val="7"/>
                <c:pt idx="0">
                  <c:v>0.33822918199131524</c:v>
                </c:pt>
                <c:pt idx="1">
                  <c:v>0.3994803435176153</c:v>
                </c:pt>
                <c:pt idx="2">
                  <c:v>0.40778938707555884</c:v>
                </c:pt>
                <c:pt idx="3">
                  <c:v>0.41760651596403808</c:v>
                </c:pt>
                <c:pt idx="4">
                  <c:v>0.45062347713865697</c:v>
                </c:pt>
                <c:pt idx="5">
                  <c:v>0.43391085511319216</c:v>
                </c:pt>
                <c:pt idx="6">
                  <c:v>0.42688444132523407</c:v>
                </c:pt>
              </c:numCache>
            </c:numRef>
          </c:val>
          <c:smooth val="0"/>
          <c:extLst>
            <c:ext xmlns:c16="http://schemas.microsoft.com/office/drawing/2014/chart" uri="{C3380CC4-5D6E-409C-BE32-E72D297353CC}">
              <c16:uniqueId val="{00000001-6857-C442-9E89-AC345F9BBB59}"/>
            </c:ext>
          </c:extLst>
        </c:ser>
        <c:dLbls>
          <c:showLegendKey val="0"/>
          <c:showVal val="0"/>
          <c:showCatName val="0"/>
          <c:showSerName val="0"/>
          <c:showPercent val="0"/>
          <c:showBubbleSize val="0"/>
        </c:dLbls>
        <c:smooth val="0"/>
        <c:axId val="374928751"/>
        <c:axId val="200177983"/>
      </c:lineChart>
      <c:catAx>
        <c:axId val="374928751"/>
        <c:scaling>
          <c:orientation val="minMax"/>
        </c:scaling>
        <c:delete val="0"/>
        <c:axPos val="b"/>
        <c:numFmt formatCode="0000"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0177983"/>
        <c:crosses val="autoZero"/>
        <c:auto val="1"/>
        <c:lblAlgn val="ctr"/>
        <c:lblOffset val="100"/>
        <c:noMultiLvlLbl val="0"/>
      </c:catAx>
      <c:valAx>
        <c:axId val="200177983"/>
        <c:scaling>
          <c:orientation val="minMax"/>
        </c:scaling>
        <c:delete val="0"/>
        <c:axPos val="l"/>
        <c:majorGridlines>
          <c:spPr>
            <a:ln w="9525" cap="flat" cmpd="sng" algn="ctr">
              <a:solidFill>
                <a:schemeClr val="lt1">
                  <a:lumMod val="95000"/>
                  <a:alpha val="1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74928751"/>
        <c:crosses val="autoZero"/>
        <c:crossBetween val="between"/>
      </c:valAx>
      <c:spPr>
        <a:noFill/>
        <a:ln>
          <a:noFill/>
        </a:ln>
        <a:effectLst/>
      </c:spPr>
    </c:plotArea>
    <c:legend>
      <c:legendPos val="b"/>
      <c:layout>
        <c:manualLayout>
          <c:xMode val="edge"/>
          <c:yMode val="edge"/>
          <c:x val="0.28478146217030903"/>
          <c:y val="0.9086315462317418"/>
          <c:w val="0.42043691660423882"/>
          <c:h val="6.7397965780083668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RONIC vs ROIC</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areaChart>
        <c:grouping val="stacked"/>
        <c:varyColors val="0"/>
        <c:ser>
          <c:idx val="0"/>
          <c:order val="0"/>
          <c:tx>
            <c:v>RONIC</c:v>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cat>
            <c:numRef>
              <c:f>ROIC!$F$2:$L$2</c:f>
              <c:numCache>
                <c:formatCode>0000</c:formatCode>
                <c:ptCount val="7"/>
                <c:pt idx="0">
                  <c:v>2023</c:v>
                </c:pt>
                <c:pt idx="1">
                  <c:v>2024</c:v>
                </c:pt>
                <c:pt idx="2">
                  <c:v>2025</c:v>
                </c:pt>
                <c:pt idx="3">
                  <c:v>2026</c:v>
                </c:pt>
                <c:pt idx="4">
                  <c:v>2027</c:v>
                </c:pt>
                <c:pt idx="5">
                  <c:v>2028</c:v>
                </c:pt>
                <c:pt idx="6">
                  <c:v>2029</c:v>
                </c:pt>
              </c:numCache>
            </c:numRef>
          </c:cat>
          <c:val>
            <c:numRef>
              <c:f>ROIC!$F$95:$L$95</c:f>
              <c:numCache>
                <c:formatCode>0%</c:formatCode>
                <c:ptCount val="7"/>
                <c:pt idx="0">
                  <c:v>0.33822918199131524</c:v>
                </c:pt>
                <c:pt idx="1">
                  <c:v>0.3994803435176153</c:v>
                </c:pt>
                <c:pt idx="2">
                  <c:v>0.40778938707555884</c:v>
                </c:pt>
                <c:pt idx="3">
                  <c:v>0.41760651596403808</c:v>
                </c:pt>
                <c:pt idx="4">
                  <c:v>0.45062347713865697</c:v>
                </c:pt>
                <c:pt idx="5">
                  <c:v>0.43391085511319216</c:v>
                </c:pt>
                <c:pt idx="6">
                  <c:v>0.42688444132523407</c:v>
                </c:pt>
              </c:numCache>
            </c:numRef>
          </c:val>
          <c:extLst>
            <c:ext xmlns:c16="http://schemas.microsoft.com/office/drawing/2014/chart" uri="{C3380CC4-5D6E-409C-BE32-E72D297353CC}">
              <c16:uniqueId val="{00000000-81D1-3849-B655-9541B7E3AF04}"/>
            </c:ext>
          </c:extLst>
        </c:ser>
        <c:dLbls>
          <c:showLegendKey val="0"/>
          <c:showVal val="0"/>
          <c:showCatName val="0"/>
          <c:showSerName val="0"/>
          <c:showPercent val="0"/>
          <c:showBubbleSize val="0"/>
        </c:dLbls>
        <c:axId val="134204463"/>
        <c:axId val="28643103"/>
      </c:areaChart>
      <c:barChart>
        <c:barDir val="col"/>
        <c:grouping val="clustered"/>
        <c:varyColors val="0"/>
        <c:ser>
          <c:idx val="1"/>
          <c:order val="1"/>
          <c:tx>
            <c:v>ROIC</c:v>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ROIC!$F$96:$L$96</c:f>
              <c:numCache>
                <c:formatCode>0%</c:formatCode>
                <c:ptCount val="7"/>
                <c:pt idx="0">
                  <c:v>0.40188002820746554</c:v>
                </c:pt>
                <c:pt idx="1">
                  <c:v>0.85265430277892662</c:v>
                </c:pt>
                <c:pt idx="2">
                  <c:v>0.52190817441557014</c:v>
                </c:pt>
                <c:pt idx="3">
                  <c:v>0.61264982961293823</c:v>
                </c:pt>
                <c:pt idx="4">
                  <c:v>0.54253591909046783</c:v>
                </c:pt>
                <c:pt idx="5">
                  <c:v>0.36761322734813079</c:v>
                </c:pt>
                <c:pt idx="6">
                  <c:v>0.28790685431243956</c:v>
                </c:pt>
              </c:numCache>
            </c:numRef>
          </c:val>
          <c:extLst>
            <c:ext xmlns:c16="http://schemas.microsoft.com/office/drawing/2014/chart" uri="{C3380CC4-5D6E-409C-BE32-E72D297353CC}">
              <c16:uniqueId val="{00000001-81D1-3849-B655-9541B7E3AF04}"/>
            </c:ext>
          </c:extLst>
        </c:ser>
        <c:dLbls>
          <c:showLegendKey val="0"/>
          <c:showVal val="0"/>
          <c:showCatName val="0"/>
          <c:showSerName val="0"/>
          <c:showPercent val="0"/>
          <c:showBubbleSize val="0"/>
        </c:dLbls>
        <c:gapWidth val="150"/>
        <c:axId val="134204463"/>
        <c:axId val="28643103"/>
      </c:barChart>
      <c:catAx>
        <c:axId val="134204463"/>
        <c:scaling>
          <c:orientation val="minMax"/>
        </c:scaling>
        <c:delete val="0"/>
        <c:axPos val="b"/>
        <c:numFmt formatCode="0000"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8643103"/>
        <c:crosses val="autoZero"/>
        <c:auto val="1"/>
        <c:lblAlgn val="ctr"/>
        <c:lblOffset val="100"/>
        <c:noMultiLvlLbl val="0"/>
      </c:catAx>
      <c:valAx>
        <c:axId val="28643103"/>
        <c:scaling>
          <c:orientation val="minMax"/>
        </c:scaling>
        <c:delete val="0"/>
        <c:axPos val="l"/>
        <c:majorGridlines>
          <c:spPr>
            <a:ln w="9525" cap="flat" cmpd="sng" algn="ctr">
              <a:solidFill>
                <a:schemeClr val="lt1">
                  <a:lumMod val="95000"/>
                  <a:alpha val="1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420446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Free Cash Flows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v>EBI</c:v>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numRef>
              <c:f>'Fair Value Estimate'!$H$2:$M$2</c:f>
              <c:numCache>
                <c:formatCode>General</c:formatCode>
                <c:ptCount val="6"/>
                <c:pt idx="0">
                  <c:v>2024</c:v>
                </c:pt>
                <c:pt idx="1">
                  <c:v>2025</c:v>
                </c:pt>
                <c:pt idx="2">
                  <c:v>2026</c:v>
                </c:pt>
                <c:pt idx="3">
                  <c:v>2027</c:v>
                </c:pt>
                <c:pt idx="4">
                  <c:v>2028</c:v>
                </c:pt>
                <c:pt idx="5">
                  <c:v>2029</c:v>
                </c:pt>
              </c:numCache>
            </c:numRef>
          </c:cat>
          <c:val>
            <c:numRef>
              <c:f>'Fair Value Estimate'!$H$35:$M$35</c:f>
              <c:numCache>
                <c:formatCode>#,##0_);[Red]\(#,##0\)</c:formatCode>
                <c:ptCount val="6"/>
                <c:pt idx="0">
                  <c:v>5365358.59238258</c:v>
                </c:pt>
                <c:pt idx="1">
                  <c:v>5769119.2911484037</c:v>
                </c:pt>
                <c:pt idx="2">
                  <c:v>6189411.0915320581</c:v>
                </c:pt>
                <c:pt idx="3">
                  <c:v>6626061.1819900004</c:v>
                </c:pt>
                <c:pt idx="4">
                  <c:v>7122128.2233092654</c:v>
                </c:pt>
                <c:pt idx="5">
                  <c:v>7699921.300099575</c:v>
                </c:pt>
              </c:numCache>
            </c:numRef>
          </c:val>
          <c:extLst>
            <c:ext xmlns:c16="http://schemas.microsoft.com/office/drawing/2014/chart" uri="{C3380CC4-5D6E-409C-BE32-E72D297353CC}">
              <c16:uniqueId val="{00000000-A320-6B44-B5C1-1F55DA71FCEB}"/>
            </c:ext>
          </c:extLst>
        </c:ser>
        <c:ser>
          <c:idx val="1"/>
          <c:order val="1"/>
          <c:tx>
            <c:v>NNI</c:v>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numRef>
              <c:f>'Fair Value Estimate'!$H$2:$M$2</c:f>
              <c:numCache>
                <c:formatCode>General</c:formatCode>
                <c:ptCount val="6"/>
                <c:pt idx="0">
                  <c:v>2024</c:v>
                </c:pt>
                <c:pt idx="1">
                  <c:v>2025</c:v>
                </c:pt>
                <c:pt idx="2">
                  <c:v>2026</c:v>
                </c:pt>
                <c:pt idx="3">
                  <c:v>2027</c:v>
                </c:pt>
                <c:pt idx="4">
                  <c:v>2028</c:v>
                </c:pt>
                <c:pt idx="5">
                  <c:v>2029</c:v>
                </c:pt>
              </c:numCache>
            </c:numRef>
          </c:cat>
          <c:val>
            <c:numRef>
              <c:f>'Fair Value Estimate'!$H$44:$M$44</c:f>
              <c:numCache>
                <c:formatCode>#,##0_);[Red]\(#,##0\)</c:formatCode>
                <c:ptCount val="6"/>
                <c:pt idx="0">
                  <c:v>-249742.50591680291</c:v>
                </c:pt>
                <c:pt idx="1">
                  <c:v>-295818.02840443584</c:v>
                </c:pt>
                <c:pt idx="2">
                  <c:v>-78402.692054329673</c:v>
                </c:pt>
                <c:pt idx="3">
                  <c:v>-457007.34509647894</c:v>
                </c:pt>
                <c:pt idx="4">
                  <c:v>429838.36317829462</c:v>
                </c:pt>
                <c:pt idx="5">
                  <c:v>-171312.05451013637</c:v>
                </c:pt>
              </c:numCache>
            </c:numRef>
          </c:val>
          <c:extLst>
            <c:ext xmlns:c16="http://schemas.microsoft.com/office/drawing/2014/chart" uri="{C3380CC4-5D6E-409C-BE32-E72D297353CC}">
              <c16:uniqueId val="{00000001-A320-6B44-B5C1-1F55DA71FCEB}"/>
            </c:ext>
          </c:extLst>
        </c:ser>
        <c:ser>
          <c:idx val="2"/>
          <c:order val="2"/>
          <c:tx>
            <c:v>FCFF</c:v>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numRef>
              <c:f>'Fair Value Estimate'!$H$2:$M$2</c:f>
              <c:numCache>
                <c:formatCode>General</c:formatCode>
                <c:ptCount val="6"/>
                <c:pt idx="0">
                  <c:v>2024</c:v>
                </c:pt>
                <c:pt idx="1">
                  <c:v>2025</c:v>
                </c:pt>
                <c:pt idx="2">
                  <c:v>2026</c:v>
                </c:pt>
                <c:pt idx="3">
                  <c:v>2027</c:v>
                </c:pt>
                <c:pt idx="4">
                  <c:v>2028</c:v>
                </c:pt>
                <c:pt idx="5">
                  <c:v>2029</c:v>
                </c:pt>
              </c:numCache>
            </c:numRef>
          </c:cat>
          <c:val>
            <c:numRef>
              <c:f>'Fair Value Estimate'!$H$54:$M$54</c:f>
              <c:numCache>
                <c:formatCode>_(* #,##0_);_(* \(#,##0\);_(* "-"??_);_(@_)</c:formatCode>
                <c:ptCount val="6"/>
                <c:pt idx="0">
                  <c:v>5115616.0864657769</c:v>
                </c:pt>
                <c:pt idx="1">
                  <c:v>5473301.2627439676</c:v>
                </c:pt>
                <c:pt idx="2">
                  <c:v>6111008.3994777286</c:v>
                </c:pt>
                <c:pt idx="3">
                  <c:v>6169053.8368935212</c:v>
                </c:pt>
                <c:pt idx="4">
                  <c:v>7551966.5864875596</c:v>
                </c:pt>
                <c:pt idx="5">
                  <c:v>7528609.2455894388</c:v>
                </c:pt>
              </c:numCache>
            </c:numRef>
          </c:val>
          <c:extLst>
            <c:ext xmlns:c16="http://schemas.microsoft.com/office/drawing/2014/chart" uri="{C3380CC4-5D6E-409C-BE32-E72D297353CC}">
              <c16:uniqueId val="{00000002-A320-6B44-B5C1-1F55DA71FCEB}"/>
            </c:ext>
          </c:extLst>
        </c:ser>
        <c:dLbls>
          <c:showLegendKey val="0"/>
          <c:showVal val="0"/>
          <c:showCatName val="0"/>
          <c:showSerName val="0"/>
          <c:showPercent val="0"/>
          <c:showBubbleSize val="0"/>
        </c:dLbls>
        <c:gapWidth val="100"/>
        <c:overlap val="-24"/>
        <c:axId val="171656304"/>
        <c:axId val="171710000"/>
      </c:barChart>
      <c:catAx>
        <c:axId val="17165630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1710000"/>
        <c:crosses val="autoZero"/>
        <c:auto val="1"/>
        <c:lblAlgn val="ctr"/>
        <c:lblOffset val="100"/>
        <c:noMultiLvlLbl val="0"/>
      </c:catAx>
      <c:valAx>
        <c:axId val="171710000"/>
        <c:scaling>
          <c:orientation val="minMax"/>
        </c:scaling>
        <c:delete val="0"/>
        <c:axPos val="l"/>
        <c:majorGridlines>
          <c:spPr>
            <a:ln w="9525" cap="flat" cmpd="sng" algn="ctr">
              <a:solidFill>
                <a:schemeClr val="lt1">
                  <a:lumMod val="95000"/>
                  <a:alpha val="10000"/>
                </a:schemeClr>
              </a:solidFill>
              <a:round/>
            </a:ln>
            <a:effectLst/>
          </c:spPr>
        </c:majorGridlines>
        <c:numFmt formatCode="#,##0_);[Red]\(#,##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1656304"/>
        <c:crossesAt val="1"/>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Adjusted</a:t>
            </a:r>
            <a:r>
              <a:rPr lang="en-US" baseline="0"/>
              <a:t> Returns on Capital</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lineChart>
        <c:grouping val="standard"/>
        <c:varyColors val="0"/>
        <c:ser>
          <c:idx val="0"/>
          <c:order val="0"/>
          <c:tx>
            <c:v>Invested Capital</c:v>
          </c:tx>
          <c:spPr>
            <a:ln w="34925" cap="rnd">
              <a:solidFill>
                <a:schemeClr val="accent1"/>
              </a:solidFill>
              <a:round/>
            </a:ln>
            <a:effectLst>
              <a:outerShdw blurRad="57150" dist="19050" dir="5400000" algn="ctr" rotWithShape="0">
                <a:srgbClr val="000000">
                  <a:alpha val="63000"/>
                </a:srgbClr>
              </a:outerShdw>
            </a:effectLst>
          </c:spPr>
          <c:marker>
            <c:symbol val="none"/>
          </c:marker>
          <c:cat>
            <c:numRef>
              <c:f>'Fair Value Estimate'!$H$2:$M$2</c:f>
              <c:numCache>
                <c:formatCode>General</c:formatCode>
                <c:ptCount val="6"/>
                <c:pt idx="0">
                  <c:v>2024</c:v>
                </c:pt>
                <c:pt idx="1">
                  <c:v>2025</c:v>
                </c:pt>
                <c:pt idx="2">
                  <c:v>2026</c:v>
                </c:pt>
                <c:pt idx="3">
                  <c:v>2027</c:v>
                </c:pt>
                <c:pt idx="4">
                  <c:v>2028</c:v>
                </c:pt>
                <c:pt idx="5">
                  <c:v>2029</c:v>
                </c:pt>
              </c:numCache>
            </c:numRef>
          </c:cat>
          <c:val>
            <c:numRef>
              <c:f>'Fair Value Estimate'!$H$51:$M$51</c:f>
              <c:numCache>
                <c:formatCode>0%</c:formatCode>
                <c:ptCount val="6"/>
                <c:pt idx="0">
                  <c:v>0.21828372118071737</c:v>
                </c:pt>
                <c:pt idx="1">
                  <c:v>0.22921379907682896</c:v>
                </c:pt>
                <c:pt idx="2">
                  <c:v>0.24068987967186847</c:v>
                </c:pt>
                <c:pt idx="3">
                  <c:v>0.26991390106805219</c:v>
                </c:pt>
                <c:pt idx="4">
                  <c:v>0.26996235840232369</c:v>
                </c:pt>
                <c:pt idx="5">
                  <c:v>0.27369871103020976</c:v>
                </c:pt>
              </c:numCache>
            </c:numRef>
          </c:val>
          <c:smooth val="0"/>
          <c:extLst>
            <c:ext xmlns:c16="http://schemas.microsoft.com/office/drawing/2014/chart" uri="{C3380CC4-5D6E-409C-BE32-E72D297353CC}">
              <c16:uniqueId val="{00000000-164C-F049-B4F4-7F4EBF6F51A3}"/>
            </c:ext>
          </c:extLst>
        </c:ser>
        <c:ser>
          <c:idx val="1"/>
          <c:order val="1"/>
          <c:tx>
            <c:v>New Invested</c:v>
          </c:tx>
          <c:spPr>
            <a:ln w="34925" cap="rnd">
              <a:solidFill>
                <a:schemeClr val="accent2"/>
              </a:solidFill>
              <a:round/>
            </a:ln>
            <a:effectLst>
              <a:outerShdw blurRad="57150" dist="19050" dir="5400000" algn="ctr" rotWithShape="0">
                <a:srgbClr val="000000">
                  <a:alpha val="63000"/>
                </a:srgbClr>
              </a:outerShdw>
            </a:effectLst>
          </c:spPr>
          <c:marker>
            <c:symbol val="none"/>
          </c:marker>
          <c:cat>
            <c:numRef>
              <c:f>'Fair Value Estimate'!$H$2:$M$2</c:f>
              <c:numCache>
                <c:formatCode>General</c:formatCode>
                <c:ptCount val="6"/>
                <c:pt idx="0">
                  <c:v>2024</c:v>
                </c:pt>
                <c:pt idx="1">
                  <c:v>2025</c:v>
                </c:pt>
                <c:pt idx="2">
                  <c:v>2026</c:v>
                </c:pt>
                <c:pt idx="3">
                  <c:v>2027</c:v>
                </c:pt>
                <c:pt idx="4">
                  <c:v>2028</c:v>
                </c:pt>
                <c:pt idx="5">
                  <c:v>2029</c:v>
                </c:pt>
              </c:numCache>
            </c:numRef>
          </c:cat>
          <c:val>
            <c:numRef>
              <c:f>'Fair Value Estimate'!$H$52:$M$52</c:f>
              <c:numCache>
                <c:formatCode>0%</c:formatCode>
                <c:ptCount val="6"/>
                <c:pt idx="0">
                  <c:v>0.85265430277892662</c:v>
                </c:pt>
                <c:pt idx="1">
                  <c:v>0.52190817441557014</c:v>
                </c:pt>
                <c:pt idx="2">
                  <c:v>0.61264982961293823</c:v>
                </c:pt>
                <c:pt idx="3">
                  <c:v>0.54253591909046783</c:v>
                </c:pt>
                <c:pt idx="4">
                  <c:v>0.36761322734813079</c:v>
                </c:pt>
                <c:pt idx="5">
                  <c:v>0.28790685431243956</c:v>
                </c:pt>
              </c:numCache>
            </c:numRef>
          </c:val>
          <c:smooth val="0"/>
          <c:extLst>
            <c:ext xmlns:c16="http://schemas.microsoft.com/office/drawing/2014/chart" uri="{C3380CC4-5D6E-409C-BE32-E72D297353CC}">
              <c16:uniqueId val="{00000001-164C-F049-B4F4-7F4EBF6F51A3}"/>
            </c:ext>
          </c:extLst>
        </c:ser>
        <c:dLbls>
          <c:showLegendKey val="0"/>
          <c:showVal val="0"/>
          <c:showCatName val="0"/>
          <c:showSerName val="0"/>
          <c:showPercent val="0"/>
          <c:showBubbleSize val="0"/>
        </c:dLbls>
        <c:smooth val="0"/>
        <c:axId val="2022535055"/>
        <c:axId val="2021689119"/>
      </c:lineChart>
      <c:catAx>
        <c:axId val="2022535055"/>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21689119"/>
        <c:crosses val="autoZero"/>
        <c:auto val="1"/>
        <c:lblAlgn val="ctr"/>
        <c:lblOffset val="100"/>
        <c:noMultiLvlLbl val="0"/>
      </c:catAx>
      <c:valAx>
        <c:axId val="2021689119"/>
        <c:scaling>
          <c:orientation val="minMax"/>
        </c:scaling>
        <c:delete val="0"/>
        <c:axPos val="l"/>
        <c:majorGridlines>
          <c:spPr>
            <a:ln w="9525" cap="flat" cmpd="sng" algn="ctr">
              <a:solidFill>
                <a:schemeClr val="lt1">
                  <a:lumMod val="95000"/>
                  <a:alpha val="1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22535055"/>
        <c:crosses val="autoZero"/>
        <c:crossBetween val="between"/>
      </c:valAx>
      <c:spPr>
        <a:noFill/>
        <a:ln>
          <a:noFill/>
        </a:ln>
        <a:effectLst/>
      </c:spPr>
    </c:plotArea>
    <c:legend>
      <c:legendPos val="b"/>
      <c:layout>
        <c:manualLayout>
          <c:xMode val="edge"/>
          <c:yMode val="edge"/>
          <c:x val="0.29205502760430802"/>
          <c:y val="0.91466329768480437"/>
          <c:w val="0.42968304823965969"/>
          <c:h val="6.2948642613703143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FCFF vs DCF</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stacked"/>
        <c:varyColors val="0"/>
        <c:ser>
          <c:idx val="0"/>
          <c:order val="0"/>
          <c:tx>
            <c:v>DCF</c:v>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numRef>
              <c:f>'Fair Value Estimate'!$H$2:$M$2</c:f>
              <c:numCache>
                <c:formatCode>General</c:formatCode>
                <c:ptCount val="6"/>
                <c:pt idx="0">
                  <c:v>2024</c:v>
                </c:pt>
                <c:pt idx="1">
                  <c:v>2025</c:v>
                </c:pt>
                <c:pt idx="2">
                  <c:v>2026</c:v>
                </c:pt>
                <c:pt idx="3">
                  <c:v>2027</c:v>
                </c:pt>
                <c:pt idx="4">
                  <c:v>2028</c:v>
                </c:pt>
                <c:pt idx="5">
                  <c:v>2029</c:v>
                </c:pt>
              </c:numCache>
            </c:numRef>
          </c:cat>
          <c:val>
            <c:numRef>
              <c:f>'Fair Value Estimate'!$H$54:$M$54</c:f>
              <c:numCache>
                <c:formatCode>_(* #,##0_);_(* \(#,##0\);_(* "-"??_);_(@_)</c:formatCode>
                <c:ptCount val="6"/>
                <c:pt idx="0">
                  <c:v>5115616.0864657769</c:v>
                </c:pt>
                <c:pt idx="1">
                  <c:v>5473301.2627439676</c:v>
                </c:pt>
                <c:pt idx="2">
                  <c:v>6111008.3994777286</c:v>
                </c:pt>
                <c:pt idx="3">
                  <c:v>6169053.8368935212</c:v>
                </c:pt>
                <c:pt idx="4">
                  <c:v>7551966.5864875596</c:v>
                </c:pt>
                <c:pt idx="5">
                  <c:v>7528609.2455894388</c:v>
                </c:pt>
              </c:numCache>
            </c:numRef>
          </c:val>
          <c:extLst>
            <c:ext xmlns:c16="http://schemas.microsoft.com/office/drawing/2014/chart" uri="{C3380CC4-5D6E-409C-BE32-E72D297353CC}">
              <c16:uniqueId val="{00000000-9389-3942-B306-17A78421260C}"/>
            </c:ext>
          </c:extLst>
        </c:ser>
        <c:ser>
          <c:idx val="1"/>
          <c:order val="1"/>
          <c:tx>
            <c:v>FCFF</c:v>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numRef>
              <c:f>'Fair Value Estimate'!$H$2:$M$2</c:f>
              <c:numCache>
                <c:formatCode>General</c:formatCode>
                <c:ptCount val="6"/>
                <c:pt idx="0">
                  <c:v>2024</c:v>
                </c:pt>
                <c:pt idx="1">
                  <c:v>2025</c:v>
                </c:pt>
                <c:pt idx="2">
                  <c:v>2026</c:v>
                </c:pt>
                <c:pt idx="3">
                  <c:v>2027</c:v>
                </c:pt>
                <c:pt idx="4">
                  <c:v>2028</c:v>
                </c:pt>
                <c:pt idx="5">
                  <c:v>2029</c:v>
                </c:pt>
              </c:numCache>
            </c:numRef>
          </c:cat>
          <c:val>
            <c:numRef>
              <c:f>'Fair Value Estimate'!$H$55:$M$55</c:f>
              <c:numCache>
                <c:formatCode>_(* #,##0_);_(* \(#,##0\);_(* "-"??_);_(@_)</c:formatCode>
                <c:ptCount val="6"/>
                <c:pt idx="0">
                  <c:v>4598254.6300118305</c:v>
                </c:pt>
                <c:pt idx="1">
                  <c:v>4422211.3838371327</c:v>
                </c:pt>
                <c:pt idx="2">
                  <c:v>4438110.3660284271</c:v>
                </c:pt>
                <c:pt idx="3">
                  <c:v>4027159.6802328476</c:v>
                </c:pt>
                <c:pt idx="4">
                  <c:v>4431343.5599319041</c:v>
                </c:pt>
                <c:pt idx="5">
                  <c:v>3970865.6311923466</c:v>
                </c:pt>
              </c:numCache>
            </c:numRef>
          </c:val>
          <c:extLst>
            <c:ext xmlns:c16="http://schemas.microsoft.com/office/drawing/2014/chart" uri="{C3380CC4-5D6E-409C-BE32-E72D297353CC}">
              <c16:uniqueId val="{00000001-9389-3942-B306-17A78421260C}"/>
            </c:ext>
          </c:extLst>
        </c:ser>
        <c:dLbls>
          <c:showLegendKey val="0"/>
          <c:showVal val="0"/>
          <c:showCatName val="0"/>
          <c:showSerName val="0"/>
          <c:showPercent val="0"/>
          <c:showBubbleSize val="0"/>
        </c:dLbls>
        <c:gapWidth val="150"/>
        <c:overlap val="100"/>
        <c:axId val="50317871"/>
        <c:axId val="50302735"/>
      </c:barChart>
      <c:catAx>
        <c:axId val="50317871"/>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0302735"/>
        <c:crosses val="autoZero"/>
        <c:auto val="1"/>
        <c:lblAlgn val="ctr"/>
        <c:lblOffset val="100"/>
        <c:noMultiLvlLbl val="0"/>
      </c:catAx>
      <c:valAx>
        <c:axId val="50302735"/>
        <c:scaling>
          <c:orientation val="minMax"/>
        </c:scaling>
        <c:delete val="0"/>
        <c:axPos val="l"/>
        <c:majorGridlines>
          <c:spPr>
            <a:ln w="9525" cap="flat" cmpd="sng" algn="ctr">
              <a:solidFill>
                <a:schemeClr val="lt1">
                  <a:lumMod val="95000"/>
                  <a:alpha val="10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031787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Price vs Investment Rate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v>Investment Rate</c:v>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numRef>
              <c:f>'Fair Value Estimate'!$H$2:$M$2</c:f>
              <c:numCache>
                <c:formatCode>General</c:formatCode>
                <c:ptCount val="6"/>
                <c:pt idx="0">
                  <c:v>2024</c:v>
                </c:pt>
                <c:pt idx="1">
                  <c:v>2025</c:v>
                </c:pt>
                <c:pt idx="2">
                  <c:v>2026</c:v>
                </c:pt>
                <c:pt idx="3">
                  <c:v>2027</c:v>
                </c:pt>
                <c:pt idx="4">
                  <c:v>2028</c:v>
                </c:pt>
                <c:pt idx="5">
                  <c:v>2029</c:v>
                </c:pt>
              </c:numCache>
            </c:numRef>
          </c:cat>
          <c:val>
            <c:numRef>
              <c:f>'Fair Value Estimate'!$H$20:$M$20</c:f>
              <c:numCache>
                <c:formatCode>_("$"* #,##0.00_);_("$"* \(#,##0.00\);_("$"* "-"??_);_(@_)</c:formatCode>
                <c:ptCount val="6"/>
                <c:pt idx="0">
                  <c:v>89.724397675989053</c:v>
                </c:pt>
                <c:pt idx="1">
                  <c:v>101.34227158466682</c:v>
                </c:pt>
                <c:pt idx="2">
                  <c:v>114.4644742785358</c:v>
                </c:pt>
                <c:pt idx="3">
                  <c:v>129.28579226601772</c:v>
                </c:pt>
                <c:pt idx="4">
                  <c:v>146.02623379179076</c:v>
                </c:pt>
                <c:pt idx="5">
                  <c:v>164.93429464808699</c:v>
                </c:pt>
              </c:numCache>
            </c:numRef>
          </c:val>
          <c:extLst>
            <c:ext xmlns:c16="http://schemas.microsoft.com/office/drawing/2014/chart" uri="{C3380CC4-5D6E-409C-BE32-E72D297353CC}">
              <c16:uniqueId val="{00000000-9970-5844-B0A3-8D21F463BC2A}"/>
            </c:ext>
          </c:extLst>
        </c:ser>
        <c:dLbls>
          <c:showLegendKey val="0"/>
          <c:showVal val="0"/>
          <c:showCatName val="0"/>
          <c:showSerName val="0"/>
          <c:showPercent val="0"/>
          <c:showBubbleSize val="0"/>
        </c:dLbls>
        <c:gapWidth val="219"/>
        <c:overlap val="-27"/>
        <c:axId val="1115072175"/>
        <c:axId val="1114906063"/>
      </c:barChart>
      <c:lineChart>
        <c:grouping val="standard"/>
        <c:varyColors val="0"/>
        <c:ser>
          <c:idx val="1"/>
          <c:order val="1"/>
          <c:tx>
            <c:v>Price/Share</c:v>
          </c:tx>
          <c:spPr>
            <a:ln w="34925" cap="rnd">
              <a:solidFill>
                <a:schemeClr val="accent2"/>
              </a:solidFill>
              <a:round/>
            </a:ln>
            <a:effectLst>
              <a:outerShdw blurRad="57150" dist="19050" dir="5400000" algn="ctr" rotWithShape="0">
                <a:srgbClr val="000000">
                  <a:alpha val="63000"/>
                </a:srgbClr>
              </a:outerShdw>
            </a:effectLst>
          </c:spPr>
          <c:marker>
            <c:symbol val="none"/>
          </c:marker>
          <c:val>
            <c:numRef>
              <c:f>'Fair Value Estimate'!$H$46:$M$46</c:f>
              <c:numCache>
                <c:formatCode>0%</c:formatCode>
                <c:ptCount val="6"/>
                <c:pt idx="0">
                  <c:v>4.6547216111775383E-2</c:v>
                </c:pt>
                <c:pt idx="1">
                  <c:v>5.1276115725031254E-2</c:v>
                </c:pt>
                <c:pt idx="2">
                  <c:v>1.2667229708105032E-2</c:v>
                </c:pt>
                <c:pt idx="3">
                  <c:v>6.897119307299035E-2</c:v>
                </c:pt>
                <c:pt idx="4">
                  <c:v>-6.03525167900687E-2</c:v>
                </c:pt>
                <c:pt idx="5">
                  <c:v>2.2248546164740798E-2</c:v>
                </c:pt>
              </c:numCache>
            </c:numRef>
          </c:val>
          <c:smooth val="0"/>
          <c:extLst>
            <c:ext xmlns:c16="http://schemas.microsoft.com/office/drawing/2014/chart" uri="{C3380CC4-5D6E-409C-BE32-E72D297353CC}">
              <c16:uniqueId val="{00000001-9970-5844-B0A3-8D21F463BC2A}"/>
            </c:ext>
          </c:extLst>
        </c:ser>
        <c:dLbls>
          <c:showLegendKey val="0"/>
          <c:showVal val="0"/>
          <c:showCatName val="0"/>
          <c:showSerName val="0"/>
          <c:showPercent val="0"/>
          <c:showBubbleSize val="0"/>
        </c:dLbls>
        <c:marker val="1"/>
        <c:smooth val="0"/>
        <c:axId val="1145181695"/>
        <c:axId val="1145179967"/>
      </c:lineChart>
      <c:catAx>
        <c:axId val="1115072175"/>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14906063"/>
        <c:crosses val="autoZero"/>
        <c:auto val="1"/>
        <c:lblAlgn val="ctr"/>
        <c:lblOffset val="100"/>
        <c:noMultiLvlLbl val="0"/>
      </c:catAx>
      <c:valAx>
        <c:axId val="1114906063"/>
        <c:scaling>
          <c:orientation val="minMax"/>
        </c:scaling>
        <c:delete val="0"/>
        <c:axPos val="l"/>
        <c:majorGridlines>
          <c:spPr>
            <a:ln w="9525" cap="flat" cmpd="sng" algn="ctr">
              <a:solidFill>
                <a:schemeClr val="lt1">
                  <a:lumMod val="95000"/>
                  <a:alpha val="10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15072175"/>
        <c:crosses val="autoZero"/>
        <c:crossBetween val="between"/>
      </c:valAx>
      <c:valAx>
        <c:axId val="1145179967"/>
        <c:scaling>
          <c:orientation val="minMax"/>
        </c:scaling>
        <c:delete val="0"/>
        <c:axPos val="r"/>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45181695"/>
        <c:crosses val="max"/>
        <c:crossBetween val="between"/>
      </c:valAx>
      <c:catAx>
        <c:axId val="1145181695"/>
        <c:scaling>
          <c:orientation val="minMax"/>
        </c:scaling>
        <c:delete val="1"/>
        <c:axPos val="b"/>
        <c:majorTickMark val="none"/>
        <c:minorTickMark val="none"/>
        <c:tickLblPos val="nextTo"/>
        <c:crossAx val="1145179967"/>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Paypal vs S&amp;P500 Prices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lineChart>
        <c:grouping val="standard"/>
        <c:varyColors val="0"/>
        <c:ser>
          <c:idx val="0"/>
          <c:order val="0"/>
          <c:tx>
            <c:strRef>
              <c:f>WACC!$C$48:$C$49</c:f>
              <c:strCache>
                <c:ptCount val="2"/>
                <c:pt idx="0">
                  <c:v>S&amp;P500</c:v>
                </c:pt>
                <c:pt idx="1">
                  <c:v>Prices</c:v>
                </c:pt>
              </c:strCache>
            </c:strRef>
          </c:tx>
          <c:spPr>
            <a:ln w="34925" cap="rnd">
              <a:solidFill>
                <a:schemeClr val="accent1"/>
              </a:solidFill>
              <a:round/>
            </a:ln>
            <a:effectLst>
              <a:outerShdw blurRad="57150" dist="19050" dir="5400000" algn="ctr" rotWithShape="0">
                <a:srgbClr val="000000">
                  <a:alpha val="63000"/>
                </a:srgbClr>
              </a:outerShdw>
            </a:effectLst>
          </c:spPr>
          <c:marker>
            <c:symbol val="none"/>
          </c:marker>
          <c:dLbls>
            <c:delete val="1"/>
          </c:dLbls>
          <c:cat>
            <c:numRef>
              <c:f>WACC!$B$50:$B$110</c:f>
              <c:numCache>
                <c:formatCode>m/d/yy</c:formatCode>
                <c:ptCount val="61"/>
                <c:pt idx="0">
                  <c:v>43525</c:v>
                </c:pt>
                <c:pt idx="1">
                  <c:v>43556</c:v>
                </c:pt>
                <c:pt idx="2">
                  <c:v>43586</c:v>
                </c:pt>
                <c:pt idx="3">
                  <c:v>43617</c:v>
                </c:pt>
                <c:pt idx="4">
                  <c:v>43647</c:v>
                </c:pt>
                <c:pt idx="5">
                  <c:v>43678</c:v>
                </c:pt>
                <c:pt idx="6">
                  <c:v>43709</c:v>
                </c:pt>
                <c:pt idx="7">
                  <c:v>43739</c:v>
                </c:pt>
                <c:pt idx="8">
                  <c:v>43770</c:v>
                </c:pt>
                <c:pt idx="9">
                  <c:v>43800</c:v>
                </c:pt>
                <c:pt idx="10">
                  <c:v>43831</c:v>
                </c:pt>
                <c:pt idx="11">
                  <c:v>43862</c:v>
                </c:pt>
                <c:pt idx="12">
                  <c:v>43891</c:v>
                </c:pt>
                <c:pt idx="13">
                  <c:v>43922</c:v>
                </c:pt>
                <c:pt idx="14">
                  <c:v>43952</c:v>
                </c:pt>
                <c:pt idx="15">
                  <c:v>43983</c:v>
                </c:pt>
                <c:pt idx="16">
                  <c:v>44013</c:v>
                </c:pt>
                <c:pt idx="17">
                  <c:v>44044</c:v>
                </c:pt>
                <c:pt idx="18">
                  <c:v>44075</c:v>
                </c:pt>
                <c:pt idx="19">
                  <c:v>44105</c:v>
                </c:pt>
                <c:pt idx="20">
                  <c:v>44136</c:v>
                </c:pt>
                <c:pt idx="21">
                  <c:v>44166</c:v>
                </c:pt>
                <c:pt idx="22">
                  <c:v>44197</c:v>
                </c:pt>
                <c:pt idx="23">
                  <c:v>44228</c:v>
                </c:pt>
                <c:pt idx="24">
                  <c:v>44256</c:v>
                </c:pt>
                <c:pt idx="25">
                  <c:v>44287</c:v>
                </c:pt>
                <c:pt idx="26">
                  <c:v>44317</c:v>
                </c:pt>
                <c:pt idx="27">
                  <c:v>44348</c:v>
                </c:pt>
                <c:pt idx="28">
                  <c:v>44378</c:v>
                </c:pt>
                <c:pt idx="29">
                  <c:v>44409</c:v>
                </c:pt>
                <c:pt idx="30">
                  <c:v>44440</c:v>
                </c:pt>
                <c:pt idx="31">
                  <c:v>44470</c:v>
                </c:pt>
                <c:pt idx="32">
                  <c:v>44501</c:v>
                </c:pt>
                <c:pt idx="33">
                  <c:v>44531</c:v>
                </c:pt>
                <c:pt idx="34">
                  <c:v>44562</c:v>
                </c:pt>
                <c:pt idx="35">
                  <c:v>44593</c:v>
                </c:pt>
                <c:pt idx="36">
                  <c:v>44621</c:v>
                </c:pt>
                <c:pt idx="37">
                  <c:v>44652</c:v>
                </c:pt>
                <c:pt idx="38">
                  <c:v>44682</c:v>
                </c:pt>
                <c:pt idx="39">
                  <c:v>44713</c:v>
                </c:pt>
                <c:pt idx="40">
                  <c:v>44743</c:v>
                </c:pt>
                <c:pt idx="41">
                  <c:v>44774</c:v>
                </c:pt>
                <c:pt idx="42">
                  <c:v>44805</c:v>
                </c:pt>
                <c:pt idx="43">
                  <c:v>44835</c:v>
                </c:pt>
                <c:pt idx="44">
                  <c:v>44866</c:v>
                </c:pt>
                <c:pt idx="45">
                  <c:v>44896</c:v>
                </c:pt>
                <c:pt idx="46">
                  <c:v>44927</c:v>
                </c:pt>
                <c:pt idx="47">
                  <c:v>44958</c:v>
                </c:pt>
                <c:pt idx="48">
                  <c:v>44986</c:v>
                </c:pt>
                <c:pt idx="49">
                  <c:v>45017</c:v>
                </c:pt>
                <c:pt idx="50">
                  <c:v>45047</c:v>
                </c:pt>
                <c:pt idx="51">
                  <c:v>45078</c:v>
                </c:pt>
                <c:pt idx="52">
                  <c:v>45108</c:v>
                </c:pt>
                <c:pt idx="53">
                  <c:v>45139</c:v>
                </c:pt>
                <c:pt idx="54">
                  <c:v>45170</c:v>
                </c:pt>
                <c:pt idx="55">
                  <c:v>45200</c:v>
                </c:pt>
                <c:pt idx="56">
                  <c:v>45231</c:v>
                </c:pt>
                <c:pt idx="57">
                  <c:v>45261</c:v>
                </c:pt>
                <c:pt idx="58">
                  <c:v>45292</c:v>
                </c:pt>
                <c:pt idx="59">
                  <c:v>45323</c:v>
                </c:pt>
                <c:pt idx="60">
                  <c:v>45345</c:v>
                </c:pt>
              </c:numCache>
            </c:numRef>
          </c:cat>
          <c:val>
            <c:numRef>
              <c:f>WACC!$C$50:$C$110</c:f>
              <c:numCache>
                <c:formatCode>0.00</c:formatCode>
                <c:ptCount val="61"/>
                <c:pt idx="0">
                  <c:v>260.32403599999998</c:v>
                </c:pt>
                <c:pt idx="1">
                  <c:v>272.15237400000001</c:v>
                </c:pt>
                <c:pt idx="2">
                  <c:v>254.79695100000001</c:v>
                </c:pt>
                <c:pt idx="3">
                  <c:v>271.208282</c:v>
                </c:pt>
                <c:pt idx="4">
                  <c:v>276.64779700000003</c:v>
                </c:pt>
                <c:pt idx="5">
                  <c:v>272.01586900000001</c:v>
                </c:pt>
                <c:pt idx="6">
                  <c:v>276.03381300000001</c:v>
                </c:pt>
                <c:pt idx="7">
                  <c:v>283.43847699999998</c:v>
                </c:pt>
                <c:pt idx="8">
                  <c:v>293.698395</c:v>
                </c:pt>
                <c:pt idx="9">
                  <c:v>300.75341800000001</c:v>
                </c:pt>
                <c:pt idx="10">
                  <c:v>302.10995500000001</c:v>
                </c:pt>
                <c:pt idx="11">
                  <c:v>278.19317599999999</c:v>
                </c:pt>
                <c:pt idx="12">
                  <c:v>242.03160099999999</c:v>
                </c:pt>
                <c:pt idx="13">
                  <c:v>274.36965900000001</c:v>
                </c:pt>
                <c:pt idx="14">
                  <c:v>287.44201700000002</c:v>
                </c:pt>
                <c:pt idx="15">
                  <c:v>291.25793499999997</c:v>
                </c:pt>
                <c:pt idx="16">
                  <c:v>309.76791400000002</c:v>
                </c:pt>
                <c:pt idx="17">
                  <c:v>331.38867199999999</c:v>
                </c:pt>
                <c:pt idx="18">
                  <c:v>317.70855699999998</c:v>
                </c:pt>
                <c:pt idx="19">
                  <c:v>311.02697799999999</c:v>
                </c:pt>
                <c:pt idx="20">
                  <c:v>344.85949699999998</c:v>
                </c:pt>
                <c:pt idx="21">
                  <c:v>356.11798099999999</c:v>
                </c:pt>
                <c:pt idx="22">
                  <c:v>353.99151599999999</c:v>
                </c:pt>
                <c:pt idx="23">
                  <c:v>363.834473</c:v>
                </c:pt>
                <c:pt idx="24">
                  <c:v>379.11056500000001</c:v>
                </c:pt>
                <c:pt idx="25">
                  <c:v>400.47689800000001</c:v>
                </c:pt>
                <c:pt idx="26">
                  <c:v>403.10644500000001</c:v>
                </c:pt>
                <c:pt idx="27">
                  <c:v>410.80313100000001</c:v>
                </c:pt>
                <c:pt idx="28">
                  <c:v>422.20864899999998</c:v>
                </c:pt>
                <c:pt idx="29">
                  <c:v>434.773438</c:v>
                </c:pt>
                <c:pt idx="30">
                  <c:v>413.18695100000002</c:v>
                </c:pt>
                <c:pt idx="31">
                  <c:v>443.594269</c:v>
                </c:pt>
                <c:pt idx="32">
                  <c:v>440.02999899999998</c:v>
                </c:pt>
                <c:pt idx="33">
                  <c:v>458.76861600000001</c:v>
                </c:pt>
                <c:pt idx="34">
                  <c:v>436.09939600000001</c:v>
                </c:pt>
                <c:pt idx="35">
                  <c:v>423.22701999999998</c:v>
                </c:pt>
                <c:pt idx="36">
                  <c:v>437.776276</c:v>
                </c:pt>
                <c:pt idx="37">
                  <c:v>400.59371900000002</c:v>
                </c:pt>
                <c:pt idx="38">
                  <c:v>401.49795499999999</c:v>
                </c:pt>
                <c:pt idx="39">
                  <c:v>366.80575599999997</c:v>
                </c:pt>
                <c:pt idx="40">
                  <c:v>402.31442299999998</c:v>
                </c:pt>
                <c:pt idx="41">
                  <c:v>385.89917000000003</c:v>
                </c:pt>
                <c:pt idx="42">
                  <c:v>348.79159499999997</c:v>
                </c:pt>
                <c:pt idx="43">
                  <c:v>378.68905599999999</c:v>
                </c:pt>
                <c:pt idx="44">
                  <c:v>399.74096700000001</c:v>
                </c:pt>
                <c:pt idx="45">
                  <c:v>374.98269699999997</c:v>
                </c:pt>
                <c:pt idx="46">
                  <c:v>400.39456200000001</c:v>
                </c:pt>
                <c:pt idx="47">
                  <c:v>390.32757600000002</c:v>
                </c:pt>
                <c:pt idx="48">
                  <c:v>403.260986</c:v>
                </c:pt>
                <c:pt idx="49">
                  <c:v>411.26669299999998</c:v>
                </c:pt>
                <c:pt idx="50">
                  <c:v>413.16519199999999</c:v>
                </c:pt>
                <c:pt idx="51">
                  <c:v>438.31005900000002</c:v>
                </c:pt>
                <c:pt idx="52">
                  <c:v>454.33883700000001</c:v>
                </c:pt>
                <c:pt idx="53">
                  <c:v>446.954926</c:v>
                </c:pt>
                <c:pt idx="54">
                  <c:v>424.25732399999998</c:v>
                </c:pt>
                <c:pt idx="55">
                  <c:v>416.51129200000003</c:v>
                </c:pt>
                <c:pt idx="56">
                  <c:v>454.55703699999998</c:v>
                </c:pt>
                <c:pt idx="57">
                  <c:v>473.39068600000002</c:v>
                </c:pt>
                <c:pt idx="58">
                  <c:v>482.88000499999998</c:v>
                </c:pt>
                <c:pt idx="59">
                  <c:v>507.85000600000001</c:v>
                </c:pt>
                <c:pt idx="60">
                  <c:v>507.85000600000001</c:v>
                </c:pt>
              </c:numCache>
            </c:numRef>
          </c:val>
          <c:smooth val="0"/>
          <c:extLst>
            <c:ext xmlns:c16="http://schemas.microsoft.com/office/drawing/2014/chart" uri="{C3380CC4-5D6E-409C-BE32-E72D297353CC}">
              <c16:uniqueId val="{00000000-ED38-4944-B7A1-FE8D6318AD57}"/>
            </c:ext>
          </c:extLst>
        </c:ser>
        <c:ser>
          <c:idx val="1"/>
          <c:order val="1"/>
          <c:tx>
            <c:strRef>
              <c:f>WACC!$E$48:$E$49</c:f>
              <c:strCache>
                <c:ptCount val="2"/>
                <c:pt idx="0">
                  <c:v>Paypal</c:v>
                </c:pt>
                <c:pt idx="1">
                  <c:v>Prices</c:v>
                </c:pt>
              </c:strCache>
            </c:strRef>
          </c:tx>
          <c:spPr>
            <a:ln w="34925" cap="rnd">
              <a:solidFill>
                <a:schemeClr val="accent2"/>
              </a:solidFill>
              <a:round/>
            </a:ln>
            <a:effectLst>
              <a:outerShdw blurRad="57150" dist="19050" dir="5400000" algn="ctr" rotWithShape="0">
                <a:srgbClr val="000000">
                  <a:alpha val="63000"/>
                </a:srgbClr>
              </a:outerShdw>
            </a:effectLst>
          </c:spPr>
          <c:marker>
            <c:symbol val="none"/>
          </c:marker>
          <c:dLbls>
            <c:delete val="1"/>
          </c:dLbls>
          <c:cat>
            <c:numRef>
              <c:f>WACC!$B$50:$B$110</c:f>
              <c:numCache>
                <c:formatCode>m/d/yy</c:formatCode>
                <c:ptCount val="61"/>
                <c:pt idx="0">
                  <c:v>43525</c:v>
                </c:pt>
                <c:pt idx="1">
                  <c:v>43556</c:v>
                </c:pt>
                <c:pt idx="2">
                  <c:v>43586</c:v>
                </c:pt>
                <c:pt idx="3">
                  <c:v>43617</c:v>
                </c:pt>
                <c:pt idx="4">
                  <c:v>43647</c:v>
                </c:pt>
                <c:pt idx="5">
                  <c:v>43678</c:v>
                </c:pt>
                <c:pt idx="6">
                  <c:v>43709</c:v>
                </c:pt>
                <c:pt idx="7">
                  <c:v>43739</c:v>
                </c:pt>
                <c:pt idx="8">
                  <c:v>43770</c:v>
                </c:pt>
                <c:pt idx="9">
                  <c:v>43800</c:v>
                </c:pt>
                <c:pt idx="10">
                  <c:v>43831</c:v>
                </c:pt>
                <c:pt idx="11">
                  <c:v>43862</c:v>
                </c:pt>
                <c:pt idx="12">
                  <c:v>43891</c:v>
                </c:pt>
                <c:pt idx="13">
                  <c:v>43922</c:v>
                </c:pt>
                <c:pt idx="14">
                  <c:v>43952</c:v>
                </c:pt>
                <c:pt idx="15">
                  <c:v>43983</c:v>
                </c:pt>
                <c:pt idx="16">
                  <c:v>44013</c:v>
                </c:pt>
                <c:pt idx="17">
                  <c:v>44044</c:v>
                </c:pt>
                <c:pt idx="18">
                  <c:v>44075</c:v>
                </c:pt>
                <c:pt idx="19">
                  <c:v>44105</c:v>
                </c:pt>
                <c:pt idx="20">
                  <c:v>44136</c:v>
                </c:pt>
                <c:pt idx="21">
                  <c:v>44166</c:v>
                </c:pt>
                <c:pt idx="22">
                  <c:v>44197</c:v>
                </c:pt>
                <c:pt idx="23">
                  <c:v>44228</c:v>
                </c:pt>
                <c:pt idx="24">
                  <c:v>44256</c:v>
                </c:pt>
                <c:pt idx="25">
                  <c:v>44287</c:v>
                </c:pt>
                <c:pt idx="26">
                  <c:v>44317</c:v>
                </c:pt>
                <c:pt idx="27">
                  <c:v>44348</c:v>
                </c:pt>
                <c:pt idx="28">
                  <c:v>44378</c:v>
                </c:pt>
                <c:pt idx="29">
                  <c:v>44409</c:v>
                </c:pt>
                <c:pt idx="30">
                  <c:v>44440</c:v>
                </c:pt>
                <c:pt idx="31">
                  <c:v>44470</c:v>
                </c:pt>
                <c:pt idx="32">
                  <c:v>44501</c:v>
                </c:pt>
                <c:pt idx="33">
                  <c:v>44531</c:v>
                </c:pt>
                <c:pt idx="34">
                  <c:v>44562</c:v>
                </c:pt>
                <c:pt idx="35">
                  <c:v>44593</c:v>
                </c:pt>
                <c:pt idx="36">
                  <c:v>44621</c:v>
                </c:pt>
                <c:pt idx="37">
                  <c:v>44652</c:v>
                </c:pt>
                <c:pt idx="38">
                  <c:v>44682</c:v>
                </c:pt>
                <c:pt idx="39">
                  <c:v>44713</c:v>
                </c:pt>
                <c:pt idx="40">
                  <c:v>44743</c:v>
                </c:pt>
                <c:pt idx="41">
                  <c:v>44774</c:v>
                </c:pt>
                <c:pt idx="42">
                  <c:v>44805</c:v>
                </c:pt>
                <c:pt idx="43">
                  <c:v>44835</c:v>
                </c:pt>
                <c:pt idx="44">
                  <c:v>44866</c:v>
                </c:pt>
                <c:pt idx="45">
                  <c:v>44896</c:v>
                </c:pt>
                <c:pt idx="46">
                  <c:v>44927</c:v>
                </c:pt>
                <c:pt idx="47">
                  <c:v>44958</c:v>
                </c:pt>
                <c:pt idx="48">
                  <c:v>44986</c:v>
                </c:pt>
                <c:pt idx="49">
                  <c:v>45017</c:v>
                </c:pt>
                <c:pt idx="50">
                  <c:v>45047</c:v>
                </c:pt>
                <c:pt idx="51">
                  <c:v>45078</c:v>
                </c:pt>
                <c:pt idx="52">
                  <c:v>45108</c:v>
                </c:pt>
                <c:pt idx="53">
                  <c:v>45139</c:v>
                </c:pt>
                <c:pt idx="54">
                  <c:v>45170</c:v>
                </c:pt>
                <c:pt idx="55">
                  <c:v>45200</c:v>
                </c:pt>
                <c:pt idx="56">
                  <c:v>45231</c:v>
                </c:pt>
                <c:pt idx="57">
                  <c:v>45261</c:v>
                </c:pt>
                <c:pt idx="58">
                  <c:v>45292</c:v>
                </c:pt>
                <c:pt idx="59">
                  <c:v>45323</c:v>
                </c:pt>
                <c:pt idx="60">
                  <c:v>45345</c:v>
                </c:pt>
              </c:numCache>
            </c:numRef>
          </c:cat>
          <c:val>
            <c:numRef>
              <c:f>WACC!$E$50:$E$110</c:f>
              <c:numCache>
                <c:formatCode>0.00</c:formatCode>
                <c:ptCount val="61"/>
                <c:pt idx="0">
                  <c:v>103.839996</c:v>
                </c:pt>
                <c:pt idx="1">
                  <c:v>112.769997</c:v>
                </c:pt>
                <c:pt idx="2">
                  <c:v>109.75</c:v>
                </c:pt>
                <c:pt idx="3">
                  <c:v>114.459999</c:v>
                </c:pt>
                <c:pt idx="4">
                  <c:v>110.400002</c:v>
                </c:pt>
                <c:pt idx="5">
                  <c:v>109.050003</c:v>
                </c:pt>
                <c:pt idx="6">
                  <c:v>103.589996</c:v>
                </c:pt>
                <c:pt idx="7">
                  <c:v>104.099998</c:v>
                </c:pt>
                <c:pt idx="8">
                  <c:v>108.010002</c:v>
                </c:pt>
                <c:pt idx="9">
                  <c:v>108.16999800000001</c:v>
                </c:pt>
                <c:pt idx="10">
                  <c:v>113.889999</c:v>
                </c:pt>
                <c:pt idx="11">
                  <c:v>107.989998</c:v>
                </c:pt>
                <c:pt idx="12">
                  <c:v>95.739998</c:v>
                </c:pt>
                <c:pt idx="13">
                  <c:v>123</c:v>
                </c:pt>
                <c:pt idx="14">
                  <c:v>155.009995</c:v>
                </c:pt>
                <c:pt idx="15">
                  <c:v>174.229996</c:v>
                </c:pt>
                <c:pt idx="16">
                  <c:v>196.070007</c:v>
                </c:pt>
                <c:pt idx="17">
                  <c:v>204.13999899999999</c:v>
                </c:pt>
                <c:pt idx="18">
                  <c:v>197.029999</c:v>
                </c:pt>
                <c:pt idx="19">
                  <c:v>186.13000500000001</c:v>
                </c:pt>
                <c:pt idx="20">
                  <c:v>214.11999499999999</c:v>
                </c:pt>
                <c:pt idx="21">
                  <c:v>234.199997</c:v>
                </c:pt>
                <c:pt idx="22">
                  <c:v>234.30999800000001</c:v>
                </c:pt>
                <c:pt idx="23">
                  <c:v>259.85000600000001</c:v>
                </c:pt>
                <c:pt idx="24">
                  <c:v>242.83999600000001</c:v>
                </c:pt>
                <c:pt idx="25">
                  <c:v>262.290009</c:v>
                </c:pt>
                <c:pt idx="26">
                  <c:v>260.01998900000001</c:v>
                </c:pt>
                <c:pt idx="27">
                  <c:v>291.48001099999999</c:v>
                </c:pt>
                <c:pt idx="28">
                  <c:v>275.52999899999998</c:v>
                </c:pt>
                <c:pt idx="29">
                  <c:v>288.66000400000001</c:v>
                </c:pt>
                <c:pt idx="30">
                  <c:v>260.209991</c:v>
                </c:pt>
                <c:pt idx="31">
                  <c:v>232.58999600000001</c:v>
                </c:pt>
                <c:pt idx="32">
                  <c:v>184.88999899999999</c:v>
                </c:pt>
                <c:pt idx="33">
                  <c:v>188.58000200000001</c:v>
                </c:pt>
                <c:pt idx="34">
                  <c:v>171.94000199999999</c:v>
                </c:pt>
                <c:pt idx="35">
                  <c:v>111.93</c:v>
                </c:pt>
                <c:pt idx="36">
                  <c:v>115.650002</c:v>
                </c:pt>
                <c:pt idx="37">
                  <c:v>87.93</c:v>
                </c:pt>
                <c:pt idx="38">
                  <c:v>85.209998999999996</c:v>
                </c:pt>
                <c:pt idx="39">
                  <c:v>69.839995999999999</c:v>
                </c:pt>
                <c:pt idx="40">
                  <c:v>86.529999000000004</c:v>
                </c:pt>
                <c:pt idx="41">
                  <c:v>93.440002000000007</c:v>
                </c:pt>
                <c:pt idx="42">
                  <c:v>86.07</c:v>
                </c:pt>
                <c:pt idx="43">
                  <c:v>83.580001999999993</c:v>
                </c:pt>
                <c:pt idx="44">
                  <c:v>78.410004000000001</c:v>
                </c:pt>
                <c:pt idx="45">
                  <c:v>71.220000999999996</c:v>
                </c:pt>
                <c:pt idx="46">
                  <c:v>81.489998</c:v>
                </c:pt>
                <c:pt idx="47">
                  <c:v>73.599997999999999</c:v>
                </c:pt>
                <c:pt idx="48">
                  <c:v>75.940002000000007</c:v>
                </c:pt>
                <c:pt idx="49">
                  <c:v>76</c:v>
                </c:pt>
                <c:pt idx="50">
                  <c:v>61.990001999999997</c:v>
                </c:pt>
                <c:pt idx="51">
                  <c:v>66.730002999999996</c:v>
                </c:pt>
                <c:pt idx="52">
                  <c:v>75.819999999999993</c:v>
                </c:pt>
                <c:pt idx="53">
                  <c:v>62.509998000000003</c:v>
                </c:pt>
                <c:pt idx="54">
                  <c:v>58.459999000000003</c:v>
                </c:pt>
                <c:pt idx="55">
                  <c:v>51.799999</c:v>
                </c:pt>
                <c:pt idx="56">
                  <c:v>57.610000999999997</c:v>
                </c:pt>
                <c:pt idx="57">
                  <c:v>61.41</c:v>
                </c:pt>
                <c:pt idx="58">
                  <c:v>61.349997999999999</c:v>
                </c:pt>
                <c:pt idx="59">
                  <c:v>59.16</c:v>
                </c:pt>
                <c:pt idx="60">
                  <c:v>59.16</c:v>
                </c:pt>
              </c:numCache>
            </c:numRef>
          </c:val>
          <c:smooth val="0"/>
          <c:extLst>
            <c:ext xmlns:c16="http://schemas.microsoft.com/office/drawing/2014/chart" uri="{C3380CC4-5D6E-409C-BE32-E72D297353CC}">
              <c16:uniqueId val="{00000001-ED38-4944-B7A1-FE8D6318AD57}"/>
            </c:ext>
          </c:extLst>
        </c:ser>
        <c:dLbls>
          <c:dLblPos val="ctr"/>
          <c:showLegendKey val="0"/>
          <c:showVal val="1"/>
          <c:showCatName val="0"/>
          <c:showSerName val="0"/>
          <c:showPercent val="0"/>
          <c:showBubbleSize val="0"/>
        </c:dLbls>
        <c:smooth val="0"/>
        <c:axId val="27573663"/>
        <c:axId val="106203615"/>
      </c:lineChart>
      <c:dateAx>
        <c:axId val="27573663"/>
        <c:scaling>
          <c:orientation val="minMax"/>
        </c:scaling>
        <c:delete val="0"/>
        <c:axPos val="b"/>
        <c:numFmt formatCode="m/d/yy"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6203615"/>
        <c:crosses val="autoZero"/>
        <c:auto val="1"/>
        <c:lblOffset val="100"/>
        <c:baseTimeUnit val="days"/>
      </c:dateAx>
      <c:valAx>
        <c:axId val="106203615"/>
        <c:scaling>
          <c:orientation val="minMax"/>
        </c:scaling>
        <c:delete val="0"/>
        <c:axPos val="l"/>
        <c:majorGridlines>
          <c:spPr>
            <a:ln w="9525" cap="flat" cmpd="sng" algn="ctr">
              <a:solidFill>
                <a:schemeClr val="lt1">
                  <a:lumMod val="95000"/>
                  <a:alpha val="10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757366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Paypal</a:t>
            </a:r>
            <a:r>
              <a:rPr lang="en-US" baseline="0"/>
              <a:t> vs S&amp;P500 Growth</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lineChart>
        <c:grouping val="standard"/>
        <c:varyColors val="0"/>
        <c:ser>
          <c:idx val="0"/>
          <c:order val="0"/>
          <c:tx>
            <c:v>S&amp;P500</c:v>
          </c:tx>
          <c:spPr>
            <a:ln w="34925" cap="rnd">
              <a:solidFill>
                <a:schemeClr val="accent1"/>
              </a:solidFill>
              <a:round/>
            </a:ln>
            <a:effectLst>
              <a:outerShdw blurRad="57150" dist="19050" dir="5400000" algn="ctr" rotWithShape="0">
                <a:srgbClr val="000000">
                  <a:alpha val="63000"/>
                </a:srgbClr>
              </a:outerShdw>
            </a:effectLst>
          </c:spPr>
          <c:marker>
            <c:symbol val="none"/>
          </c:marker>
          <c:cat>
            <c:numRef>
              <c:f>WACC!$B$50:$B$110</c:f>
              <c:numCache>
                <c:formatCode>m/d/yy</c:formatCode>
                <c:ptCount val="61"/>
                <c:pt idx="0">
                  <c:v>43525</c:v>
                </c:pt>
                <c:pt idx="1">
                  <c:v>43556</c:v>
                </c:pt>
                <c:pt idx="2">
                  <c:v>43586</c:v>
                </c:pt>
                <c:pt idx="3">
                  <c:v>43617</c:v>
                </c:pt>
                <c:pt idx="4">
                  <c:v>43647</c:v>
                </c:pt>
                <c:pt idx="5">
                  <c:v>43678</c:v>
                </c:pt>
                <c:pt idx="6">
                  <c:v>43709</c:v>
                </c:pt>
                <c:pt idx="7">
                  <c:v>43739</c:v>
                </c:pt>
                <c:pt idx="8">
                  <c:v>43770</c:v>
                </c:pt>
                <c:pt idx="9">
                  <c:v>43800</c:v>
                </c:pt>
                <c:pt idx="10">
                  <c:v>43831</c:v>
                </c:pt>
                <c:pt idx="11">
                  <c:v>43862</c:v>
                </c:pt>
                <c:pt idx="12">
                  <c:v>43891</c:v>
                </c:pt>
                <c:pt idx="13">
                  <c:v>43922</c:v>
                </c:pt>
                <c:pt idx="14">
                  <c:v>43952</c:v>
                </c:pt>
                <c:pt idx="15">
                  <c:v>43983</c:v>
                </c:pt>
                <c:pt idx="16">
                  <c:v>44013</c:v>
                </c:pt>
                <c:pt idx="17">
                  <c:v>44044</c:v>
                </c:pt>
                <c:pt idx="18">
                  <c:v>44075</c:v>
                </c:pt>
                <c:pt idx="19">
                  <c:v>44105</c:v>
                </c:pt>
                <c:pt idx="20">
                  <c:v>44136</c:v>
                </c:pt>
                <c:pt idx="21">
                  <c:v>44166</c:v>
                </c:pt>
                <c:pt idx="22">
                  <c:v>44197</c:v>
                </c:pt>
                <c:pt idx="23">
                  <c:v>44228</c:v>
                </c:pt>
                <c:pt idx="24">
                  <c:v>44256</c:v>
                </c:pt>
                <c:pt idx="25">
                  <c:v>44287</c:v>
                </c:pt>
                <c:pt idx="26">
                  <c:v>44317</c:v>
                </c:pt>
                <c:pt idx="27">
                  <c:v>44348</c:v>
                </c:pt>
                <c:pt idx="28">
                  <c:v>44378</c:v>
                </c:pt>
                <c:pt idx="29">
                  <c:v>44409</c:v>
                </c:pt>
                <c:pt idx="30">
                  <c:v>44440</c:v>
                </c:pt>
                <c:pt idx="31">
                  <c:v>44470</c:v>
                </c:pt>
                <c:pt idx="32">
                  <c:v>44501</c:v>
                </c:pt>
                <c:pt idx="33">
                  <c:v>44531</c:v>
                </c:pt>
                <c:pt idx="34">
                  <c:v>44562</c:v>
                </c:pt>
                <c:pt idx="35">
                  <c:v>44593</c:v>
                </c:pt>
                <c:pt idx="36">
                  <c:v>44621</c:v>
                </c:pt>
                <c:pt idx="37">
                  <c:v>44652</c:v>
                </c:pt>
                <c:pt idx="38">
                  <c:v>44682</c:v>
                </c:pt>
                <c:pt idx="39">
                  <c:v>44713</c:v>
                </c:pt>
                <c:pt idx="40">
                  <c:v>44743</c:v>
                </c:pt>
                <c:pt idx="41">
                  <c:v>44774</c:v>
                </c:pt>
                <c:pt idx="42">
                  <c:v>44805</c:v>
                </c:pt>
                <c:pt idx="43">
                  <c:v>44835</c:v>
                </c:pt>
                <c:pt idx="44">
                  <c:v>44866</c:v>
                </c:pt>
                <c:pt idx="45">
                  <c:v>44896</c:v>
                </c:pt>
                <c:pt idx="46">
                  <c:v>44927</c:v>
                </c:pt>
                <c:pt idx="47">
                  <c:v>44958</c:v>
                </c:pt>
                <c:pt idx="48">
                  <c:v>44986</c:v>
                </c:pt>
                <c:pt idx="49">
                  <c:v>45017</c:v>
                </c:pt>
                <c:pt idx="50">
                  <c:v>45047</c:v>
                </c:pt>
                <c:pt idx="51">
                  <c:v>45078</c:v>
                </c:pt>
                <c:pt idx="52">
                  <c:v>45108</c:v>
                </c:pt>
                <c:pt idx="53">
                  <c:v>45139</c:v>
                </c:pt>
                <c:pt idx="54">
                  <c:v>45170</c:v>
                </c:pt>
                <c:pt idx="55">
                  <c:v>45200</c:v>
                </c:pt>
                <c:pt idx="56">
                  <c:v>45231</c:v>
                </c:pt>
                <c:pt idx="57">
                  <c:v>45261</c:v>
                </c:pt>
                <c:pt idx="58">
                  <c:v>45292</c:v>
                </c:pt>
                <c:pt idx="59">
                  <c:v>45323</c:v>
                </c:pt>
                <c:pt idx="60">
                  <c:v>45345</c:v>
                </c:pt>
              </c:numCache>
            </c:numRef>
          </c:cat>
          <c:val>
            <c:numRef>
              <c:f>WACC!$D$50:$D$110</c:f>
              <c:numCache>
                <c:formatCode>0%</c:formatCode>
                <c:ptCount val="61"/>
                <c:pt idx="1">
                  <c:v>4.5436979933731525E-2</c:v>
                </c:pt>
                <c:pt idx="2">
                  <c:v>-6.3770977797900863E-2</c:v>
                </c:pt>
                <c:pt idx="3">
                  <c:v>6.440944813346694E-2</c:v>
                </c:pt>
                <c:pt idx="4">
                  <c:v>2.0056596206748711E-2</c:v>
                </c:pt>
                <c:pt idx="5">
                  <c:v>-1.6743050370287338E-2</c:v>
                </c:pt>
                <c:pt idx="6">
                  <c:v>1.4770991173312709E-2</c:v>
                </c:pt>
                <c:pt idx="7">
                  <c:v>2.6825206374263999E-2</c:v>
                </c:pt>
                <c:pt idx="8">
                  <c:v>3.61980423709376E-2</c:v>
                </c:pt>
                <c:pt idx="9">
                  <c:v>2.4021319558113374E-2</c:v>
                </c:pt>
                <c:pt idx="10">
                  <c:v>4.5104624546610239E-3</c:v>
                </c:pt>
                <c:pt idx="11">
                  <c:v>-7.9165809018110656E-2</c:v>
                </c:pt>
                <c:pt idx="12">
                  <c:v>-0.12998728264995252</c:v>
                </c:pt>
                <c:pt idx="13">
                  <c:v>0.13361089157940165</c:v>
                </c:pt>
                <c:pt idx="14">
                  <c:v>4.764505684646414E-2</c:v>
                </c:pt>
                <c:pt idx="15">
                  <c:v>1.3275435650731415E-2</c:v>
                </c:pt>
                <c:pt idx="16">
                  <c:v>6.3551844518845657E-2</c:v>
                </c:pt>
                <c:pt idx="17">
                  <c:v>6.9796634909062849E-2</c:v>
                </c:pt>
                <c:pt idx="18">
                  <c:v>-4.128117873624837E-2</c:v>
                </c:pt>
                <c:pt idx="19">
                  <c:v>-2.1030528932212578E-2</c:v>
                </c:pt>
                <c:pt idx="20">
                  <c:v>0.10877679877659996</c:v>
                </c:pt>
                <c:pt idx="21">
                  <c:v>3.2646582442820149E-2</c:v>
                </c:pt>
                <c:pt idx="22">
                  <c:v>-5.9712373804567953E-3</c:v>
                </c:pt>
                <c:pt idx="23">
                  <c:v>2.7805629669384491E-2</c:v>
                </c:pt>
                <c:pt idx="24">
                  <c:v>4.1986378789345746E-2</c:v>
                </c:pt>
                <c:pt idx="25">
                  <c:v>5.6359107269933206E-2</c:v>
                </c:pt>
                <c:pt idx="26">
                  <c:v>6.5660391726265477E-3</c:v>
                </c:pt>
                <c:pt idx="27">
                  <c:v>1.9093433249374181E-2</c:v>
                </c:pt>
                <c:pt idx="28">
                  <c:v>2.7763951000655762E-2</c:v>
                </c:pt>
                <c:pt idx="29">
                  <c:v>2.975966747663672E-2</c:v>
                </c:pt>
                <c:pt idx="30">
                  <c:v>-4.9649967346901192E-2</c:v>
                </c:pt>
                <c:pt idx="31">
                  <c:v>7.3592154656403785E-2</c:v>
                </c:pt>
                <c:pt idx="32">
                  <c:v>-8.0349775664031453E-3</c:v>
                </c:pt>
                <c:pt idx="33">
                  <c:v>4.2584862492522912E-2</c:v>
                </c:pt>
                <c:pt idx="34">
                  <c:v>-4.9413188281388409E-2</c:v>
                </c:pt>
                <c:pt idx="35">
                  <c:v>-2.9517069085782555E-2</c:v>
                </c:pt>
                <c:pt idx="36">
                  <c:v>3.4376954477055799E-2</c:v>
                </c:pt>
                <c:pt idx="37">
                  <c:v>-8.493506623917646E-2</c:v>
                </c:pt>
                <c:pt idx="38">
                  <c:v>2.2572395849271842E-3</c:v>
                </c:pt>
                <c:pt idx="39">
                  <c:v>-8.6406913330355661E-2</c:v>
                </c:pt>
                <c:pt idx="40">
                  <c:v>9.6805097573223531E-2</c:v>
                </c:pt>
                <c:pt idx="41">
                  <c:v>-4.0802049495501036E-2</c:v>
                </c:pt>
                <c:pt idx="42">
                  <c:v>-9.6158732344513886E-2</c:v>
                </c:pt>
                <c:pt idx="43">
                  <c:v>8.5717263341738459E-2</c:v>
                </c:pt>
                <c:pt idx="44">
                  <c:v>5.559154843915004E-2</c:v>
                </c:pt>
                <c:pt idx="45">
                  <c:v>-6.1935783529537658E-2</c:v>
                </c:pt>
                <c:pt idx="46">
                  <c:v>6.7768100243836171E-2</c:v>
                </c:pt>
                <c:pt idx="47">
                  <c:v>-2.5142664150368699E-2</c:v>
                </c:pt>
                <c:pt idx="48">
                  <c:v>3.3134758585440016E-2</c:v>
                </c:pt>
                <c:pt idx="49">
                  <c:v>1.9852421329942249E-2</c:v>
                </c:pt>
                <c:pt idx="50">
                  <c:v>4.6162235656657113E-3</c:v>
                </c:pt>
                <c:pt idx="51">
                  <c:v>6.0859112739584331E-2</c:v>
                </c:pt>
                <c:pt idx="52">
                  <c:v>3.6569496115534061E-2</c:v>
                </c:pt>
                <c:pt idx="53">
                  <c:v>-1.6251991682586509E-2</c:v>
                </c:pt>
                <c:pt idx="54">
                  <c:v>-5.0782753874380693E-2</c:v>
                </c:pt>
                <c:pt idx="55">
                  <c:v>-1.8257862768209843E-2</c:v>
                </c:pt>
                <c:pt idx="56">
                  <c:v>9.13438500486079E-2</c:v>
                </c:pt>
                <c:pt idx="57">
                  <c:v>4.1432972029866511E-2</c:v>
                </c:pt>
                <c:pt idx="58">
                  <c:v>2.0045428185716307E-2</c:v>
                </c:pt>
                <c:pt idx="59">
                  <c:v>5.171057144931912E-2</c:v>
                </c:pt>
                <c:pt idx="60">
                  <c:v>0</c:v>
                </c:pt>
              </c:numCache>
            </c:numRef>
          </c:val>
          <c:smooth val="0"/>
          <c:extLst>
            <c:ext xmlns:c16="http://schemas.microsoft.com/office/drawing/2014/chart" uri="{C3380CC4-5D6E-409C-BE32-E72D297353CC}">
              <c16:uniqueId val="{00000000-4B7F-7B41-8FF8-0041E00133A3}"/>
            </c:ext>
          </c:extLst>
        </c:ser>
        <c:ser>
          <c:idx val="1"/>
          <c:order val="1"/>
          <c:tx>
            <c:v>Paypal</c:v>
          </c:tx>
          <c:spPr>
            <a:ln w="34925" cap="rnd">
              <a:solidFill>
                <a:schemeClr val="accent2"/>
              </a:solidFill>
              <a:round/>
            </a:ln>
            <a:effectLst>
              <a:outerShdw blurRad="57150" dist="19050" dir="5400000" algn="ctr" rotWithShape="0">
                <a:srgbClr val="000000">
                  <a:alpha val="63000"/>
                </a:srgbClr>
              </a:outerShdw>
            </a:effectLst>
          </c:spPr>
          <c:marker>
            <c:symbol val="none"/>
          </c:marker>
          <c:cat>
            <c:numRef>
              <c:f>WACC!$B$50:$B$110</c:f>
              <c:numCache>
                <c:formatCode>m/d/yy</c:formatCode>
                <c:ptCount val="61"/>
                <c:pt idx="0">
                  <c:v>43525</c:v>
                </c:pt>
                <c:pt idx="1">
                  <c:v>43556</c:v>
                </c:pt>
                <c:pt idx="2">
                  <c:v>43586</c:v>
                </c:pt>
                <c:pt idx="3">
                  <c:v>43617</c:v>
                </c:pt>
                <c:pt idx="4">
                  <c:v>43647</c:v>
                </c:pt>
                <c:pt idx="5">
                  <c:v>43678</c:v>
                </c:pt>
                <c:pt idx="6">
                  <c:v>43709</c:v>
                </c:pt>
                <c:pt idx="7">
                  <c:v>43739</c:v>
                </c:pt>
                <c:pt idx="8">
                  <c:v>43770</c:v>
                </c:pt>
                <c:pt idx="9">
                  <c:v>43800</c:v>
                </c:pt>
                <c:pt idx="10">
                  <c:v>43831</c:v>
                </c:pt>
                <c:pt idx="11">
                  <c:v>43862</c:v>
                </c:pt>
                <c:pt idx="12">
                  <c:v>43891</c:v>
                </c:pt>
                <c:pt idx="13">
                  <c:v>43922</c:v>
                </c:pt>
                <c:pt idx="14">
                  <c:v>43952</c:v>
                </c:pt>
                <c:pt idx="15">
                  <c:v>43983</c:v>
                </c:pt>
                <c:pt idx="16">
                  <c:v>44013</c:v>
                </c:pt>
                <c:pt idx="17">
                  <c:v>44044</c:v>
                </c:pt>
                <c:pt idx="18">
                  <c:v>44075</c:v>
                </c:pt>
                <c:pt idx="19">
                  <c:v>44105</c:v>
                </c:pt>
                <c:pt idx="20">
                  <c:v>44136</c:v>
                </c:pt>
                <c:pt idx="21">
                  <c:v>44166</c:v>
                </c:pt>
                <c:pt idx="22">
                  <c:v>44197</c:v>
                </c:pt>
                <c:pt idx="23">
                  <c:v>44228</c:v>
                </c:pt>
                <c:pt idx="24">
                  <c:v>44256</c:v>
                </c:pt>
                <c:pt idx="25">
                  <c:v>44287</c:v>
                </c:pt>
                <c:pt idx="26">
                  <c:v>44317</c:v>
                </c:pt>
                <c:pt idx="27">
                  <c:v>44348</c:v>
                </c:pt>
                <c:pt idx="28">
                  <c:v>44378</c:v>
                </c:pt>
                <c:pt idx="29">
                  <c:v>44409</c:v>
                </c:pt>
                <c:pt idx="30">
                  <c:v>44440</c:v>
                </c:pt>
                <c:pt idx="31">
                  <c:v>44470</c:v>
                </c:pt>
                <c:pt idx="32">
                  <c:v>44501</c:v>
                </c:pt>
                <c:pt idx="33">
                  <c:v>44531</c:v>
                </c:pt>
                <c:pt idx="34">
                  <c:v>44562</c:v>
                </c:pt>
                <c:pt idx="35">
                  <c:v>44593</c:v>
                </c:pt>
                <c:pt idx="36">
                  <c:v>44621</c:v>
                </c:pt>
                <c:pt idx="37">
                  <c:v>44652</c:v>
                </c:pt>
                <c:pt idx="38">
                  <c:v>44682</c:v>
                </c:pt>
                <c:pt idx="39">
                  <c:v>44713</c:v>
                </c:pt>
                <c:pt idx="40">
                  <c:v>44743</c:v>
                </c:pt>
                <c:pt idx="41">
                  <c:v>44774</c:v>
                </c:pt>
                <c:pt idx="42">
                  <c:v>44805</c:v>
                </c:pt>
                <c:pt idx="43">
                  <c:v>44835</c:v>
                </c:pt>
                <c:pt idx="44">
                  <c:v>44866</c:v>
                </c:pt>
                <c:pt idx="45">
                  <c:v>44896</c:v>
                </c:pt>
                <c:pt idx="46">
                  <c:v>44927</c:v>
                </c:pt>
                <c:pt idx="47">
                  <c:v>44958</c:v>
                </c:pt>
                <c:pt idx="48">
                  <c:v>44986</c:v>
                </c:pt>
                <c:pt idx="49">
                  <c:v>45017</c:v>
                </c:pt>
                <c:pt idx="50">
                  <c:v>45047</c:v>
                </c:pt>
                <c:pt idx="51">
                  <c:v>45078</c:v>
                </c:pt>
                <c:pt idx="52">
                  <c:v>45108</c:v>
                </c:pt>
                <c:pt idx="53">
                  <c:v>45139</c:v>
                </c:pt>
                <c:pt idx="54">
                  <c:v>45170</c:v>
                </c:pt>
                <c:pt idx="55">
                  <c:v>45200</c:v>
                </c:pt>
                <c:pt idx="56">
                  <c:v>45231</c:v>
                </c:pt>
                <c:pt idx="57">
                  <c:v>45261</c:v>
                </c:pt>
                <c:pt idx="58">
                  <c:v>45292</c:v>
                </c:pt>
                <c:pt idx="59">
                  <c:v>45323</c:v>
                </c:pt>
                <c:pt idx="60">
                  <c:v>45345</c:v>
                </c:pt>
              </c:numCache>
            </c:numRef>
          </c:cat>
          <c:val>
            <c:numRef>
              <c:f>WACC!$F$50:$F$110</c:f>
              <c:numCache>
                <c:formatCode>0%</c:formatCode>
                <c:ptCount val="61"/>
                <c:pt idx="1">
                  <c:v>8.5997701694826789E-2</c:v>
                </c:pt>
                <c:pt idx="2">
                  <c:v>-2.6780146141176187E-2</c:v>
                </c:pt>
                <c:pt idx="3">
                  <c:v>4.291570842824588E-2</c:v>
                </c:pt>
                <c:pt idx="4">
                  <c:v>-3.5470880966895657E-2</c:v>
                </c:pt>
                <c:pt idx="5">
                  <c:v>-1.2228251590067907E-2</c:v>
                </c:pt>
                <c:pt idx="6">
                  <c:v>-5.0068838604250265E-2</c:v>
                </c:pt>
                <c:pt idx="7">
                  <c:v>4.923274637446573E-3</c:v>
                </c:pt>
                <c:pt idx="8">
                  <c:v>3.7560077570798711E-2</c:v>
                </c:pt>
                <c:pt idx="9">
                  <c:v>1.481307258933251E-3</c:v>
                </c:pt>
                <c:pt idx="10">
                  <c:v>5.2879736579083625E-2</c:v>
                </c:pt>
                <c:pt idx="11">
                  <c:v>-5.1804381875532379E-2</c:v>
                </c:pt>
                <c:pt idx="12">
                  <c:v>-0.11343643139987836</c:v>
                </c:pt>
                <c:pt idx="13">
                  <c:v>0.28472950250113849</c:v>
                </c:pt>
                <c:pt idx="14">
                  <c:v>0.26024386178861802</c:v>
                </c:pt>
                <c:pt idx="15">
                  <c:v>0.1239920109667767</c:v>
                </c:pt>
                <c:pt idx="16">
                  <c:v>0.12535161281872509</c:v>
                </c:pt>
                <c:pt idx="17">
                  <c:v>4.1158727555918206E-2</c:v>
                </c:pt>
                <c:pt idx="18">
                  <c:v>-3.4829039065489509E-2</c:v>
                </c:pt>
                <c:pt idx="19">
                  <c:v>-5.5321494469479204E-2</c:v>
                </c:pt>
                <c:pt idx="20">
                  <c:v>0.15037870976256618</c:v>
                </c:pt>
                <c:pt idx="21">
                  <c:v>9.3779200770110371E-2</c:v>
                </c:pt>
                <c:pt idx="22">
                  <c:v>4.6968830661442418E-4</c:v>
                </c:pt>
                <c:pt idx="23">
                  <c:v>0.10900093132176125</c:v>
                </c:pt>
                <c:pt idx="24">
                  <c:v>-6.5460879766152447E-2</c:v>
                </c:pt>
                <c:pt idx="25">
                  <c:v>8.0093943832876713E-2</c:v>
                </c:pt>
                <c:pt idx="26">
                  <c:v>-8.6546186362744804E-3</c:v>
                </c:pt>
                <c:pt idx="27">
                  <c:v>0.12099078275093689</c:v>
                </c:pt>
                <c:pt idx="28">
                  <c:v>-5.4720774660599325E-2</c:v>
                </c:pt>
                <c:pt idx="29">
                  <c:v>4.7653631356489923E-2</c:v>
                </c:pt>
                <c:pt idx="30">
                  <c:v>-9.8558901842182522E-2</c:v>
                </c:pt>
                <c:pt idx="31">
                  <c:v>-0.10614502115716218</c:v>
                </c:pt>
                <c:pt idx="32">
                  <c:v>-0.20508189440787483</c:v>
                </c:pt>
                <c:pt idx="33">
                  <c:v>1.9957829087337675E-2</c:v>
                </c:pt>
                <c:pt idx="34">
                  <c:v>-8.8238412469631933E-2</c:v>
                </c:pt>
                <c:pt idx="35">
                  <c:v>-0.349017106560229</c:v>
                </c:pt>
                <c:pt idx="36">
                  <c:v>3.3235075493611932E-2</c:v>
                </c:pt>
                <c:pt idx="37">
                  <c:v>-0.23968872910179451</c:v>
                </c:pt>
                <c:pt idx="38">
                  <c:v>-3.0933708631866397E-2</c:v>
                </c:pt>
                <c:pt idx="39">
                  <c:v>-0.18037792724302226</c:v>
                </c:pt>
                <c:pt idx="40">
                  <c:v>0.23897485618412695</c:v>
                </c:pt>
                <c:pt idx="41">
                  <c:v>7.9856732692207721E-2</c:v>
                </c:pt>
                <c:pt idx="42">
                  <c:v>-7.8874163551494902E-2</c:v>
                </c:pt>
                <c:pt idx="43">
                  <c:v>-2.892991750900431E-2</c:v>
                </c:pt>
                <c:pt idx="44">
                  <c:v>-6.1856878156092754E-2</c:v>
                </c:pt>
                <c:pt idx="45">
                  <c:v>-9.1697521147939276E-2</c:v>
                </c:pt>
                <c:pt idx="46">
                  <c:v>0.1442010229682531</c:v>
                </c:pt>
                <c:pt idx="47">
                  <c:v>-9.6821698289893177E-2</c:v>
                </c:pt>
                <c:pt idx="48">
                  <c:v>3.1793533472650459E-2</c:v>
                </c:pt>
                <c:pt idx="49">
                  <c:v>7.9007108796225189E-4</c:v>
                </c:pt>
                <c:pt idx="50">
                  <c:v>-0.18434207894736843</c:v>
                </c:pt>
                <c:pt idx="51">
                  <c:v>7.6463959462366171E-2</c:v>
                </c:pt>
                <c:pt idx="52">
                  <c:v>0.13622053935768585</c:v>
                </c:pt>
                <c:pt idx="53">
                  <c:v>-0.17554737536270104</c:v>
                </c:pt>
                <c:pt idx="54">
                  <c:v>-6.4789619734110349E-2</c:v>
                </c:pt>
                <c:pt idx="55">
                  <c:v>-0.1139240525816636</c:v>
                </c:pt>
                <c:pt idx="56">
                  <c:v>0.11216220293749424</c:v>
                </c:pt>
                <c:pt idx="57">
                  <c:v>6.5960752196480676E-2</c:v>
                </c:pt>
                <c:pt idx="58">
                  <c:v>-9.7707213808817528E-4</c:v>
                </c:pt>
                <c:pt idx="59">
                  <c:v>-3.5696790079765006E-2</c:v>
                </c:pt>
                <c:pt idx="60">
                  <c:v>0</c:v>
                </c:pt>
              </c:numCache>
            </c:numRef>
          </c:val>
          <c:smooth val="0"/>
          <c:extLst>
            <c:ext xmlns:c16="http://schemas.microsoft.com/office/drawing/2014/chart" uri="{C3380CC4-5D6E-409C-BE32-E72D297353CC}">
              <c16:uniqueId val="{00000001-4B7F-7B41-8FF8-0041E00133A3}"/>
            </c:ext>
          </c:extLst>
        </c:ser>
        <c:dLbls>
          <c:showLegendKey val="0"/>
          <c:showVal val="0"/>
          <c:showCatName val="0"/>
          <c:showSerName val="0"/>
          <c:showPercent val="0"/>
          <c:showBubbleSize val="0"/>
        </c:dLbls>
        <c:smooth val="0"/>
        <c:axId val="2026087008"/>
        <c:axId val="2026088720"/>
      </c:lineChart>
      <c:dateAx>
        <c:axId val="2026087008"/>
        <c:scaling>
          <c:orientation val="minMax"/>
        </c:scaling>
        <c:delete val="0"/>
        <c:axPos val="b"/>
        <c:numFmt formatCode="m/d/yy"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26088720"/>
        <c:crosses val="autoZero"/>
        <c:auto val="1"/>
        <c:lblOffset val="100"/>
        <c:baseTimeUnit val="days"/>
      </c:dateAx>
      <c:valAx>
        <c:axId val="2026088720"/>
        <c:scaling>
          <c:orientation val="minMax"/>
        </c:scaling>
        <c:delete val="0"/>
        <c:axPos val="l"/>
        <c:majorGridlines>
          <c:spPr>
            <a:ln w="9525" cap="flat" cmpd="sng" algn="ctr">
              <a:solidFill>
                <a:schemeClr val="lt1">
                  <a:lumMod val="95000"/>
                  <a:alpha val="1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26087008"/>
        <c:crosses val="autoZero"/>
        <c:crossBetween val="between"/>
      </c:valAx>
      <c:spPr>
        <a:noFill/>
        <a:ln>
          <a:noFill/>
        </a:ln>
        <a:effectLst/>
      </c:spPr>
    </c:plotArea>
    <c:legend>
      <c:legendPos val="b"/>
      <c:layout>
        <c:manualLayout>
          <c:xMode val="edge"/>
          <c:yMode val="edge"/>
          <c:x val="0.32150833534886636"/>
          <c:y val="0.90833572657125272"/>
          <c:w val="0.4275178486648214"/>
          <c:h val="6.7616177236362485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Capital Structure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pie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7754-B54B-A4B7-21BE5DDE3AE3}"/>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7754-B54B-A4B7-21BE5DDE3AE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WACC!$B$39:$B$40</c:f>
              <c:strCache>
                <c:ptCount val="2"/>
                <c:pt idx="0">
                  <c:v>Weighting of Equity in WACC</c:v>
                </c:pt>
                <c:pt idx="1">
                  <c:v>Weighting of Debt in WACC</c:v>
                </c:pt>
              </c:strCache>
            </c:strRef>
          </c:cat>
          <c:val>
            <c:numRef>
              <c:f>WACC!$C$39:$C$40</c:f>
              <c:numCache>
                <c:formatCode>0.0%</c:formatCode>
                <c:ptCount val="2"/>
                <c:pt idx="0">
                  <c:v>0.83651294480395766</c:v>
                </c:pt>
                <c:pt idx="1">
                  <c:v>0.16348705519604229</c:v>
                </c:pt>
              </c:numCache>
            </c:numRef>
          </c:val>
          <c:extLst>
            <c:ext xmlns:c16="http://schemas.microsoft.com/office/drawing/2014/chart" uri="{C3380CC4-5D6E-409C-BE32-E72D297353CC}">
              <c16:uniqueId val="{00000000-0AF8-0C4B-9D2D-AF5D2119ADD6}"/>
            </c:ext>
          </c:extLst>
        </c:ser>
        <c:dLbls>
          <c:showLegendKey val="0"/>
          <c:showVal val="0"/>
          <c:showCatName val="0"/>
          <c:showSerName val="0"/>
          <c:showPercent val="0"/>
          <c:showBubbleSize val="0"/>
          <c:showLeaderLines val="1"/>
        </c:dLbls>
        <c:firstSliceAng val="0"/>
      </c:pieChart>
      <c:spPr>
        <a:noFill/>
        <a:ln>
          <a:noFill/>
        </a:ln>
        <a:effectLst/>
      </c:spPr>
    </c:plotArea>
    <c:legend>
      <c:legendPos val="b"/>
      <c:layout>
        <c:manualLayout>
          <c:xMode val="edge"/>
          <c:yMode val="edge"/>
          <c:x val="0.2629709098862642"/>
          <c:y val="0.89411927675707203"/>
          <c:w val="0.43794685039370079"/>
          <c:h val="7.8102945465150189E-2"/>
        </c:manualLayout>
      </c:layout>
      <c:overlay val="0"/>
      <c:spPr>
        <a:noFill/>
        <a:ln>
          <a:no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Price vs Change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WACC!$E$48:$E$49</c:f>
              <c:strCache>
                <c:ptCount val="2"/>
                <c:pt idx="0">
                  <c:v>Paypal</c:v>
                </c:pt>
                <c:pt idx="1">
                  <c:v>Prices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numRef>
              <c:f>WACC!$B$50:$B$110</c:f>
              <c:numCache>
                <c:formatCode>m/d/yy</c:formatCode>
                <c:ptCount val="61"/>
                <c:pt idx="0">
                  <c:v>43525</c:v>
                </c:pt>
                <c:pt idx="1">
                  <c:v>43556</c:v>
                </c:pt>
                <c:pt idx="2">
                  <c:v>43586</c:v>
                </c:pt>
                <c:pt idx="3">
                  <c:v>43617</c:v>
                </c:pt>
                <c:pt idx="4">
                  <c:v>43647</c:v>
                </c:pt>
                <c:pt idx="5">
                  <c:v>43678</c:v>
                </c:pt>
                <c:pt idx="6">
                  <c:v>43709</c:v>
                </c:pt>
                <c:pt idx="7">
                  <c:v>43739</c:v>
                </c:pt>
                <c:pt idx="8">
                  <c:v>43770</c:v>
                </c:pt>
                <c:pt idx="9">
                  <c:v>43800</c:v>
                </c:pt>
                <c:pt idx="10">
                  <c:v>43831</c:v>
                </c:pt>
                <c:pt idx="11">
                  <c:v>43862</c:v>
                </c:pt>
                <c:pt idx="12">
                  <c:v>43891</c:v>
                </c:pt>
                <c:pt idx="13">
                  <c:v>43922</c:v>
                </c:pt>
                <c:pt idx="14">
                  <c:v>43952</c:v>
                </c:pt>
                <c:pt idx="15">
                  <c:v>43983</c:v>
                </c:pt>
                <c:pt idx="16">
                  <c:v>44013</c:v>
                </c:pt>
                <c:pt idx="17">
                  <c:v>44044</c:v>
                </c:pt>
                <c:pt idx="18">
                  <c:v>44075</c:v>
                </c:pt>
                <c:pt idx="19">
                  <c:v>44105</c:v>
                </c:pt>
                <c:pt idx="20">
                  <c:v>44136</c:v>
                </c:pt>
                <c:pt idx="21">
                  <c:v>44166</c:v>
                </c:pt>
                <c:pt idx="22">
                  <c:v>44197</c:v>
                </c:pt>
                <c:pt idx="23">
                  <c:v>44228</c:v>
                </c:pt>
                <c:pt idx="24">
                  <c:v>44256</c:v>
                </c:pt>
                <c:pt idx="25">
                  <c:v>44287</c:v>
                </c:pt>
                <c:pt idx="26">
                  <c:v>44317</c:v>
                </c:pt>
                <c:pt idx="27">
                  <c:v>44348</c:v>
                </c:pt>
                <c:pt idx="28">
                  <c:v>44378</c:v>
                </c:pt>
                <c:pt idx="29">
                  <c:v>44409</c:v>
                </c:pt>
                <c:pt idx="30">
                  <c:v>44440</c:v>
                </c:pt>
                <c:pt idx="31">
                  <c:v>44470</c:v>
                </c:pt>
                <c:pt idx="32">
                  <c:v>44501</c:v>
                </c:pt>
                <c:pt idx="33">
                  <c:v>44531</c:v>
                </c:pt>
                <c:pt idx="34">
                  <c:v>44562</c:v>
                </c:pt>
                <c:pt idx="35">
                  <c:v>44593</c:v>
                </c:pt>
                <c:pt idx="36">
                  <c:v>44621</c:v>
                </c:pt>
                <c:pt idx="37">
                  <c:v>44652</c:v>
                </c:pt>
                <c:pt idx="38">
                  <c:v>44682</c:v>
                </c:pt>
                <c:pt idx="39">
                  <c:v>44713</c:v>
                </c:pt>
                <c:pt idx="40">
                  <c:v>44743</c:v>
                </c:pt>
                <c:pt idx="41">
                  <c:v>44774</c:v>
                </c:pt>
                <c:pt idx="42">
                  <c:v>44805</c:v>
                </c:pt>
                <c:pt idx="43">
                  <c:v>44835</c:v>
                </c:pt>
                <c:pt idx="44">
                  <c:v>44866</c:v>
                </c:pt>
                <c:pt idx="45">
                  <c:v>44896</c:v>
                </c:pt>
                <c:pt idx="46">
                  <c:v>44927</c:v>
                </c:pt>
                <c:pt idx="47">
                  <c:v>44958</c:v>
                </c:pt>
                <c:pt idx="48">
                  <c:v>44986</c:v>
                </c:pt>
                <c:pt idx="49">
                  <c:v>45017</c:v>
                </c:pt>
                <c:pt idx="50">
                  <c:v>45047</c:v>
                </c:pt>
                <c:pt idx="51">
                  <c:v>45078</c:v>
                </c:pt>
                <c:pt idx="52">
                  <c:v>45108</c:v>
                </c:pt>
                <c:pt idx="53">
                  <c:v>45139</c:v>
                </c:pt>
                <c:pt idx="54">
                  <c:v>45170</c:v>
                </c:pt>
                <c:pt idx="55">
                  <c:v>45200</c:v>
                </c:pt>
                <c:pt idx="56">
                  <c:v>45231</c:v>
                </c:pt>
                <c:pt idx="57">
                  <c:v>45261</c:v>
                </c:pt>
                <c:pt idx="58">
                  <c:v>45292</c:v>
                </c:pt>
                <c:pt idx="59">
                  <c:v>45323</c:v>
                </c:pt>
                <c:pt idx="60">
                  <c:v>45345</c:v>
                </c:pt>
              </c:numCache>
            </c:numRef>
          </c:cat>
          <c:val>
            <c:numRef>
              <c:f>WACC!$E$50:$E$110</c:f>
              <c:numCache>
                <c:formatCode>0.00</c:formatCode>
                <c:ptCount val="61"/>
                <c:pt idx="0">
                  <c:v>103.839996</c:v>
                </c:pt>
                <c:pt idx="1">
                  <c:v>112.769997</c:v>
                </c:pt>
                <c:pt idx="2">
                  <c:v>109.75</c:v>
                </c:pt>
                <c:pt idx="3">
                  <c:v>114.459999</c:v>
                </c:pt>
                <c:pt idx="4">
                  <c:v>110.400002</c:v>
                </c:pt>
                <c:pt idx="5">
                  <c:v>109.050003</c:v>
                </c:pt>
                <c:pt idx="6">
                  <c:v>103.589996</c:v>
                </c:pt>
                <c:pt idx="7">
                  <c:v>104.099998</c:v>
                </c:pt>
                <c:pt idx="8">
                  <c:v>108.010002</c:v>
                </c:pt>
                <c:pt idx="9">
                  <c:v>108.16999800000001</c:v>
                </c:pt>
                <c:pt idx="10">
                  <c:v>113.889999</c:v>
                </c:pt>
                <c:pt idx="11">
                  <c:v>107.989998</c:v>
                </c:pt>
                <c:pt idx="12">
                  <c:v>95.739998</c:v>
                </c:pt>
                <c:pt idx="13">
                  <c:v>123</c:v>
                </c:pt>
                <c:pt idx="14">
                  <c:v>155.009995</c:v>
                </c:pt>
                <c:pt idx="15">
                  <c:v>174.229996</c:v>
                </c:pt>
                <c:pt idx="16">
                  <c:v>196.070007</c:v>
                </c:pt>
                <c:pt idx="17">
                  <c:v>204.13999899999999</c:v>
                </c:pt>
                <c:pt idx="18">
                  <c:v>197.029999</c:v>
                </c:pt>
                <c:pt idx="19">
                  <c:v>186.13000500000001</c:v>
                </c:pt>
                <c:pt idx="20">
                  <c:v>214.11999499999999</c:v>
                </c:pt>
                <c:pt idx="21">
                  <c:v>234.199997</c:v>
                </c:pt>
                <c:pt idx="22">
                  <c:v>234.30999800000001</c:v>
                </c:pt>
                <c:pt idx="23">
                  <c:v>259.85000600000001</c:v>
                </c:pt>
                <c:pt idx="24">
                  <c:v>242.83999600000001</c:v>
                </c:pt>
                <c:pt idx="25">
                  <c:v>262.290009</c:v>
                </c:pt>
                <c:pt idx="26">
                  <c:v>260.01998900000001</c:v>
                </c:pt>
                <c:pt idx="27">
                  <c:v>291.48001099999999</c:v>
                </c:pt>
                <c:pt idx="28">
                  <c:v>275.52999899999998</c:v>
                </c:pt>
                <c:pt idx="29">
                  <c:v>288.66000400000001</c:v>
                </c:pt>
                <c:pt idx="30">
                  <c:v>260.209991</c:v>
                </c:pt>
                <c:pt idx="31">
                  <c:v>232.58999600000001</c:v>
                </c:pt>
                <c:pt idx="32">
                  <c:v>184.88999899999999</c:v>
                </c:pt>
                <c:pt idx="33">
                  <c:v>188.58000200000001</c:v>
                </c:pt>
                <c:pt idx="34">
                  <c:v>171.94000199999999</c:v>
                </c:pt>
                <c:pt idx="35">
                  <c:v>111.93</c:v>
                </c:pt>
                <c:pt idx="36">
                  <c:v>115.650002</c:v>
                </c:pt>
                <c:pt idx="37">
                  <c:v>87.93</c:v>
                </c:pt>
                <c:pt idx="38">
                  <c:v>85.209998999999996</c:v>
                </c:pt>
                <c:pt idx="39">
                  <c:v>69.839995999999999</c:v>
                </c:pt>
                <c:pt idx="40">
                  <c:v>86.529999000000004</c:v>
                </c:pt>
                <c:pt idx="41">
                  <c:v>93.440002000000007</c:v>
                </c:pt>
                <c:pt idx="42">
                  <c:v>86.07</c:v>
                </c:pt>
                <c:pt idx="43">
                  <c:v>83.580001999999993</c:v>
                </c:pt>
                <c:pt idx="44">
                  <c:v>78.410004000000001</c:v>
                </c:pt>
                <c:pt idx="45">
                  <c:v>71.220000999999996</c:v>
                </c:pt>
                <c:pt idx="46">
                  <c:v>81.489998</c:v>
                </c:pt>
                <c:pt idx="47">
                  <c:v>73.599997999999999</c:v>
                </c:pt>
                <c:pt idx="48">
                  <c:v>75.940002000000007</c:v>
                </c:pt>
                <c:pt idx="49">
                  <c:v>76</c:v>
                </c:pt>
                <c:pt idx="50">
                  <c:v>61.990001999999997</c:v>
                </c:pt>
                <c:pt idx="51">
                  <c:v>66.730002999999996</c:v>
                </c:pt>
                <c:pt idx="52">
                  <c:v>75.819999999999993</c:v>
                </c:pt>
                <c:pt idx="53">
                  <c:v>62.509998000000003</c:v>
                </c:pt>
                <c:pt idx="54">
                  <c:v>58.459999000000003</c:v>
                </c:pt>
                <c:pt idx="55">
                  <c:v>51.799999</c:v>
                </c:pt>
                <c:pt idx="56">
                  <c:v>57.610000999999997</c:v>
                </c:pt>
                <c:pt idx="57">
                  <c:v>61.41</c:v>
                </c:pt>
                <c:pt idx="58">
                  <c:v>61.349997999999999</c:v>
                </c:pt>
                <c:pt idx="59">
                  <c:v>59.16</c:v>
                </c:pt>
                <c:pt idx="60">
                  <c:v>59.16</c:v>
                </c:pt>
              </c:numCache>
            </c:numRef>
          </c:val>
          <c:extLst>
            <c:ext xmlns:c16="http://schemas.microsoft.com/office/drawing/2014/chart" uri="{C3380CC4-5D6E-409C-BE32-E72D297353CC}">
              <c16:uniqueId val="{00000000-58FF-0845-B143-EC5E0B0EF927}"/>
            </c:ext>
          </c:extLst>
        </c:ser>
        <c:dLbls>
          <c:showLegendKey val="0"/>
          <c:showVal val="0"/>
          <c:showCatName val="0"/>
          <c:showSerName val="0"/>
          <c:showPercent val="0"/>
          <c:showBubbleSize val="0"/>
        </c:dLbls>
        <c:gapWidth val="219"/>
        <c:overlap val="-27"/>
        <c:axId val="1018674607"/>
        <c:axId val="1018676319"/>
      </c:barChart>
      <c:lineChart>
        <c:grouping val="standard"/>
        <c:varyColors val="0"/>
        <c:ser>
          <c:idx val="1"/>
          <c:order val="1"/>
          <c:tx>
            <c:strRef>
              <c:f>WACC!$F$48:$F$49</c:f>
              <c:strCache>
                <c:ptCount val="2"/>
                <c:pt idx="0">
                  <c:v>Paypal</c:v>
                </c:pt>
                <c:pt idx="1">
                  <c:v>Monthly rate</c:v>
                </c:pt>
              </c:strCache>
            </c:strRef>
          </c:tx>
          <c:spPr>
            <a:ln w="34925" cap="rnd">
              <a:solidFill>
                <a:schemeClr val="accent2"/>
              </a:solidFill>
              <a:round/>
            </a:ln>
            <a:effectLst>
              <a:outerShdw blurRad="57150" dist="19050" dir="5400000" algn="ctr" rotWithShape="0">
                <a:srgbClr val="000000">
                  <a:alpha val="63000"/>
                </a:srgbClr>
              </a:outerShdw>
            </a:effectLst>
          </c:spPr>
          <c:marker>
            <c:symbol val="none"/>
          </c:marker>
          <c:val>
            <c:numRef>
              <c:f>WACC!$F$50:$F$110</c:f>
              <c:numCache>
                <c:formatCode>0%</c:formatCode>
                <c:ptCount val="61"/>
                <c:pt idx="1">
                  <c:v>8.5997701694826789E-2</c:v>
                </c:pt>
                <c:pt idx="2">
                  <c:v>-2.6780146141176187E-2</c:v>
                </c:pt>
                <c:pt idx="3">
                  <c:v>4.291570842824588E-2</c:v>
                </c:pt>
                <c:pt idx="4">
                  <c:v>-3.5470880966895657E-2</c:v>
                </c:pt>
                <c:pt idx="5">
                  <c:v>-1.2228251590067907E-2</c:v>
                </c:pt>
                <c:pt idx="6">
                  <c:v>-5.0068838604250265E-2</c:v>
                </c:pt>
                <c:pt idx="7">
                  <c:v>4.923274637446573E-3</c:v>
                </c:pt>
                <c:pt idx="8">
                  <c:v>3.7560077570798711E-2</c:v>
                </c:pt>
                <c:pt idx="9">
                  <c:v>1.481307258933251E-3</c:v>
                </c:pt>
                <c:pt idx="10">
                  <c:v>5.2879736579083625E-2</c:v>
                </c:pt>
                <c:pt idx="11">
                  <c:v>-5.1804381875532379E-2</c:v>
                </c:pt>
                <c:pt idx="12">
                  <c:v>-0.11343643139987836</c:v>
                </c:pt>
                <c:pt idx="13">
                  <c:v>0.28472950250113849</c:v>
                </c:pt>
                <c:pt idx="14">
                  <c:v>0.26024386178861802</c:v>
                </c:pt>
                <c:pt idx="15">
                  <c:v>0.1239920109667767</c:v>
                </c:pt>
                <c:pt idx="16">
                  <c:v>0.12535161281872509</c:v>
                </c:pt>
                <c:pt idx="17">
                  <c:v>4.1158727555918206E-2</c:v>
                </c:pt>
                <c:pt idx="18">
                  <c:v>-3.4829039065489509E-2</c:v>
                </c:pt>
                <c:pt idx="19">
                  <c:v>-5.5321494469479204E-2</c:v>
                </c:pt>
                <c:pt idx="20">
                  <c:v>0.15037870976256618</c:v>
                </c:pt>
                <c:pt idx="21">
                  <c:v>9.3779200770110371E-2</c:v>
                </c:pt>
                <c:pt idx="22">
                  <c:v>4.6968830661442418E-4</c:v>
                </c:pt>
                <c:pt idx="23">
                  <c:v>0.10900093132176125</c:v>
                </c:pt>
                <c:pt idx="24">
                  <c:v>-6.5460879766152447E-2</c:v>
                </c:pt>
                <c:pt idx="25">
                  <c:v>8.0093943832876713E-2</c:v>
                </c:pt>
                <c:pt idx="26">
                  <c:v>-8.6546186362744804E-3</c:v>
                </c:pt>
                <c:pt idx="27">
                  <c:v>0.12099078275093689</c:v>
                </c:pt>
                <c:pt idx="28">
                  <c:v>-5.4720774660599325E-2</c:v>
                </c:pt>
                <c:pt idx="29">
                  <c:v>4.7653631356489923E-2</c:v>
                </c:pt>
                <c:pt idx="30">
                  <c:v>-9.8558901842182522E-2</c:v>
                </c:pt>
                <c:pt idx="31">
                  <c:v>-0.10614502115716218</c:v>
                </c:pt>
                <c:pt idx="32">
                  <c:v>-0.20508189440787483</c:v>
                </c:pt>
                <c:pt idx="33">
                  <c:v>1.9957829087337675E-2</c:v>
                </c:pt>
                <c:pt idx="34">
                  <c:v>-8.8238412469631933E-2</c:v>
                </c:pt>
                <c:pt idx="35">
                  <c:v>-0.349017106560229</c:v>
                </c:pt>
                <c:pt idx="36">
                  <c:v>3.3235075493611932E-2</c:v>
                </c:pt>
                <c:pt idx="37">
                  <c:v>-0.23968872910179451</c:v>
                </c:pt>
                <c:pt idx="38">
                  <c:v>-3.0933708631866397E-2</c:v>
                </c:pt>
                <c:pt idx="39">
                  <c:v>-0.18037792724302226</c:v>
                </c:pt>
                <c:pt idx="40">
                  <c:v>0.23897485618412695</c:v>
                </c:pt>
                <c:pt idx="41">
                  <c:v>7.9856732692207721E-2</c:v>
                </c:pt>
                <c:pt idx="42">
                  <c:v>-7.8874163551494902E-2</c:v>
                </c:pt>
                <c:pt idx="43">
                  <c:v>-2.892991750900431E-2</c:v>
                </c:pt>
                <c:pt idx="44">
                  <c:v>-6.1856878156092754E-2</c:v>
                </c:pt>
                <c:pt idx="45">
                  <c:v>-9.1697521147939276E-2</c:v>
                </c:pt>
                <c:pt idx="46">
                  <c:v>0.1442010229682531</c:v>
                </c:pt>
                <c:pt idx="47">
                  <c:v>-9.6821698289893177E-2</c:v>
                </c:pt>
                <c:pt idx="48">
                  <c:v>3.1793533472650459E-2</c:v>
                </c:pt>
                <c:pt idx="49">
                  <c:v>7.9007108796225189E-4</c:v>
                </c:pt>
                <c:pt idx="50">
                  <c:v>-0.18434207894736843</c:v>
                </c:pt>
                <c:pt idx="51">
                  <c:v>7.6463959462366171E-2</c:v>
                </c:pt>
                <c:pt idx="52">
                  <c:v>0.13622053935768585</c:v>
                </c:pt>
                <c:pt idx="53">
                  <c:v>-0.17554737536270104</c:v>
                </c:pt>
                <c:pt idx="54">
                  <c:v>-6.4789619734110349E-2</c:v>
                </c:pt>
                <c:pt idx="55">
                  <c:v>-0.1139240525816636</c:v>
                </c:pt>
                <c:pt idx="56">
                  <c:v>0.11216220293749424</c:v>
                </c:pt>
                <c:pt idx="57">
                  <c:v>6.5960752196480676E-2</c:v>
                </c:pt>
                <c:pt idx="58">
                  <c:v>-9.7707213808817528E-4</c:v>
                </c:pt>
                <c:pt idx="59">
                  <c:v>-3.5696790079765006E-2</c:v>
                </c:pt>
                <c:pt idx="60">
                  <c:v>0</c:v>
                </c:pt>
              </c:numCache>
            </c:numRef>
          </c:val>
          <c:smooth val="0"/>
          <c:extLst>
            <c:ext xmlns:c16="http://schemas.microsoft.com/office/drawing/2014/chart" uri="{C3380CC4-5D6E-409C-BE32-E72D297353CC}">
              <c16:uniqueId val="{00000001-58FF-0845-B143-EC5E0B0EF927}"/>
            </c:ext>
          </c:extLst>
        </c:ser>
        <c:dLbls>
          <c:showLegendKey val="0"/>
          <c:showVal val="0"/>
          <c:showCatName val="0"/>
          <c:showSerName val="0"/>
          <c:showPercent val="0"/>
          <c:showBubbleSize val="0"/>
        </c:dLbls>
        <c:marker val="1"/>
        <c:smooth val="0"/>
        <c:axId val="1018463471"/>
        <c:axId val="1018625839"/>
      </c:lineChart>
      <c:dateAx>
        <c:axId val="1018674607"/>
        <c:scaling>
          <c:orientation val="minMax"/>
        </c:scaling>
        <c:delete val="0"/>
        <c:axPos val="b"/>
        <c:numFmt formatCode="m/d/yy"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18676319"/>
        <c:crosses val="autoZero"/>
        <c:auto val="1"/>
        <c:lblOffset val="100"/>
        <c:baseTimeUnit val="days"/>
      </c:dateAx>
      <c:valAx>
        <c:axId val="1018676319"/>
        <c:scaling>
          <c:orientation val="minMax"/>
        </c:scaling>
        <c:delete val="0"/>
        <c:axPos val="l"/>
        <c:majorGridlines>
          <c:spPr>
            <a:ln w="9525" cap="flat" cmpd="sng" algn="ctr">
              <a:solidFill>
                <a:schemeClr val="lt1">
                  <a:lumMod val="95000"/>
                  <a:alpha val="10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18674607"/>
        <c:crosses val="autoZero"/>
        <c:crossBetween val="between"/>
      </c:valAx>
      <c:valAx>
        <c:axId val="1018625839"/>
        <c:scaling>
          <c:orientation val="minMax"/>
        </c:scaling>
        <c:delete val="0"/>
        <c:axPos val="r"/>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18463471"/>
        <c:crosses val="max"/>
        <c:crossBetween val="between"/>
      </c:valAx>
      <c:catAx>
        <c:axId val="1018463471"/>
        <c:scaling>
          <c:orientation val="minMax"/>
        </c:scaling>
        <c:delete val="1"/>
        <c:axPos val="b"/>
        <c:majorTickMark val="none"/>
        <c:minorTickMark val="none"/>
        <c:tickLblPos val="nextTo"/>
        <c:crossAx val="101862583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Free Cash Flows vs Sales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lineChart>
        <c:grouping val="standard"/>
        <c:varyColors val="0"/>
        <c:ser>
          <c:idx val="0"/>
          <c:order val="0"/>
          <c:tx>
            <c:v>FCFF</c:v>
          </c:tx>
          <c:spPr>
            <a:ln w="31750" cap="rnd">
              <a:solidFill>
                <a:schemeClr val="accent1"/>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numRef>
              <c:f>Ratios!$H$2:$M$2</c:f>
              <c:numCache>
                <c:formatCode>General</c:formatCode>
                <c:ptCount val="6"/>
                <c:pt idx="0">
                  <c:v>2024</c:v>
                </c:pt>
                <c:pt idx="1">
                  <c:v>2025</c:v>
                </c:pt>
                <c:pt idx="2">
                  <c:v>2026</c:v>
                </c:pt>
                <c:pt idx="3">
                  <c:v>2027</c:v>
                </c:pt>
                <c:pt idx="4">
                  <c:v>2028</c:v>
                </c:pt>
                <c:pt idx="5">
                  <c:v>2029</c:v>
                </c:pt>
              </c:numCache>
            </c:numRef>
          </c:cat>
          <c:val>
            <c:numRef>
              <c:f>Ratios!$H$20:$M$20</c:f>
              <c:numCache>
                <c:formatCode>0.0%</c:formatCode>
                <c:ptCount val="6"/>
                <c:pt idx="0">
                  <c:v>0.15882832842618899</c:v>
                </c:pt>
                <c:pt idx="1">
                  <c:v>0.15707346265753785</c:v>
                </c:pt>
                <c:pt idx="2">
                  <c:v>0.16210252834965966</c:v>
                </c:pt>
                <c:pt idx="3">
                  <c:v>0.15125819444089</c:v>
                </c:pt>
                <c:pt idx="4">
                  <c:v>0.17115273952547874</c:v>
                </c:pt>
                <c:pt idx="5">
                  <c:v>0.15771100364463023</c:v>
                </c:pt>
              </c:numCache>
            </c:numRef>
          </c:val>
          <c:smooth val="0"/>
          <c:extLst>
            <c:ext xmlns:c16="http://schemas.microsoft.com/office/drawing/2014/chart" uri="{C3380CC4-5D6E-409C-BE32-E72D297353CC}">
              <c16:uniqueId val="{00000000-8573-4B45-B370-894DBA3BE5B3}"/>
            </c:ext>
          </c:extLst>
        </c:ser>
        <c:ser>
          <c:idx val="1"/>
          <c:order val="1"/>
          <c:tx>
            <c:v>FCFE</c:v>
          </c:tx>
          <c:spPr>
            <a:ln w="31750" cap="rnd">
              <a:solidFill>
                <a:schemeClr val="accent2"/>
              </a:solidFill>
              <a:round/>
            </a:ln>
            <a:effectLst/>
          </c:spPr>
          <c:marker>
            <c:symbol val="circle"/>
            <c:size val="17"/>
            <c:spPr>
              <a:solidFill>
                <a:schemeClr val="accent2"/>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numRef>
              <c:f>Ratios!$H$2:$M$2</c:f>
              <c:numCache>
                <c:formatCode>General</c:formatCode>
                <c:ptCount val="6"/>
                <c:pt idx="0">
                  <c:v>2024</c:v>
                </c:pt>
                <c:pt idx="1">
                  <c:v>2025</c:v>
                </c:pt>
                <c:pt idx="2">
                  <c:v>2026</c:v>
                </c:pt>
                <c:pt idx="3">
                  <c:v>2027</c:v>
                </c:pt>
                <c:pt idx="4">
                  <c:v>2028</c:v>
                </c:pt>
                <c:pt idx="5">
                  <c:v>2029</c:v>
                </c:pt>
              </c:numCache>
            </c:numRef>
          </c:cat>
          <c:val>
            <c:numRef>
              <c:f>Ratios!$H$21:$M$21</c:f>
              <c:numCache>
                <c:formatCode>0.0%</c:formatCode>
                <c:ptCount val="6"/>
                <c:pt idx="0">
                  <c:v>0.17618433845914022</c:v>
                </c:pt>
                <c:pt idx="1">
                  <c:v>0.17670659919313217</c:v>
                </c:pt>
                <c:pt idx="2">
                  <c:v>0.18610703964401348</c:v>
                </c:pt>
                <c:pt idx="3">
                  <c:v>0.17221707116616233</c:v>
                </c:pt>
                <c:pt idx="4">
                  <c:v>0.19269081296440996</c:v>
                </c:pt>
                <c:pt idx="5">
                  <c:v>0.17978255209105265</c:v>
                </c:pt>
              </c:numCache>
            </c:numRef>
          </c:val>
          <c:smooth val="0"/>
          <c:extLst>
            <c:ext xmlns:c16="http://schemas.microsoft.com/office/drawing/2014/chart" uri="{C3380CC4-5D6E-409C-BE32-E72D297353CC}">
              <c16:uniqueId val="{00000001-8573-4B45-B370-894DBA3BE5B3}"/>
            </c:ext>
          </c:extLst>
        </c:ser>
        <c:dLbls>
          <c:dLblPos val="ctr"/>
          <c:showLegendKey val="0"/>
          <c:showVal val="1"/>
          <c:showCatName val="0"/>
          <c:showSerName val="0"/>
          <c:showPercent val="0"/>
          <c:showBubbleSize val="0"/>
        </c:dLbls>
        <c:marker val="1"/>
        <c:smooth val="0"/>
        <c:axId val="2139916831"/>
        <c:axId val="180393584"/>
      </c:lineChart>
      <c:catAx>
        <c:axId val="2139916831"/>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80393584"/>
        <c:crosses val="autoZero"/>
        <c:auto val="1"/>
        <c:lblAlgn val="ctr"/>
        <c:lblOffset val="100"/>
        <c:noMultiLvlLbl val="0"/>
      </c:catAx>
      <c:valAx>
        <c:axId val="180393584"/>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0%" sourceLinked="1"/>
        <c:majorTickMark val="none"/>
        <c:minorTickMark val="none"/>
        <c:tickLblPos val="nextTo"/>
        <c:crossAx val="2139916831"/>
        <c:crosses val="autoZero"/>
        <c:crossBetween val="between"/>
      </c:valAx>
      <c:spPr>
        <a:noFill/>
        <a:ln>
          <a:noFill/>
        </a:ln>
        <a:effectLst/>
      </c:spPr>
    </c:plotArea>
    <c:legend>
      <c:legendPos val="b"/>
      <c:layout>
        <c:manualLayout>
          <c:xMode val="edge"/>
          <c:yMode val="edge"/>
          <c:x val="0.29484140862760255"/>
          <c:y val="0.90410802423282"/>
          <c:w val="0.41522515820491762"/>
          <c:h val="7.0734743062777536E-2"/>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Debt vs Capital</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lineChart>
        <c:grouping val="standard"/>
        <c:varyColors val="0"/>
        <c:ser>
          <c:idx val="0"/>
          <c:order val="0"/>
          <c:tx>
            <c:v>Gross</c:v>
          </c:tx>
          <c:spPr>
            <a:ln w="34925" cap="rnd">
              <a:solidFill>
                <a:schemeClr val="accent1"/>
              </a:solidFill>
              <a:round/>
            </a:ln>
            <a:effectLst>
              <a:outerShdw blurRad="57150" dist="19050" dir="5400000" algn="ctr" rotWithShape="0">
                <a:srgbClr val="000000">
                  <a:alpha val="63000"/>
                </a:srgbClr>
              </a:outerShdw>
            </a:effectLst>
          </c:spPr>
          <c:marker>
            <c:symbol val="none"/>
          </c:marker>
          <c:cat>
            <c:numRef>
              <c:f>Ratios!$G$2:$M$2</c:f>
              <c:numCache>
                <c:formatCode>General</c:formatCode>
                <c:ptCount val="7"/>
                <c:pt idx="0">
                  <c:v>2023</c:v>
                </c:pt>
                <c:pt idx="1">
                  <c:v>2024</c:v>
                </c:pt>
                <c:pt idx="2">
                  <c:v>2025</c:v>
                </c:pt>
                <c:pt idx="3">
                  <c:v>2026</c:v>
                </c:pt>
                <c:pt idx="4">
                  <c:v>2027</c:v>
                </c:pt>
                <c:pt idx="5">
                  <c:v>2028</c:v>
                </c:pt>
                <c:pt idx="6">
                  <c:v>2029</c:v>
                </c:pt>
              </c:numCache>
            </c:numRef>
          </c:cat>
          <c:val>
            <c:numRef>
              <c:f>Ratios!$G$38:$M$38</c:f>
              <c:numCache>
                <c:formatCode>0.0%</c:formatCode>
                <c:ptCount val="7"/>
                <c:pt idx="0">
                  <c:v>0.31490220327399354</c:v>
                </c:pt>
                <c:pt idx="1">
                  <c:v>0.29516988033838792</c:v>
                </c:pt>
                <c:pt idx="2">
                  <c:v>0.27605920069693746</c:v>
                </c:pt>
                <c:pt idx="3">
                  <c:v>0.25805895127295614</c:v>
                </c:pt>
                <c:pt idx="4">
                  <c:v>0.24114122331070761</c:v>
                </c:pt>
                <c:pt idx="5">
                  <c:v>0.22527101061862759</c:v>
                </c:pt>
                <c:pt idx="6">
                  <c:v>0.21040804859922593</c:v>
                </c:pt>
              </c:numCache>
            </c:numRef>
          </c:val>
          <c:smooth val="0"/>
          <c:extLst>
            <c:ext xmlns:c16="http://schemas.microsoft.com/office/drawing/2014/chart" uri="{C3380CC4-5D6E-409C-BE32-E72D297353CC}">
              <c16:uniqueId val="{00000000-1E4D-9540-9EA8-A8A289692769}"/>
            </c:ext>
          </c:extLst>
        </c:ser>
        <c:ser>
          <c:idx val="1"/>
          <c:order val="1"/>
          <c:tx>
            <c:v>Net</c:v>
          </c:tx>
          <c:spPr>
            <a:ln w="34925" cap="rnd">
              <a:solidFill>
                <a:schemeClr val="accent2"/>
              </a:solidFill>
              <a:round/>
            </a:ln>
            <a:effectLst>
              <a:outerShdw blurRad="57150" dist="19050" dir="5400000" algn="ctr" rotWithShape="0">
                <a:srgbClr val="000000">
                  <a:alpha val="63000"/>
                </a:srgbClr>
              </a:outerShdw>
            </a:effectLst>
          </c:spPr>
          <c:marker>
            <c:symbol val="none"/>
          </c:marker>
          <c:cat>
            <c:numRef>
              <c:f>Ratios!$G$2:$M$2</c:f>
              <c:numCache>
                <c:formatCode>General</c:formatCode>
                <c:ptCount val="7"/>
                <c:pt idx="0">
                  <c:v>2023</c:v>
                </c:pt>
                <c:pt idx="1">
                  <c:v>2024</c:v>
                </c:pt>
                <c:pt idx="2">
                  <c:v>2025</c:v>
                </c:pt>
                <c:pt idx="3">
                  <c:v>2026</c:v>
                </c:pt>
                <c:pt idx="4">
                  <c:v>2027</c:v>
                </c:pt>
                <c:pt idx="5">
                  <c:v>2028</c:v>
                </c:pt>
                <c:pt idx="6">
                  <c:v>2029</c:v>
                </c:pt>
              </c:numCache>
            </c:numRef>
          </c:cat>
          <c:val>
            <c:numRef>
              <c:f>Ratios!$G$42:$M$42</c:f>
              <c:numCache>
                <c:formatCode>0.0%</c:formatCode>
                <c:ptCount val="7"/>
                <c:pt idx="0">
                  <c:v>-0.26280743851229754</c:v>
                </c:pt>
                <c:pt idx="1">
                  <c:v>-0.38800494780345213</c:v>
                </c:pt>
                <c:pt idx="2">
                  <c:v>-0.52069896952903039</c:v>
                </c:pt>
                <c:pt idx="3">
                  <c:v>-0.68155559817537648</c:v>
                </c:pt>
                <c:pt idx="4">
                  <c:v>-0.80856377200331564</c:v>
                </c:pt>
                <c:pt idx="5">
                  <c:v>-1.0440581951963499</c:v>
                </c:pt>
                <c:pt idx="6">
                  <c:v>-1.2244521157842116</c:v>
                </c:pt>
              </c:numCache>
            </c:numRef>
          </c:val>
          <c:smooth val="0"/>
          <c:extLst>
            <c:ext xmlns:c16="http://schemas.microsoft.com/office/drawing/2014/chart" uri="{C3380CC4-5D6E-409C-BE32-E72D297353CC}">
              <c16:uniqueId val="{00000001-1E4D-9540-9EA8-A8A289692769}"/>
            </c:ext>
          </c:extLst>
        </c:ser>
        <c:dLbls>
          <c:showLegendKey val="0"/>
          <c:showVal val="0"/>
          <c:showCatName val="0"/>
          <c:showSerName val="0"/>
          <c:showPercent val="0"/>
          <c:showBubbleSize val="0"/>
        </c:dLbls>
        <c:smooth val="0"/>
        <c:axId val="2114435135"/>
        <c:axId val="2032577023"/>
      </c:lineChart>
      <c:catAx>
        <c:axId val="2114435135"/>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32577023"/>
        <c:crosses val="autoZero"/>
        <c:auto val="1"/>
        <c:lblAlgn val="ctr"/>
        <c:lblOffset val="100"/>
        <c:noMultiLvlLbl val="0"/>
      </c:catAx>
      <c:valAx>
        <c:axId val="2032577023"/>
        <c:scaling>
          <c:orientation val="minMax"/>
        </c:scaling>
        <c:delete val="0"/>
        <c:axPos val="l"/>
        <c:majorGridlines>
          <c:spPr>
            <a:ln w="9525" cap="flat" cmpd="sng" algn="ctr">
              <a:solidFill>
                <a:schemeClr val="lt1">
                  <a:lumMod val="95000"/>
                  <a:alpha val="10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114435135"/>
        <c:crosses val="autoZero"/>
        <c:crossBetween val="between"/>
      </c:valAx>
      <c:spPr>
        <a:noFill/>
        <a:ln>
          <a:noFill/>
        </a:ln>
        <a:effectLst/>
      </c:spPr>
    </c:plotArea>
    <c:legend>
      <c:legendPos val="b"/>
      <c:layout>
        <c:manualLayout>
          <c:xMode val="edge"/>
          <c:yMode val="edge"/>
          <c:x val="0.33093872129064544"/>
          <c:y val="0.89835450568678921"/>
          <c:w val="0.32589742602468086"/>
          <c:h val="7.4978827646544177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Net Income vs EPS Growth</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stacked"/>
        <c:varyColors val="0"/>
        <c:ser>
          <c:idx val="0"/>
          <c:order val="0"/>
          <c:tx>
            <c:v>Net Income</c:v>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numRef>
              <c:f>Ratios!$H$2:$M$2</c:f>
              <c:numCache>
                <c:formatCode>General</c:formatCode>
                <c:ptCount val="6"/>
                <c:pt idx="0">
                  <c:v>2024</c:v>
                </c:pt>
                <c:pt idx="1">
                  <c:v>2025</c:v>
                </c:pt>
                <c:pt idx="2">
                  <c:v>2026</c:v>
                </c:pt>
                <c:pt idx="3">
                  <c:v>2027</c:v>
                </c:pt>
                <c:pt idx="4">
                  <c:v>2028</c:v>
                </c:pt>
                <c:pt idx="5">
                  <c:v>2029</c:v>
                </c:pt>
              </c:numCache>
            </c:numRef>
          </c:cat>
          <c:val>
            <c:numRef>
              <c:f>Ratios!$H$6:$M$6</c:f>
              <c:numCache>
                <c:formatCode>0.0%</c:formatCode>
                <c:ptCount val="6"/>
                <c:pt idx="0">
                  <c:v>-2.0578784562750418E-2</c:v>
                </c:pt>
                <c:pt idx="1">
                  <c:v>0.10235550312969433</c:v>
                </c:pt>
                <c:pt idx="2">
                  <c:v>8.8786084963454748E-2</c:v>
                </c:pt>
                <c:pt idx="3">
                  <c:v>8.822240662031744E-2</c:v>
                </c:pt>
                <c:pt idx="4">
                  <c:v>8.7707714309685825E-2</c:v>
                </c:pt>
                <c:pt idx="5">
                  <c:v>8.7237285008982424E-2</c:v>
                </c:pt>
              </c:numCache>
            </c:numRef>
          </c:val>
          <c:extLst>
            <c:ext xmlns:c16="http://schemas.microsoft.com/office/drawing/2014/chart" uri="{C3380CC4-5D6E-409C-BE32-E72D297353CC}">
              <c16:uniqueId val="{00000000-2C38-1A42-ACA5-BA8E5940F910}"/>
            </c:ext>
          </c:extLst>
        </c:ser>
        <c:ser>
          <c:idx val="1"/>
          <c:order val="1"/>
          <c:tx>
            <c:v>EPS</c:v>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numRef>
              <c:f>Ratios!$H$2:$M$2</c:f>
              <c:numCache>
                <c:formatCode>General</c:formatCode>
                <c:ptCount val="6"/>
                <c:pt idx="0">
                  <c:v>2024</c:v>
                </c:pt>
                <c:pt idx="1">
                  <c:v>2025</c:v>
                </c:pt>
                <c:pt idx="2">
                  <c:v>2026</c:v>
                </c:pt>
                <c:pt idx="3">
                  <c:v>2027</c:v>
                </c:pt>
                <c:pt idx="4">
                  <c:v>2028</c:v>
                </c:pt>
                <c:pt idx="5">
                  <c:v>2029</c:v>
                </c:pt>
              </c:numCache>
            </c:numRef>
          </c:cat>
          <c:val>
            <c:numRef>
              <c:f>Ratios!$H$7:$M$7</c:f>
              <c:numCache>
                <c:formatCode>0.0%</c:formatCode>
                <c:ptCount val="6"/>
                <c:pt idx="0">
                  <c:v>2.5794571045389514E-2</c:v>
                </c:pt>
                <c:pt idx="1">
                  <c:v>0.15730841953695718</c:v>
                </c:pt>
                <c:pt idx="2">
                  <c:v>0.14591022373383544</c:v>
                </c:pt>
                <c:pt idx="3">
                  <c:v>0.14847835383074481</c:v>
                </c:pt>
                <c:pt idx="4">
                  <c:v>0.15146549357754568</c:v>
                </c:pt>
                <c:pt idx="5">
                  <c:v>0.15493574609297878</c:v>
                </c:pt>
              </c:numCache>
            </c:numRef>
          </c:val>
          <c:extLst>
            <c:ext xmlns:c16="http://schemas.microsoft.com/office/drawing/2014/chart" uri="{C3380CC4-5D6E-409C-BE32-E72D297353CC}">
              <c16:uniqueId val="{00000001-2C38-1A42-ACA5-BA8E5940F910}"/>
            </c:ext>
          </c:extLst>
        </c:ser>
        <c:dLbls>
          <c:showLegendKey val="0"/>
          <c:showVal val="0"/>
          <c:showCatName val="0"/>
          <c:showSerName val="0"/>
          <c:showPercent val="0"/>
          <c:showBubbleSize val="0"/>
        </c:dLbls>
        <c:gapWidth val="150"/>
        <c:overlap val="100"/>
        <c:axId val="2114010575"/>
        <c:axId val="2114108287"/>
      </c:barChart>
      <c:catAx>
        <c:axId val="2114010575"/>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114108287"/>
        <c:crosses val="autoZero"/>
        <c:auto val="1"/>
        <c:lblAlgn val="ctr"/>
        <c:lblOffset val="100"/>
        <c:noMultiLvlLbl val="0"/>
      </c:catAx>
      <c:valAx>
        <c:axId val="2114108287"/>
        <c:scaling>
          <c:orientation val="minMax"/>
        </c:scaling>
        <c:delete val="0"/>
        <c:axPos val="l"/>
        <c:majorGridlines>
          <c:spPr>
            <a:ln w="9525" cap="flat" cmpd="sng" algn="ctr">
              <a:solidFill>
                <a:schemeClr val="lt1">
                  <a:lumMod val="95000"/>
                  <a:alpha val="10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11401057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Leverage of Debt</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areaChart>
        <c:grouping val="stacked"/>
        <c:varyColors val="0"/>
        <c:ser>
          <c:idx val="0"/>
          <c:order val="0"/>
          <c:tx>
            <c:v>Equity</c:v>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cat>
            <c:numRef>
              <c:f>Ratios!$H$2:$M$2</c:f>
              <c:numCache>
                <c:formatCode>General</c:formatCode>
                <c:ptCount val="6"/>
                <c:pt idx="0">
                  <c:v>2024</c:v>
                </c:pt>
                <c:pt idx="1">
                  <c:v>2025</c:v>
                </c:pt>
                <c:pt idx="2">
                  <c:v>2026</c:v>
                </c:pt>
                <c:pt idx="3">
                  <c:v>2027</c:v>
                </c:pt>
                <c:pt idx="4">
                  <c:v>2028</c:v>
                </c:pt>
                <c:pt idx="5">
                  <c:v>2029</c:v>
                </c:pt>
              </c:numCache>
            </c:numRef>
          </c:cat>
          <c:val>
            <c:numRef>
              <c:f>Ratios!$H$39:$M$39</c:f>
              <c:numCache>
                <c:formatCode>_(* #,##0.00_);_(* \(#,##0.00\);_(* "-"??_);_(@_)</c:formatCode>
                <c:ptCount val="6"/>
                <c:pt idx="0">
                  <c:v>0.41878159304556761</c:v>
                </c:pt>
                <c:pt idx="1">
                  <c:v>0.38132841934409484</c:v>
                </c:pt>
                <c:pt idx="2">
                  <c:v>0.34781597771913364</c:v>
                </c:pt>
                <c:pt idx="3">
                  <c:v>0.31776824716022306</c:v>
                </c:pt>
                <c:pt idx="4">
                  <c:v>0.29077395283544044</c:v>
                </c:pt>
                <c:pt idx="5">
                  <c:v>0.26647694195204491</c:v>
                </c:pt>
              </c:numCache>
            </c:numRef>
          </c:val>
          <c:extLst>
            <c:ext xmlns:c16="http://schemas.microsoft.com/office/drawing/2014/chart" uri="{C3380CC4-5D6E-409C-BE32-E72D297353CC}">
              <c16:uniqueId val="{00000000-CE18-A54C-A9A0-AB8916B44400}"/>
            </c:ext>
          </c:extLst>
        </c:ser>
        <c:ser>
          <c:idx val="1"/>
          <c:order val="1"/>
          <c:tx>
            <c:v>EBITDA</c:v>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cat>
            <c:numRef>
              <c:f>Ratios!$H$2:$M$2</c:f>
              <c:numCache>
                <c:formatCode>General</c:formatCode>
                <c:ptCount val="6"/>
                <c:pt idx="0">
                  <c:v>2024</c:v>
                </c:pt>
                <c:pt idx="1">
                  <c:v>2025</c:v>
                </c:pt>
                <c:pt idx="2">
                  <c:v>2026</c:v>
                </c:pt>
                <c:pt idx="3">
                  <c:v>2027</c:v>
                </c:pt>
                <c:pt idx="4">
                  <c:v>2028</c:v>
                </c:pt>
                <c:pt idx="5">
                  <c:v>2029</c:v>
                </c:pt>
              </c:numCache>
            </c:numRef>
          </c:cat>
          <c:val>
            <c:numRef>
              <c:f>Ratios!$H$40:$M$40</c:f>
              <c:numCache>
                <c:formatCode>_(* #,##0.00_);_(* \(#,##0.00\);_(* "-"??_);_(@_)</c:formatCode>
                <c:ptCount val="6"/>
                <c:pt idx="0">
                  <c:v>1.5446878820360996</c:v>
                </c:pt>
                <c:pt idx="1">
                  <c:v>1.4277894977618961</c:v>
                </c:pt>
                <c:pt idx="2">
                  <c:v>1.3197377111757025</c:v>
                </c:pt>
                <c:pt idx="3">
                  <c:v>1.2198630323513822</c:v>
                </c:pt>
                <c:pt idx="4">
                  <c:v>1.1275466368024361</c:v>
                </c:pt>
                <c:pt idx="5">
                  <c:v>1.0422165312394422</c:v>
                </c:pt>
              </c:numCache>
            </c:numRef>
          </c:val>
          <c:extLst>
            <c:ext xmlns:c16="http://schemas.microsoft.com/office/drawing/2014/chart" uri="{C3380CC4-5D6E-409C-BE32-E72D297353CC}">
              <c16:uniqueId val="{00000001-CE18-A54C-A9A0-AB8916B44400}"/>
            </c:ext>
          </c:extLst>
        </c:ser>
        <c:dLbls>
          <c:showLegendKey val="0"/>
          <c:showVal val="0"/>
          <c:showCatName val="0"/>
          <c:showSerName val="0"/>
          <c:showPercent val="0"/>
          <c:showBubbleSize val="0"/>
        </c:dLbls>
        <c:axId val="344183120"/>
        <c:axId val="2032459951"/>
      </c:areaChart>
      <c:barChart>
        <c:barDir val="col"/>
        <c:grouping val="clustered"/>
        <c:varyColors val="0"/>
        <c:ser>
          <c:idx val="2"/>
          <c:order val="2"/>
          <c:tx>
            <c:v>Adjusted EBITDA</c:v>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Ratios!$H$41:$M$41</c:f>
              <c:numCache>
                <c:formatCode>_(* #,##0.00_);_(* \(#,##0.00\);_(* "-"??_);_(@_)</c:formatCode>
                <c:ptCount val="6"/>
                <c:pt idx="0">
                  <c:v>1.2889955799855528</c:v>
                </c:pt>
                <c:pt idx="1">
                  <c:v>1.183651653087938</c:v>
                </c:pt>
                <c:pt idx="2">
                  <c:v>1.094075650454263</c:v>
                </c:pt>
                <c:pt idx="3">
                  <c:v>1.011278551247873</c:v>
                </c:pt>
                <c:pt idx="4">
                  <c:v>0.93474734383255353</c:v>
                </c:pt>
                <c:pt idx="5">
                  <c:v>0.86400784009889509</c:v>
                </c:pt>
              </c:numCache>
            </c:numRef>
          </c:val>
          <c:extLst>
            <c:ext xmlns:c16="http://schemas.microsoft.com/office/drawing/2014/chart" uri="{C3380CC4-5D6E-409C-BE32-E72D297353CC}">
              <c16:uniqueId val="{00000002-CE18-A54C-A9A0-AB8916B44400}"/>
            </c:ext>
          </c:extLst>
        </c:ser>
        <c:dLbls>
          <c:showLegendKey val="0"/>
          <c:showVal val="0"/>
          <c:showCatName val="0"/>
          <c:showSerName val="0"/>
          <c:showPercent val="0"/>
          <c:showBubbleSize val="0"/>
        </c:dLbls>
        <c:gapWidth val="150"/>
        <c:axId val="344183120"/>
        <c:axId val="2032459951"/>
      </c:barChart>
      <c:catAx>
        <c:axId val="34418312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32459951"/>
        <c:crosses val="autoZero"/>
        <c:auto val="1"/>
        <c:lblAlgn val="ctr"/>
        <c:lblOffset val="100"/>
        <c:noMultiLvlLbl val="0"/>
      </c:catAx>
      <c:valAx>
        <c:axId val="2032459951"/>
        <c:scaling>
          <c:orientation val="minMax"/>
        </c:scaling>
        <c:delete val="0"/>
        <c:axPos val="l"/>
        <c:majorGridlines>
          <c:spPr>
            <a:ln w="9525" cap="flat" cmpd="sng" algn="ctr">
              <a:solidFill>
                <a:schemeClr val="lt1">
                  <a:lumMod val="95000"/>
                  <a:alpha val="10000"/>
                </a:schemeClr>
              </a:solidFill>
              <a:round/>
            </a:ln>
            <a:effectLst/>
          </c:spPr>
        </c:majorGridlines>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44183120"/>
        <c:crosses val="autoZero"/>
        <c:crossBetween val="between"/>
      </c:valAx>
      <c:spPr>
        <a:noFill/>
        <a:ln>
          <a:noFill/>
        </a:ln>
        <a:effectLst/>
      </c:spPr>
    </c:plotArea>
    <c:legend>
      <c:legendPos val="b"/>
      <c:layout>
        <c:manualLayout>
          <c:xMode val="edge"/>
          <c:yMode val="edge"/>
          <c:x val="0.24924496937882765"/>
          <c:y val="0.89411927675707203"/>
          <c:w val="0.51817672790901137"/>
          <c:h val="7.8102945465150189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ROE vs ROA</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v>ROE</c:v>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numRef>
              <c:f>Ratios!$H$2:$M$2</c:f>
              <c:numCache>
                <c:formatCode>General</c:formatCode>
                <c:ptCount val="6"/>
                <c:pt idx="0">
                  <c:v>2024</c:v>
                </c:pt>
                <c:pt idx="1">
                  <c:v>2025</c:v>
                </c:pt>
                <c:pt idx="2">
                  <c:v>2026</c:v>
                </c:pt>
                <c:pt idx="3">
                  <c:v>2027</c:v>
                </c:pt>
                <c:pt idx="4">
                  <c:v>2028</c:v>
                </c:pt>
                <c:pt idx="5">
                  <c:v>2029</c:v>
                </c:pt>
              </c:numCache>
            </c:numRef>
          </c:cat>
          <c:val>
            <c:numRef>
              <c:f>Ratios!$H$22:$M$22</c:f>
              <c:numCache>
                <c:formatCode>0.0%</c:formatCode>
                <c:ptCount val="6"/>
                <c:pt idx="0">
                  <c:v>0.18835994861459363</c:v>
                </c:pt>
                <c:pt idx="1">
                  <c:v>0.18912213422139401</c:v>
                </c:pt>
                <c:pt idx="2">
                  <c:v>0.18766488974639023</c:v>
                </c:pt>
                <c:pt idx="3">
                  <c:v>0.18643289338697538</c:v>
                </c:pt>
                <c:pt idx="4">
                  <c:v>0.18541849013145767</c:v>
                </c:pt>
                <c:pt idx="5">
                  <c:v>0.18461476883657713</c:v>
                </c:pt>
              </c:numCache>
            </c:numRef>
          </c:val>
          <c:extLst>
            <c:ext xmlns:c16="http://schemas.microsoft.com/office/drawing/2014/chart" uri="{C3380CC4-5D6E-409C-BE32-E72D297353CC}">
              <c16:uniqueId val="{00000000-D675-384A-9AEB-44C4C0399229}"/>
            </c:ext>
          </c:extLst>
        </c:ser>
        <c:ser>
          <c:idx val="1"/>
          <c:order val="1"/>
          <c:tx>
            <c:v>ROA</c:v>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numRef>
              <c:f>Ratios!$H$2:$M$2</c:f>
              <c:numCache>
                <c:formatCode>General</c:formatCode>
                <c:ptCount val="6"/>
                <c:pt idx="0">
                  <c:v>2024</c:v>
                </c:pt>
                <c:pt idx="1">
                  <c:v>2025</c:v>
                </c:pt>
                <c:pt idx="2">
                  <c:v>2026</c:v>
                </c:pt>
                <c:pt idx="3">
                  <c:v>2027</c:v>
                </c:pt>
                <c:pt idx="4">
                  <c:v>2028</c:v>
                </c:pt>
                <c:pt idx="5">
                  <c:v>2029</c:v>
                </c:pt>
              </c:numCache>
            </c:numRef>
          </c:cat>
          <c:val>
            <c:numRef>
              <c:f>Ratios!$H$23:$M$23</c:f>
              <c:numCache>
                <c:formatCode>0.0%</c:formatCode>
                <c:ptCount val="6"/>
                <c:pt idx="0">
                  <c:v>4.8667747254567552E-2</c:v>
                </c:pt>
                <c:pt idx="1">
                  <c:v>4.950734236702399E-2</c:v>
                </c:pt>
                <c:pt idx="2">
                  <c:v>4.9611311756992779E-2</c:v>
                </c:pt>
                <c:pt idx="3">
                  <c:v>4.9690622980474254E-2</c:v>
                </c:pt>
                <c:pt idx="4">
                  <c:v>4.9617731633738615E-2</c:v>
                </c:pt>
                <c:pt idx="5">
                  <c:v>4.9527213912224699E-2</c:v>
                </c:pt>
              </c:numCache>
            </c:numRef>
          </c:val>
          <c:extLst>
            <c:ext xmlns:c16="http://schemas.microsoft.com/office/drawing/2014/chart" uri="{C3380CC4-5D6E-409C-BE32-E72D297353CC}">
              <c16:uniqueId val="{00000001-D675-384A-9AEB-44C4C0399229}"/>
            </c:ext>
          </c:extLst>
        </c:ser>
        <c:dLbls>
          <c:showLegendKey val="0"/>
          <c:showVal val="0"/>
          <c:showCatName val="0"/>
          <c:showSerName val="0"/>
          <c:showPercent val="0"/>
          <c:showBubbleSize val="0"/>
        </c:dLbls>
        <c:gapWidth val="100"/>
        <c:overlap val="-24"/>
        <c:axId val="75787168"/>
        <c:axId val="75788880"/>
      </c:barChart>
      <c:catAx>
        <c:axId val="7578716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5788880"/>
        <c:crosses val="autoZero"/>
        <c:auto val="1"/>
        <c:lblAlgn val="ctr"/>
        <c:lblOffset val="100"/>
        <c:noMultiLvlLbl val="0"/>
      </c:catAx>
      <c:valAx>
        <c:axId val="75788880"/>
        <c:scaling>
          <c:orientation val="minMax"/>
        </c:scaling>
        <c:delete val="0"/>
        <c:axPos val="l"/>
        <c:majorGridlines>
          <c:spPr>
            <a:ln w="9525" cap="flat" cmpd="sng" algn="ctr">
              <a:solidFill>
                <a:schemeClr val="lt1">
                  <a:lumMod val="95000"/>
                  <a:alpha val="10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5787168"/>
        <c:crosses val="autoZero"/>
        <c:crossBetween val="between"/>
      </c:valAx>
      <c:spPr>
        <a:noFill/>
        <a:ln>
          <a:noFill/>
        </a:ln>
        <a:effectLst/>
      </c:spPr>
    </c:plotArea>
    <c:legend>
      <c:legendPos val="b"/>
      <c:layout>
        <c:manualLayout>
          <c:xMode val="edge"/>
          <c:yMode val="edge"/>
          <c:x val="0.33371358267716533"/>
          <c:y val="0.89744288690371099"/>
          <c:w val="0.35757263779527565"/>
          <c:h val="7.5651283499876418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Growth Ratios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bar"/>
        <c:grouping val="stacked"/>
        <c:varyColors val="0"/>
        <c:ser>
          <c:idx val="0"/>
          <c:order val="0"/>
          <c:tx>
            <c:v>Revenue</c:v>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numRef>
              <c:f>Ratios!$H$2:$M$2</c:f>
              <c:numCache>
                <c:formatCode>General</c:formatCode>
                <c:ptCount val="6"/>
                <c:pt idx="0">
                  <c:v>2024</c:v>
                </c:pt>
                <c:pt idx="1">
                  <c:v>2025</c:v>
                </c:pt>
                <c:pt idx="2">
                  <c:v>2026</c:v>
                </c:pt>
                <c:pt idx="3">
                  <c:v>2027</c:v>
                </c:pt>
                <c:pt idx="4">
                  <c:v>2028</c:v>
                </c:pt>
                <c:pt idx="5">
                  <c:v>2029</c:v>
                </c:pt>
              </c:numCache>
            </c:numRef>
          </c:cat>
          <c:val>
            <c:numRef>
              <c:f>Ratios!$H$4:$M$4</c:f>
              <c:numCache>
                <c:formatCode>0.0%</c:formatCode>
                <c:ptCount val="6"/>
                <c:pt idx="0">
                  <c:v>8.1873682680427384E-2</c:v>
                </c:pt>
                <c:pt idx="1">
                  <c:v>8.1873682680427384E-2</c:v>
                </c:pt>
                <c:pt idx="2">
                  <c:v>8.1873682680427384E-2</c:v>
                </c:pt>
                <c:pt idx="3">
                  <c:v>8.1873682680427384E-2</c:v>
                </c:pt>
                <c:pt idx="4">
                  <c:v>8.1873682680427384E-2</c:v>
                </c:pt>
                <c:pt idx="5">
                  <c:v>8.1873682680427384E-2</c:v>
                </c:pt>
              </c:numCache>
            </c:numRef>
          </c:val>
          <c:extLst>
            <c:ext xmlns:c16="http://schemas.microsoft.com/office/drawing/2014/chart" uri="{C3380CC4-5D6E-409C-BE32-E72D297353CC}">
              <c16:uniqueId val="{00000000-B9C6-9C4F-B88C-89B77BF147ED}"/>
            </c:ext>
          </c:extLst>
        </c:ser>
        <c:ser>
          <c:idx val="1"/>
          <c:order val="1"/>
          <c:tx>
            <c:v>Operating</c:v>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numRef>
              <c:f>Ratios!$H$2:$M$2</c:f>
              <c:numCache>
                <c:formatCode>General</c:formatCode>
                <c:ptCount val="6"/>
                <c:pt idx="0">
                  <c:v>2024</c:v>
                </c:pt>
                <c:pt idx="1">
                  <c:v>2025</c:v>
                </c:pt>
                <c:pt idx="2">
                  <c:v>2026</c:v>
                </c:pt>
                <c:pt idx="3">
                  <c:v>2027</c:v>
                </c:pt>
                <c:pt idx="4">
                  <c:v>2028</c:v>
                </c:pt>
                <c:pt idx="5">
                  <c:v>2029</c:v>
                </c:pt>
              </c:numCache>
            </c:numRef>
          </c:cat>
          <c:val>
            <c:numRef>
              <c:f>Ratios!$H$5:$M$5</c:f>
              <c:numCache>
                <c:formatCode>0.0%</c:formatCode>
                <c:ptCount val="6"/>
                <c:pt idx="0">
                  <c:v>8.1873682680427162E-2</c:v>
                </c:pt>
                <c:pt idx="1">
                  <c:v>8.187368268042694E-2</c:v>
                </c:pt>
                <c:pt idx="2">
                  <c:v>8.1873682680427828E-2</c:v>
                </c:pt>
                <c:pt idx="3">
                  <c:v>8.1873682680426718E-2</c:v>
                </c:pt>
                <c:pt idx="4">
                  <c:v>8.1873682680427606E-2</c:v>
                </c:pt>
                <c:pt idx="5">
                  <c:v>8.1873682680427606E-2</c:v>
                </c:pt>
              </c:numCache>
            </c:numRef>
          </c:val>
          <c:extLst>
            <c:ext xmlns:c16="http://schemas.microsoft.com/office/drawing/2014/chart" uri="{C3380CC4-5D6E-409C-BE32-E72D297353CC}">
              <c16:uniqueId val="{00000001-B9C6-9C4F-B88C-89B77BF147ED}"/>
            </c:ext>
          </c:extLst>
        </c:ser>
        <c:ser>
          <c:idx val="2"/>
          <c:order val="2"/>
          <c:tx>
            <c:v>Net Income</c:v>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numRef>
              <c:f>Ratios!$H$2:$M$2</c:f>
              <c:numCache>
                <c:formatCode>General</c:formatCode>
                <c:ptCount val="6"/>
                <c:pt idx="0">
                  <c:v>2024</c:v>
                </c:pt>
                <c:pt idx="1">
                  <c:v>2025</c:v>
                </c:pt>
                <c:pt idx="2">
                  <c:v>2026</c:v>
                </c:pt>
                <c:pt idx="3">
                  <c:v>2027</c:v>
                </c:pt>
                <c:pt idx="4">
                  <c:v>2028</c:v>
                </c:pt>
                <c:pt idx="5">
                  <c:v>2029</c:v>
                </c:pt>
              </c:numCache>
            </c:numRef>
          </c:cat>
          <c:val>
            <c:numRef>
              <c:f>Ratios!$H$6:$M$6</c:f>
              <c:numCache>
                <c:formatCode>0.0%</c:formatCode>
                <c:ptCount val="6"/>
                <c:pt idx="0">
                  <c:v>-2.0578784562750418E-2</c:v>
                </c:pt>
                <c:pt idx="1">
                  <c:v>0.10235550312969433</c:v>
                </c:pt>
                <c:pt idx="2">
                  <c:v>8.8786084963454748E-2</c:v>
                </c:pt>
                <c:pt idx="3">
                  <c:v>8.822240662031744E-2</c:v>
                </c:pt>
                <c:pt idx="4">
                  <c:v>8.7707714309685825E-2</c:v>
                </c:pt>
                <c:pt idx="5">
                  <c:v>8.7237285008982424E-2</c:v>
                </c:pt>
              </c:numCache>
            </c:numRef>
          </c:val>
          <c:extLst>
            <c:ext xmlns:c16="http://schemas.microsoft.com/office/drawing/2014/chart" uri="{C3380CC4-5D6E-409C-BE32-E72D297353CC}">
              <c16:uniqueId val="{00000002-B9C6-9C4F-B88C-89B77BF147ED}"/>
            </c:ext>
          </c:extLst>
        </c:ser>
        <c:ser>
          <c:idx val="3"/>
          <c:order val="3"/>
          <c:tx>
            <c:v>EPS</c:v>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numRef>
              <c:f>Ratios!$H$2:$M$2</c:f>
              <c:numCache>
                <c:formatCode>General</c:formatCode>
                <c:ptCount val="6"/>
                <c:pt idx="0">
                  <c:v>2024</c:v>
                </c:pt>
                <c:pt idx="1">
                  <c:v>2025</c:v>
                </c:pt>
                <c:pt idx="2">
                  <c:v>2026</c:v>
                </c:pt>
                <c:pt idx="3">
                  <c:v>2027</c:v>
                </c:pt>
                <c:pt idx="4">
                  <c:v>2028</c:v>
                </c:pt>
                <c:pt idx="5">
                  <c:v>2029</c:v>
                </c:pt>
              </c:numCache>
            </c:numRef>
          </c:cat>
          <c:val>
            <c:numRef>
              <c:f>Ratios!$H$7:$M$7</c:f>
              <c:numCache>
                <c:formatCode>0.0%</c:formatCode>
                <c:ptCount val="6"/>
                <c:pt idx="0">
                  <c:v>2.5794571045389514E-2</c:v>
                </c:pt>
                <c:pt idx="1">
                  <c:v>0.15730841953695718</c:v>
                </c:pt>
                <c:pt idx="2">
                  <c:v>0.14591022373383544</c:v>
                </c:pt>
                <c:pt idx="3">
                  <c:v>0.14847835383074481</c:v>
                </c:pt>
                <c:pt idx="4">
                  <c:v>0.15146549357754568</c:v>
                </c:pt>
                <c:pt idx="5">
                  <c:v>0.15493574609297878</c:v>
                </c:pt>
              </c:numCache>
            </c:numRef>
          </c:val>
          <c:extLst>
            <c:ext xmlns:c16="http://schemas.microsoft.com/office/drawing/2014/chart" uri="{C3380CC4-5D6E-409C-BE32-E72D297353CC}">
              <c16:uniqueId val="{00000003-B9C6-9C4F-B88C-89B77BF147ED}"/>
            </c:ext>
          </c:extLst>
        </c:ser>
        <c:dLbls>
          <c:showLegendKey val="0"/>
          <c:showVal val="0"/>
          <c:showCatName val="0"/>
          <c:showSerName val="0"/>
          <c:showPercent val="0"/>
          <c:showBubbleSize val="0"/>
        </c:dLbls>
        <c:gapWidth val="150"/>
        <c:overlap val="100"/>
        <c:axId val="2138408496"/>
        <c:axId val="2138298864"/>
      </c:barChart>
      <c:catAx>
        <c:axId val="2138408496"/>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138298864"/>
        <c:crosses val="autoZero"/>
        <c:auto val="1"/>
        <c:lblAlgn val="ctr"/>
        <c:lblOffset val="100"/>
        <c:noMultiLvlLbl val="0"/>
      </c:catAx>
      <c:valAx>
        <c:axId val="2138298864"/>
        <c:scaling>
          <c:orientation val="minMax"/>
        </c:scaling>
        <c:delete val="0"/>
        <c:axPos val="b"/>
        <c:majorGridlines>
          <c:spPr>
            <a:ln w="9525" cap="flat" cmpd="sng" algn="ctr">
              <a:solidFill>
                <a:schemeClr val="lt1">
                  <a:lumMod val="95000"/>
                  <a:alpha val="10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138408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0.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7.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8.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9.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0.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2.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2" Type="http://schemas.openxmlformats.org/officeDocument/2006/relationships/image" Target="../media/image3.svg"/><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4" Type="http://schemas.openxmlformats.org/officeDocument/2006/relationships/chart" Target="../charts/chart5.xml"/></Relationships>
</file>

<file path=xl/drawings/_rels/drawing5.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s>
</file>

<file path=xl/drawings/_rels/drawing6.xml.rels><?xml version="1.0" encoding="UTF-8" standalone="yes"?>
<Relationships xmlns="http://schemas.openxmlformats.org/package/2006/relationships"><Relationship Id="rId3" Type="http://schemas.openxmlformats.org/officeDocument/2006/relationships/chart" Target="../charts/chart11.xml"/><Relationship Id="rId2" Type="http://schemas.openxmlformats.org/officeDocument/2006/relationships/chart" Target="../charts/chart10.xml"/><Relationship Id="rId1" Type="http://schemas.openxmlformats.org/officeDocument/2006/relationships/chart" Target="../charts/chart9.xml"/><Relationship Id="rId4" Type="http://schemas.openxmlformats.org/officeDocument/2006/relationships/chart" Target="../charts/chart12.xml"/></Relationships>
</file>

<file path=xl/drawings/_rels/drawing7.xml.rels><?xml version="1.0" encoding="UTF-8" standalone="yes"?>
<Relationships xmlns="http://schemas.openxmlformats.org/package/2006/relationships"><Relationship Id="rId3" Type="http://schemas.openxmlformats.org/officeDocument/2006/relationships/chart" Target="../charts/chart15.xml"/><Relationship Id="rId2" Type="http://schemas.openxmlformats.org/officeDocument/2006/relationships/chart" Target="../charts/chart14.xml"/><Relationship Id="rId1" Type="http://schemas.openxmlformats.org/officeDocument/2006/relationships/chart" Target="../charts/chart13.xml"/><Relationship Id="rId4" Type="http://schemas.openxmlformats.org/officeDocument/2006/relationships/chart" Target="../charts/chart16.xml"/></Relationships>
</file>

<file path=xl/drawings/_rels/drawing8.xml.rels><?xml version="1.0" encoding="UTF-8" standalone="yes"?>
<Relationships xmlns="http://schemas.openxmlformats.org/package/2006/relationships"><Relationship Id="rId3" Type="http://schemas.openxmlformats.org/officeDocument/2006/relationships/chart" Target="../charts/chart19.xml"/><Relationship Id="rId2" Type="http://schemas.openxmlformats.org/officeDocument/2006/relationships/chart" Target="../charts/chart18.xml"/><Relationship Id="rId1" Type="http://schemas.openxmlformats.org/officeDocument/2006/relationships/chart" Target="../charts/chart17.xml"/><Relationship Id="rId6" Type="http://schemas.openxmlformats.org/officeDocument/2006/relationships/chart" Target="../charts/chart22.xml"/><Relationship Id="rId5" Type="http://schemas.openxmlformats.org/officeDocument/2006/relationships/chart" Target="../charts/chart21.xml"/><Relationship Id="rId4" Type="http://schemas.openxmlformats.org/officeDocument/2006/relationships/chart" Target="../charts/chart20.xml"/></Relationships>
</file>

<file path=xl/drawings/drawing1.xml><?xml version="1.0" encoding="utf-8"?>
<xdr:wsDr xmlns:xdr="http://schemas.openxmlformats.org/drawingml/2006/spreadsheetDrawing" xmlns:a="http://schemas.openxmlformats.org/drawingml/2006/main">
  <xdr:twoCellAnchor editAs="oneCell">
    <xdr:from>
      <xdr:col>1</xdr:col>
      <xdr:colOff>50800</xdr:colOff>
      <xdr:row>6</xdr:row>
      <xdr:rowOff>177800</xdr:rowOff>
    </xdr:from>
    <xdr:to>
      <xdr:col>8</xdr:col>
      <xdr:colOff>812800</xdr:colOff>
      <xdr:row>19</xdr:row>
      <xdr:rowOff>38100</xdr:rowOff>
    </xdr:to>
    <xdr:pic>
      <xdr:nvPicPr>
        <xdr:cNvPr id="4" name="Picture 3">
          <a:extLst>
            <a:ext uri="{FF2B5EF4-FFF2-40B4-BE49-F238E27FC236}">
              <a16:creationId xmlns:a16="http://schemas.microsoft.com/office/drawing/2014/main" id="{20F7C2AE-F765-3B1B-3A2F-1B7865CA0A0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76300" y="2540000"/>
          <a:ext cx="6540500" cy="29591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14</xdr:col>
      <xdr:colOff>276478</xdr:colOff>
      <xdr:row>36</xdr:row>
      <xdr:rowOff>10790</xdr:rowOff>
    </xdr:from>
    <xdr:to>
      <xdr:col>19</xdr:col>
      <xdr:colOff>746265</xdr:colOff>
      <xdr:row>47</xdr:row>
      <xdr:rowOff>157795</xdr:rowOff>
    </xdr:to>
    <xdr:graphicFrame macro="">
      <xdr:nvGraphicFramePr>
        <xdr:cNvPr id="2" name="Chart 1">
          <a:extLst>
            <a:ext uri="{FF2B5EF4-FFF2-40B4-BE49-F238E27FC236}">
              <a16:creationId xmlns:a16="http://schemas.microsoft.com/office/drawing/2014/main" id="{FDEC6BF5-8870-418E-981F-7F92E5D5C41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215900</xdr:colOff>
      <xdr:row>4</xdr:row>
      <xdr:rowOff>38100</xdr:rowOff>
    </xdr:from>
    <xdr:to>
      <xdr:col>7</xdr:col>
      <xdr:colOff>25400</xdr:colOff>
      <xdr:row>7</xdr:row>
      <xdr:rowOff>25400</xdr:rowOff>
    </xdr:to>
    <xdr:pic>
      <xdr:nvPicPr>
        <xdr:cNvPr id="3" name="Graphic 2" descr="Arrow Right with solid fill">
          <a:extLst>
            <a:ext uri="{FF2B5EF4-FFF2-40B4-BE49-F238E27FC236}">
              <a16:creationId xmlns:a16="http://schemas.microsoft.com/office/drawing/2014/main" id="{0020E4AF-43C5-BC7A-ABE7-D6A8A0121CB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rot="10800000">
          <a:off x="6540500" y="889000"/>
          <a:ext cx="635000" cy="6350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15</xdr:col>
      <xdr:colOff>635000</xdr:colOff>
      <xdr:row>2</xdr:row>
      <xdr:rowOff>177800</xdr:rowOff>
    </xdr:from>
    <xdr:to>
      <xdr:col>21</xdr:col>
      <xdr:colOff>622300</xdr:colOff>
      <xdr:row>16</xdr:row>
      <xdr:rowOff>50800</xdr:rowOff>
    </xdr:to>
    <xdr:graphicFrame macro="">
      <xdr:nvGraphicFramePr>
        <xdr:cNvPr id="2" name="Chart 1">
          <a:extLst>
            <a:ext uri="{FF2B5EF4-FFF2-40B4-BE49-F238E27FC236}">
              <a16:creationId xmlns:a16="http://schemas.microsoft.com/office/drawing/2014/main" id="{12AA0871-65F4-078B-FE6C-0B910E4D520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18</xdr:col>
      <xdr:colOff>478118</xdr:colOff>
      <xdr:row>64</xdr:row>
      <xdr:rowOff>44824</xdr:rowOff>
    </xdr:from>
    <xdr:to>
      <xdr:col>24</xdr:col>
      <xdr:colOff>776941</xdr:colOff>
      <xdr:row>77</xdr:row>
      <xdr:rowOff>161365</xdr:rowOff>
    </xdr:to>
    <xdr:graphicFrame macro="">
      <xdr:nvGraphicFramePr>
        <xdr:cNvPr id="3" name="Chart 2">
          <a:extLst>
            <a:ext uri="{FF2B5EF4-FFF2-40B4-BE49-F238E27FC236}">
              <a16:creationId xmlns:a16="http://schemas.microsoft.com/office/drawing/2014/main" id="{E6CE537C-A7EE-E7D2-2DB9-BE1851B08CE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463175</xdr:colOff>
      <xdr:row>78</xdr:row>
      <xdr:rowOff>59766</xdr:rowOff>
    </xdr:from>
    <xdr:to>
      <xdr:col>24</xdr:col>
      <xdr:colOff>791883</xdr:colOff>
      <xdr:row>90</xdr:row>
      <xdr:rowOff>206188</xdr:rowOff>
    </xdr:to>
    <xdr:graphicFrame macro="">
      <xdr:nvGraphicFramePr>
        <xdr:cNvPr id="4" name="Chart 3">
          <a:extLst>
            <a:ext uri="{FF2B5EF4-FFF2-40B4-BE49-F238E27FC236}">
              <a16:creationId xmlns:a16="http://schemas.microsoft.com/office/drawing/2014/main" id="{22083464-605A-412B-AF45-5EF8C30B66F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627528</xdr:colOff>
      <xdr:row>28</xdr:row>
      <xdr:rowOff>29882</xdr:rowOff>
    </xdr:from>
    <xdr:to>
      <xdr:col>22</xdr:col>
      <xdr:colOff>59764</xdr:colOff>
      <xdr:row>41</xdr:row>
      <xdr:rowOff>236070</xdr:rowOff>
    </xdr:to>
    <xdr:graphicFrame macro="">
      <xdr:nvGraphicFramePr>
        <xdr:cNvPr id="5" name="Chart 4">
          <a:extLst>
            <a:ext uri="{FF2B5EF4-FFF2-40B4-BE49-F238E27FC236}">
              <a16:creationId xmlns:a16="http://schemas.microsoft.com/office/drawing/2014/main" id="{C2B0EAD0-80E5-6BFD-681C-3B1E2850837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14</xdr:col>
      <xdr:colOff>234461</xdr:colOff>
      <xdr:row>86</xdr:row>
      <xdr:rowOff>136769</xdr:rowOff>
    </xdr:from>
    <xdr:to>
      <xdr:col>22</xdr:col>
      <xdr:colOff>58616</xdr:colOff>
      <xdr:row>99</xdr:row>
      <xdr:rowOff>52754</xdr:rowOff>
    </xdr:to>
    <xdr:graphicFrame macro="">
      <xdr:nvGraphicFramePr>
        <xdr:cNvPr id="2" name="Chart 1">
          <a:extLst>
            <a:ext uri="{FF2B5EF4-FFF2-40B4-BE49-F238E27FC236}">
              <a16:creationId xmlns:a16="http://schemas.microsoft.com/office/drawing/2014/main" id="{90079FE1-9077-DA52-C578-0BAA62E2AA5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273539</xdr:colOff>
      <xdr:row>99</xdr:row>
      <xdr:rowOff>156307</xdr:rowOff>
    </xdr:from>
    <xdr:to>
      <xdr:col>22</xdr:col>
      <xdr:colOff>58615</xdr:colOff>
      <xdr:row>114</xdr:row>
      <xdr:rowOff>13678</xdr:rowOff>
    </xdr:to>
    <xdr:graphicFrame macro="">
      <xdr:nvGraphicFramePr>
        <xdr:cNvPr id="3" name="Chart 2">
          <a:extLst>
            <a:ext uri="{FF2B5EF4-FFF2-40B4-BE49-F238E27FC236}">
              <a16:creationId xmlns:a16="http://schemas.microsoft.com/office/drawing/2014/main" id="{B5D7ADEB-3791-CF53-9D2F-8D16E940AE4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273537</xdr:colOff>
      <xdr:row>115</xdr:row>
      <xdr:rowOff>0</xdr:rowOff>
    </xdr:from>
    <xdr:to>
      <xdr:col>22</xdr:col>
      <xdr:colOff>58616</xdr:colOff>
      <xdr:row>134</xdr:row>
      <xdr:rowOff>91832</xdr:rowOff>
    </xdr:to>
    <xdr:graphicFrame macro="">
      <xdr:nvGraphicFramePr>
        <xdr:cNvPr id="4" name="Chart 3">
          <a:extLst>
            <a:ext uri="{FF2B5EF4-FFF2-40B4-BE49-F238E27FC236}">
              <a16:creationId xmlns:a16="http://schemas.microsoft.com/office/drawing/2014/main" id="{01CB58D5-629E-F6BC-CCAD-F5FF9EB21F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8</xdr:col>
      <xdr:colOff>647700</xdr:colOff>
      <xdr:row>79</xdr:row>
      <xdr:rowOff>76200</xdr:rowOff>
    </xdr:from>
    <xdr:to>
      <xdr:col>13</xdr:col>
      <xdr:colOff>228600</xdr:colOff>
      <xdr:row>94</xdr:row>
      <xdr:rowOff>152400</xdr:rowOff>
    </xdr:to>
    <xdr:graphicFrame macro="">
      <xdr:nvGraphicFramePr>
        <xdr:cNvPr id="2" name="Chart 1">
          <a:extLst>
            <a:ext uri="{FF2B5EF4-FFF2-40B4-BE49-F238E27FC236}">
              <a16:creationId xmlns:a16="http://schemas.microsoft.com/office/drawing/2014/main" id="{9E412C6F-81DC-2935-8A64-9D2F9B25C7D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685800</xdr:colOff>
      <xdr:row>95</xdr:row>
      <xdr:rowOff>190500</xdr:rowOff>
    </xdr:from>
    <xdr:to>
      <xdr:col>13</xdr:col>
      <xdr:colOff>215900</xdr:colOff>
      <xdr:row>112</xdr:row>
      <xdr:rowOff>152400</xdr:rowOff>
    </xdr:to>
    <xdr:graphicFrame macro="">
      <xdr:nvGraphicFramePr>
        <xdr:cNvPr id="3" name="Chart 2">
          <a:extLst>
            <a:ext uri="{FF2B5EF4-FFF2-40B4-BE49-F238E27FC236}">
              <a16:creationId xmlns:a16="http://schemas.microsoft.com/office/drawing/2014/main" id="{EE5ED158-C8A9-D003-8372-DFBC6319FA0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635000</xdr:colOff>
      <xdr:row>65</xdr:row>
      <xdr:rowOff>114300</xdr:rowOff>
    </xdr:from>
    <xdr:to>
      <xdr:col>13</xdr:col>
      <xdr:colOff>203200</xdr:colOff>
      <xdr:row>78</xdr:row>
      <xdr:rowOff>177800</xdr:rowOff>
    </xdr:to>
    <xdr:graphicFrame macro="">
      <xdr:nvGraphicFramePr>
        <xdr:cNvPr id="4" name="Chart 3">
          <a:extLst>
            <a:ext uri="{FF2B5EF4-FFF2-40B4-BE49-F238E27FC236}">
              <a16:creationId xmlns:a16="http://schemas.microsoft.com/office/drawing/2014/main" id="{DB513E6D-CBE9-073C-A87A-29605012092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723900</xdr:colOff>
      <xdr:row>113</xdr:row>
      <xdr:rowOff>63500</xdr:rowOff>
    </xdr:from>
    <xdr:to>
      <xdr:col>13</xdr:col>
      <xdr:colOff>177800</xdr:colOff>
      <xdr:row>127</xdr:row>
      <xdr:rowOff>63500</xdr:rowOff>
    </xdr:to>
    <xdr:graphicFrame macro="">
      <xdr:nvGraphicFramePr>
        <xdr:cNvPr id="5" name="Chart 4">
          <a:extLst>
            <a:ext uri="{FF2B5EF4-FFF2-40B4-BE49-F238E27FC236}">
              <a16:creationId xmlns:a16="http://schemas.microsoft.com/office/drawing/2014/main" id="{4A70B6E8-3F00-14DA-E72D-6264641A672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819150</xdr:colOff>
      <xdr:row>114</xdr:row>
      <xdr:rowOff>25400</xdr:rowOff>
    </xdr:from>
    <xdr:to>
      <xdr:col>2</xdr:col>
      <xdr:colOff>1168400</xdr:colOff>
      <xdr:row>130</xdr:row>
      <xdr:rowOff>184150</xdr:rowOff>
    </xdr:to>
    <xdr:graphicFrame macro="">
      <xdr:nvGraphicFramePr>
        <xdr:cNvPr id="2" name="Chart 1">
          <a:extLst>
            <a:ext uri="{FF2B5EF4-FFF2-40B4-BE49-F238E27FC236}">
              <a16:creationId xmlns:a16="http://schemas.microsoft.com/office/drawing/2014/main" id="{DCD9AD25-A0F8-23D9-E644-0DC4F0A132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717550</xdr:colOff>
      <xdr:row>131</xdr:row>
      <xdr:rowOff>139700</xdr:rowOff>
    </xdr:from>
    <xdr:to>
      <xdr:col>2</xdr:col>
      <xdr:colOff>1320800</xdr:colOff>
      <xdr:row>147</xdr:row>
      <xdr:rowOff>57150</xdr:rowOff>
    </xdr:to>
    <xdr:graphicFrame macro="">
      <xdr:nvGraphicFramePr>
        <xdr:cNvPr id="3" name="Chart 2">
          <a:extLst>
            <a:ext uri="{FF2B5EF4-FFF2-40B4-BE49-F238E27FC236}">
              <a16:creationId xmlns:a16="http://schemas.microsoft.com/office/drawing/2014/main" id="{80D43390-E2FB-0B5A-01DC-87D8387824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596899</xdr:colOff>
      <xdr:row>63</xdr:row>
      <xdr:rowOff>158751</xdr:rowOff>
    </xdr:from>
    <xdr:to>
      <xdr:col>17</xdr:col>
      <xdr:colOff>218281</xdr:colOff>
      <xdr:row>77</xdr:row>
      <xdr:rowOff>209551</xdr:rowOff>
    </xdr:to>
    <xdr:graphicFrame macro="">
      <xdr:nvGraphicFramePr>
        <xdr:cNvPr id="6" name="Chart 5">
          <a:extLst>
            <a:ext uri="{FF2B5EF4-FFF2-40B4-BE49-F238E27FC236}">
              <a16:creationId xmlns:a16="http://schemas.microsoft.com/office/drawing/2014/main" id="{2E14229A-238B-2C9F-9419-997E87D1307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298450</xdr:colOff>
      <xdr:row>130</xdr:row>
      <xdr:rowOff>127000</xdr:rowOff>
    </xdr:from>
    <xdr:to>
      <xdr:col>7</xdr:col>
      <xdr:colOff>1079500</xdr:colOff>
      <xdr:row>146</xdr:row>
      <xdr:rowOff>31750</xdr:rowOff>
    </xdr:to>
    <xdr:graphicFrame macro="">
      <xdr:nvGraphicFramePr>
        <xdr:cNvPr id="4" name="Chart 3">
          <a:extLst>
            <a:ext uri="{FF2B5EF4-FFF2-40B4-BE49-F238E27FC236}">
              <a16:creationId xmlns:a16="http://schemas.microsoft.com/office/drawing/2014/main" id="{638BBD96-CBBF-F8DC-CD4A-D583D3F1A99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14</xdr:col>
      <xdr:colOff>374650</xdr:colOff>
      <xdr:row>16</xdr:row>
      <xdr:rowOff>228600</xdr:rowOff>
    </xdr:from>
    <xdr:to>
      <xdr:col>20</xdr:col>
      <xdr:colOff>596900</xdr:colOff>
      <xdr:row>29</xdr:row>
      <xdr:rowOff>120650</xdr:rowOff>
    </xdr:to>
    <xdr:graphicFrame macro="">
      <xdr:nvGraphicFramePr>
        <xdr:cNvPr id="2" name="Chart 1">
          <a:extLst>
            <a:ext uri="{FF2B5EF4-FFF2-40B4-BE49-F238E27FC236}">
              <a16:creationId xmlns:a16="http://schemas.microsoft.com/office/drawing/2014/main" id="{6E5C9987-237F-71D1-BEC7-A9E7E017DD3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393700</xdr:colOff>
      <xdr:row>29</xdr:row>
      <xdr:rowOff>139700</xdr:rowOff>
    </xdr:from>
    <xdr:to>
      <xdr:col>20</xdr:col>
      <xdr:colOff>635000</xdr:colOff>
      <xdr:row>41</xdr:row>
      <xdr:rowOff>101600</xdr:rowOff>
    </xdr:to>
    <xdr:graphicFrame macro="">
      <xdr:nvGraphicFramePr>
        <xdr:cNvPr id="3" name="Chart 2">
          <a:extLst>
            <a:ext uri="{FF2B5EF4-FFF2-40B4-BE49-F238E27FC236}">
              <a16:creationId xmlns:a16="http://schemas.microsoft.com/office/drawing/2014/main" id="{FE0FB3FC-6652-CCC8-B8A5-3770E30C4E2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355600</xdr:colOff>
      <xdr:row>5</xdr:row>
      <xdr:rowOff>0</xdr:rowOff>
    </xdr:from>
    <xdr:to>
      <xdr:col>20</xdr:col>
      <xdr:colOff>584200</xdr:colOff>
      <xdr:row>16</xdr:row>
      <xdr:rowOff>177800</xdr:rowOff>
    </xdr:to>
    <xdr:graphicFrame macro="">
      <xdr:nvGraphicFramePr>
        <xdr:cNvPr id="4" name="Chart 3">
          <a:extLst>
            <a:ext uri="{FF2B5EF4-FFF2-40B4-BE49-F238E27FC236}">
              <a16:creationId xmlns:a16="http://schemas.microsoft.com/office/drawing/2014/main" id="{028E6A37-5F88-9608-E5A1-14FAA97EDB8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419100</xdr:colOff>
      <xdr:row>41</xdr:row>
      <xdr:rowOff>203200</xdr:rowOff>
    </xdr:from>
    <xdr:to>
      <xdr:col>20</xdr:col>
      <xdr:colOff>647700</xdr:colOff>
      <xdr:row>55</xdr:row>
      <xdr:rowOff>0</xdr:rowOff>
    </xdr:to>
    <xdr:graphicFrame macro="">
      <xdr:nvGraphicFramePr>
        <xdr:cNvPr id="5" name="Chart 4">
          <a:extLst>
            <a:ext uri="{FF2B5EF4-FFF2-40B4-BE49-F238E27FC236}">
              <a16:creationId xmlns:a16="http://schemas.microsoft.com/office/drawing/2014/main" id="{FE94ABDD-06DA-54DB-409F-655F422DE32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20</xdr:col>
      <xdr:colOff>812800</xdr:colOff>
      <xdr:row>5</xdr:row>
      <xdr:rowOff>12700</xdr:rowOff>
    </xdr:from>
    <xdr:to>
      <xdr:col>27</xdr:col>
      <xdr:colOff>114300</xdr:colOff>
      <xdr:row>16</xdr:row>
      <xdr:rowOff>190500</xdr:rowOff>
    </xdr:to>
    <xdr:graphicFrame macro="">
      <xdr:nvGraphicFramePr>
        <xdr:cNvPr id="6" name="Chart 5">
          <a:extLst>
            <a:ext uri="{FF2B5EF4-FFF2-40B4-BE49-F238E27FC236}">
              <a16:creationId xmlns:a16="http://schemas.microsoft.com/office/drawing/2014/main" id="{F56D1024-7384-A631-C78E-0CAAAA4C6F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21</xdr:col>
      <xdr:colOff>25400</xdr:colOff>
      <xdr:row>17</xdr:row>
      <xdr:rowOff>88900</xdr:rowOff>
    </xdr:from>
    <xdr:to>
      <xdr:col>27</xdr:col>
      <xdr:colOff>88900</xdr:colOff>
      <xdr:row>28</xdr:row>
      <xdr:rowOff>203200</xdr:rowOff>
    </xdr:to>
    <xdr:graphicFrame macro="">
      <xdr:nvGraphicFramePr>
        <xdr:cNvPr id="7" name="Chart 6">
          <a:extLst>
            <a:ext uri="{FF2B5EF4-FFF2-40B4-BE49-F238E27FC236}">
              <a16:creationId xmlns:a16="http://schemas.microsoft.com/office/drawing/2014/main" id="{3E3F1574-5854-E8F0-1233-07315DB8C3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edvardtsymbala/Downloads/NAS_PYPL_CashFlowModel_20240208.xls" TargetMode="External"/><Relationship Id="rId1" Type="http://schemas.openxmlformats.org/officeDocument/2006/relationships/externalLinkPath" Target="/Users/edvardtsymbala/Downloads/NAS_PYPL_CashFlowModel_20240208.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BreakPoints"/>
      <sheetName val="DTDOverride"/>
      <sheetName val="PB_CACHE"/>
      <sheetName val="Summary"/>
      <sheetName val="Inputs"/>
      <sheetName val="Debt"/>
      <sheetName val="ROIC"/>
      <sheetName val="Audit"/>
      <sheetName val="Buildup"/>
      <sheetName val="PwPrivate"/>
      <sheetName val="_FreeForm"/>
      <sheetName val="Scenarios"/>
    </sheetNames>
    <sheetDataSet>
      <sheetData sheetId="0"/>
      <sheetData sheetId="1"/>
      <sheetData sheetId="2"/>
      <sheetData sheetId="3"/>
      <sheetData sheetId="4"/>
      <sheetData sheetId="5"/>
      <sheetData sheetId="6"/>
      <sheetData sheetId="7"/>
      <sheetData sheetId="8"/>
      <sheetData sheetId="9"/>
      <sheetData sheetId="10"/>
      <sheetData sheetId="11"/>
    </sheetDataSet>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6.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F92888-B179-204E-82BD-E31E44BBD2DA}">
  <dimension ref="B2:H8"/>
  <sheetViews>
    <sheetView showGridLines="0" tabSelected="1" workbookViewId="0">
      <selection activeCell="J6" sqref="J6"/>
    </sheetView>
  </sheetViews>
  <sheetFormatPr baseColWidth="10" defaultRowHeight="16" x14ac:dyDescent="0.2"/>
  <sheetData>
    <row r="2" spans="2:8" ht="34" x14ac:dyDescent="0.4">
      <c r="B2" s="361" t="s">
        <v>156</v>
      </c>
      <c r="C2" s="361"/>
      <c r="D2" s="361"/>
      <c r="E2" s="361"/>
      <c r="F2" s="361"/>
      <c r="G2" s="361"/>
      <c r="H2" s="361"/>
    </row>
    <row r="3" spans="2:8" ht="34" x14ac:dyDescent="0.4">
      <c r="B3" s="361" t="s">
        <v>157</v>
      </c>
      <c r="C3" s="361"/>
      <c r="D3" s="361"/>
      <c r="E3" s="361"/>
      <c r="F3" s="361"/>
      <c r="G3" s="361"/>
      <c r="H3" s="361"/>
    </row>
    <row r="4" spans="2:8" ht="35" thickBot="1" x14ac:dyDescent="0.45">
      <c r="B4" s="362" t="s">
        <v>155</v>
      </c>
      <c r="C4" s="362"/>
      <c r="D4" s="362"/>
      <c r="E4" s="362"/>
      <c r="F4" s="362"/>
      <c r="G4" s="362"/>
      <c r="H4" s="362"/>
    </row>
    <row r="5" spans="2:8" ht="9" customHeight="1" x14ac:dyDescent="0.4">
      <c r="B5" s="13"/>
      <c r="C5" s="13"/>
      <c r="D5" s="13"/>
      <c r="E5" s="13"/>
      <c r="F5" s="14"/>
      <c r="G5" s="14"/>
      <c r="H5" s="14"/>
    </row>
    <row r="6" spans="2:8" ht="34" x14ac:dyDescent="0.4">
      <c r="B6" s="361" t="s">
        <v>158</v>
      </c>
      <c r="C6" s="361"/>
      <c r="D6" s="361"/>
      <c r="E6" s="361"/>
      <c r="F6" s="361"/>
      <c r="G6" s="361"/>
      <c r="H6" s="361"/>
    </row>
    <row r="7" spans="2:8" ht="34" x14ac:dyDescent="0.4">
      <c r="B7" s="13"/>
      <c r="C7" s="13"/>
      <c r="D7" s="13"/>
      <c r="E7" s="13"/>
      <c r="F7" s="14"/>
      <c r="G7" s="14"/>
      <c r="H7" s="14"/>
    </row>
    <row r="8" spans="2:8" ht="34" x14ac:dyDescent="0.4">
      <c r="B8" s="11"/>
      <c r="C8" s="11"/>
      <c r="D8" s="11"/>
      <c r="E8" s="11"/>
      <c r="F8" s="12"/>
      <c r="G8" s="12"/>
      <c r="H8" s="12"/>
    </row>
  </sheetData>
  <mergeCells count="4">
    <mergeCell ref="B2:H2"/>
    <mergeCell ref="B3:H3"/>
    <mergeCell ref="B4:H4"/>
    <mergeCell ref="B6:H6"/>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DCAF36-5918-234E-BDC3-6F66EA3E25F1}">
  <dimension ref="A2:P153"/>
  <sheetViews>
    <sheetView showGridLines="0" topLeftCell="A83" zoomScale="108" zoomScaleNormal="100" workbookViewId="0">
      <selection activeCell="X19" sqref="X19"/>
    </sheetView>
  </sheetViews>
  <sheetFormatPr baseColWidth="10" defaultRowHeight="16" x14ac:dyDescent="0.2"/>
  <cols>
    <col min="1" max="1" width="17.83203125" bestFit="1" customWidth="1"/>
    <col min="2" max="2" width="4.6640625" customWidth="1"/>
    <col min="4" max="4" width="10.6640625" customWidth="1"/>
    <col min="5" max="5" width="19.1640625" bestFit="1" customWidth="1"/>
    <col min="6" max="6" width="15.83203125" bestFit="1" customWidth="1"/>
    <col min="7" max="7" width="16.6640625" bestFit="1" customWidth="1"/>
    <col min="8" max="8" width="16.33203125" bestFit="1" customWidth="1"/>
    <col min="9" max="9" width="18.6640625" bestFit="1" customWidth="1"/>
    <col min="10" max="11" width="17.1640625" bestFit="1" customWidth="1"/>
    <col min="12" max="12" width="10.83203125" customWidth="1"/>
  </cols>
  <sheetData>
    <row r="2" spans="1:16" ht="26" x14ac:dyDescent="0.2">
      <c r="A2" s="363" t="s">
        <v>640</v>
      </c>
      <c r="B2" s="364"/>
      <c r="C2" s="364"/>
      <c r="D2" s="364"/>
      <c r="E2" s="364"/>
      <c r="F2" s="364"/>
      <c r="G2" s="364"/>
      <c r="H2" s="61"/>
      <c r="I2" s="61"/>
      <c r="J2" s="61"/>
      <c r="K2" s="61"/>
    </row>
    <row r="3" spans="1:16" x14ac:dyDescent="0.2">
      <c r="E3" s="260"/>
      <c r="F3" s="260"/>
      <c r="G3" s="260"/>
    </row>
    <row r="4" spans="1:16" ht="17" x14ac:dyDescent="0.2">
      <c r="A4" s="253" t="s">
        <v>641</v>
      </c>
      <c r="B4" s="253"/>
      <c r="C4" s="254" t="s">
        <v>642</v>
      </c>
      <c r="D4" s="247"/>
      <c r="E4" s="253" t="s">
        <v>524</v>
      </c>
      <c r="F4" s="253"/>
      <c r="G4" s="253" t="s">
        <v>521</v>
      </c>
      <c r="H4" s="246"/>
      <c r="I4" s="253" t="s">
        <v>522</v>
      </c>
      <c r="J4" s="253"/>
      <c r="K4" s="253" t="s">
        <v>523</v>
      </c>
      <c r="L4" s="246"/>
      <c r="M4" s="246"/>
      <c r="N4" s="246"/>
      <c r="O4" s="246"/>
      <c r="P4" s="247"/>
    </row>
    <row r="5" spans="1:16" x14ac:dyDescent="0.2">
      <c r="A5" s="255">
        <f>WACC!I73</f>
        <v>59.16</v>
      </c>
      <c r="B5" s="253"/>
      <c r="C5" s="256">
        <f>'Fair Value Estimate'!H17</f>
        <v>89.724397675989053</v>
      </c>
      <c r="D5" s="248"/>
      <c r="E5" s="257" t="str">
        <f>WACC!C21</f>
        <v>Very High</v>
      </c>
      <c r="F5" s="257"/>
      <c r="G5" s="257" t="str">
        <f>WACC!C18</f>
        <v>Standard</v>
      </c>
      <c r="H5" s="246"/>
      <c r="I5" s="257" t="str">
        <f>WACC!C19</f>
        <v>Narrow</v>
      </c>
      <c r="J5" s="257"/>
      <c r="K5" s="257" t="str">
        <f>WACC!C20</f>
        <v>Stable</v>
      </c>
      <c r="L5" s="246"/>
      <c r="M5" s="246"/>
      <c r="N5" s="246"/>
      <c r="O5" s="246"/>
      <c r="P5" s="247"/>
    </row>
    <row r="6" spans="1:16" ht="7" customHeight="1" thickBot="1" x14ac:dyDescent="0.25">
      <c r="A6" s="249" t="str">
        <f>IF([1]Inputs!H526="",[1]Inputs!B6&amp;" "&amp;[1]Inputs!H525,[1]Inputs!B6&amp;" "&amp;[1]Inputs!H526)</f>
        <v xml:space="preserve"> </v>
      </c>
      <c r="B6" s="250"/>
      <c r="C6" s="249" t="str">
        <f>IF([1]Inputs!H526="",[1]Inputs!H542&amp;" "&amp;[1]Inputs!H525,[1]Inputs!H542&amp;" "&amp;[1]Inputs!H526)</f>
        <v xml:space="preserve"> </v>
      </c>
      <c r="D6" s="251"/>
      <c r="E6" s="250"/>
      <c r="F6" s="250"/>
      <c r="G6" s="252"/>
      <c r="H6" s="251"/>
      <c r="I6" s="250"/>
      <c r="J6" s="250"/>
      <c r="K6" s="250"/>
      <c r="L6" s="247"/>
      <c r="M6" s="247"/>
      <c r="N6" s="247"/>
      <c r="O6" s="247"/>
      <c r="P6" s="247"/>
    </row>
    <row r="7" spans="1:16" x14ac:dyDescent="0.2">
      <c r="A7" s="257"/>
      <c r="B7" s="257"/>
      <c r="C7" s="258"/>
      <c r="E7" s="261" t="s">
        <v>646</v>
      </c>
      <c r="F7" s="261"/>
      <c r="G7" s="262">
        <f>WACC!C35</f>
        <v>0.12948400000000002</v>
      </c>
      <c r="I7" s="260" t="s">
        <v>765</v>
      </c>
      <c r="J7" s="331">
        <f>C10/Forecast!H47</f>
        <v>15.036738797404411</v>
      </c>
      <c r="K7" s="328">
        <f>C5/Forecast!H47</f>
        <v>22.80531324557618</v>
      </c>
    </row>
    <row r="8" spans="1:16" x14ac:dyDescent="0.2">
      <c r="A8" s="257" t="s">
        <v>643</v>
      </c>
      <c r="B8" s="257"/>
      <c r="C8" s="258">
        <f>C5</f>
        <v>89.724397675989053</v>
      </c>
      <c r="E8" s="257" t="s">
        <v>647</v>
      </c>
      <c r="F8" s="257"/>
      <c r="G8" s="264">
        <f>WACC!C36</f>
        <v>3.2500000000000001E-2</v>
      </c>
      <c r="I8" s="329" t="s">
        <v>766</v>
      </c>
      <c r="J8" s="332">
        <f>(C10*1*Forecast!H48+Forecast!G115+Forecast!G120+Forecast!G126-Forecast!G95-Forecast!G96)/Forecast!H88</f>
        <v>7.7151207872221672</v>
      </c>
      <c r="K8" s="328">
        <f>(C5*1*Forecast!H48+Forecast!G115+Forecast!G120+Forecast!G126-Forecast!G95-Forecast!G96)/Forecast!H88</f>
        <v>12.002577825798225</v>
      </c>
    </row>
    <row r="9" spans="1:16" x14ac:dyDescent="0.2">
      <c r="A9" s="257"/>
      <c r="B9" s="257"/>
      <c r="C9" s="258"/>
      <c r="E9" s="257" t="s">
        <v>648</v>
      </c>
      <c r="F9" s="257"/>
      <c r="G9" s="263">
        <f>WACC</f>
        <v>0.11251257228715404</v>
      </c>
      <c r="I9" s="257" t="s">
        <v>767</v>
      </c>
      <c r="J9" s="333">
        <f>(C10*1*Forecast!H48+Forecast!G115+Forecast!G120+Forecast!G126-Forecast!G95-Forecast!G96)/Forecast!H5</f>
        <v>1.7981138331330271</v>
      </c>
      <c r="K9" s="334">
        <f>(C5*1*Forecast!H48+Forecast!G115+Forecast!G120+Forecast!G126-Forecast!G95-Forecast!G96)/Forecast!H5</f>
        <v>2.7973640098503405</v>
      </c>
    </row>
    <row r="10" spans="1:16" x14ac:dyDescent="0.2">
      <c r="A10" s="257" t="s">
        <v>644</v>
      </c>
      <c r="B10" s="257"/>
      <c r="C10" s="258">
        <f>A5</f>
        <v>59.16</v>
      </c>
      <c r="E10" s="257" t="s">
        <v>649</v>
      </c>
      <c r="F10" s="257"/>
      <c r="G10" s="263">
        <f>AVERAGE(ROIC!G94:L94)</f>
        <v>0.17810832021576126</v>
      </c>
      <c r="I10" s="257" t="s">
        <v>768</v>
      </c>
      <c r="J10" s="221">
        <f>C10*(1)/(Forecast!H132/Forecast!H48)</f>
        <v>2.6961761424078436</v>
      </c>
      <c r="K10" s="328">
        <f>C5*(1)/(Forecast!H132/Forecast!H48)</f>
        <v>4.0891274578417089</v>
      </c>
    </row>
    <row r="11" spans="1:16" x14ac:dyDescent="0.2">
      <c r="A11" s="257" t="s">
        <v>645</v>
      </c>
      <c r="B11" s="257"/>
      <c r="C11" s="259">
        <f>IF(ISERROR(C10/C8),"N/A",C10/C8)</f>
        <v>0.65935243403513732</v>
      </c>
      <c r="E11" s="257" t="s">
        <v>650</v>
      </c>
      <c r="F11" s="257"/>
      <c r="G11" s="263">
        <f>AVERAGE(F39:K39)</f>
        <v>0.25029372840500008</v>
      </c>
      <c r="I11" s="257" t="s">
        <v>769</v>
      </c>
      <c r="J11" s="330">
        <f>((Forecast!H157+Forecast!H160)/Forecast!H49)/C10</f>
        <v>9.0747386555788664E-2</v>
      </c>
      <c r="K11" s="330">
        <f>((Forecast!H157+Forecast!H160)/Forecast!H49)/C5</f>
        <v>5.9834510207886743E-2</v>
      </c>
    </row>
    <row r="12" spans="1:16" x14ac:dyDescent="0.2">
      <c r="A12" s="257"/>
      <c r="B12" s="257"/>
      <c r="C12" s="259"/>
      <c r="E12" s="257"/>
      <c r="F12" s="257"/>
      <c r="G12" s="263"/>
      <c r="I12" s="257" t="s">
        <v>770</v>
      </c>
      <c r="J12" s="330">
        <v>0</v>
      </c>
      <c r="K12" s="330">
        <v>0</v>
      </c>
    </row>
    <row r="13" spans="1:16" x14ac:dyDescent="0.2">
      <c r="I13" s="247"/>
      <c r="J13" s="260" t="s">
        <v>771</v>
      </c>
      <c r="K13" s="260" t="s">
        <v>642</v>
      </c>
    </row>
    <row r="14" spans="1:16" ht="19" x14ac:dyDescent="0.2">
      <c r="F14" s="317" t="s">
        <v>759</v>
      </c>
      <c r="G14" s="318"/>
      <c r="H14" s="318"/>
      <c r="I14" s="318"/>
      <c r="J14" s="318"/>
      <c r="K14" s="318"/>
      <c r="L14" s="279"/>
      <c r="M14" s="279"/>
    </row>
    <row r="15" spans="1:16" ht="19" x14ac:dyDescent="0.2">
      <c r="E15" s="278"/>
      <c r="F15" s="278"/>
      <c r="G15" s="279"/>
      <c r="H15" s="279"/>
      <c r="I15" s="279"/>
      <c r="J15" s="279"/>
      <c r="K15" s="279"/>
      <c r="L15" s="279"/>
      <c r="M15" s="279"/>
    </row>
    <row r="16" spans="1:16" ht="19" x14ac:dyDescent="0.2">
      <c r="A16" s="299" t="s">
        <v>721</v>
      </c>
      <c r="B16" s="299"/>
      <c r="C16" s="300"/>
      <c r="D16" s="301"/>
      <c r="E16" s="312">
        <v>2023</v>
      </c>
      <c r="F16" s="316">
        <v>2024</v>
      </c>
      <c r="G16" s="316">
        <v>2025</v>
      </c>
      <c r="H16" s="316">
        <v>2026</v>
      </c>
      <c r="I16" s="316">
        <v>2027</v>
      </c>
      <c r="J16" s="316">
        <v>2028</v>
      </c>
      <c r="K16" s="316">
        <v>2029</v>
      </c>
    </row>
    <row r="17" spans="1:11" ht="19" x14ac:dyDescent="0.25">
      <c r="A17" s="280" t="s">
        <v>696</v>
      </c>
      <c r="B17" s="280"/>
      <c r="C17" s="279"/>
      <c r="E17" s="292">
        <f>Forecast!G5</f>
        <v>29771000</v>
      </c>
      <c r="F17" s="95">
        <f>Forecast!H5</f>
        <v>32208461.407079004</v>
      </c>
      <c r="G17" s="95">
        <f>Forecast!I5</f>
        <v>34845486.755946979</v>
      </c>
      <c r="H17" s="95">
        <f>Forecast!J5</f>
        <v>37698415.081448413</v>
      </c>
      <c r="I17" s="95">
        <f>Forecast!K5</f>
        <v>40784923.155381955</v>
      </c>
      <c r="J17" s="95">
        <f>Forecast!L5</f>
        <v>44124135.011951312</v>
      </c>
      <c r="K17" s="95">
        <f>Forecast!M5</f>
        <v>47736740.440468147</v>
      </c>
    </row>
    <row r="18" spans="1:11" ht="19" x14ac:dyDescent="0.25">
      <c r="A18" s="280" t="s">
        <v>1</v>
      </c>
      <c r="B18" s="280"/>
      <c r="C18" s="279"/>
      <c r="E18" s="292">
        <f>Forecast!G9</f>
        <v>13704000</v>
      </c>
      <c r="F18" s="95">
        <f>Forecast!H9</f>
        <v>14825996.947452575</v>
      </c>
      <c r="G18" s="95">
        <f>Forecast!I9</f>
        <v>16039855.916949291</v>
      </c>
      <c r="H18" s="95">
        <f>Forecast!J9</f>
        <v>17353097.990533374</v>
      </c>
      <c r="I18" s="95">
        <f>Forecast!K9</f>
        <v>18773860.028932661</v>
      </c>
      <c r="J18" s="95">
        <f>Forecast!L9</f>
        <v>20310945.087628253</v>
      </c>
      <c r="K18" s="95">
        <f>Forecast!M9</f>
        <v>21973876.960672315</v>
      </c>
    </row>
    <row r="19" spans="1:11" ht="19" x14ac:dyDescent="0.25">
      <c r="A19" s="280" t="s">
        <v>490</v>
      </c>
      <c r="B19" s="280"/>
      <c r="C19" s="279"/>
      <c r="E19" s="292">
        <f>Forecast!G23</f>
        <v>4944000</v>
      </c>
      <c r="F19" s="95">
        <f>Forecast!H23</f>
        <v>5348783.4871720318</v>
      </c>
      <c r="G19" s="95">
        <f>Forecast!I23</f>
        <v>5786708.0891270619</v>
      </c>
      <c r="H19" s="95">
        <f>Forecast!J23</f>
        <v>6260487.1909805164</v>
      </c>
      <c r="I19" s="95">
        <f>Forecast!K23</f>
        <v>6773056.3326797318</v>
      </c>
      <c r="J19" s="95">
        <f>Forecast!L23</f>
        <v>7327591.3976382129</v>
      </c>
      <c r="K19" s="95">
        <f>Forecast!M23</f>
        <v>7927528.2905402742</v>
      </c>
    </row>
    <row r="20" spans="1:11" ht="19" x14ac:dyDescent="0.25">
      <c r="A20" s="280" t="s">
        <v>25</v>
      </c>
      <c r="B20" s="280"/>
      <c r="C20" s="279"/>
      <c r="E20" s="292">
        <f>Forecast!G41</f>
        <v>4246000</v>
      </c>
      <c r="F20" s="95">
        <f>Forecast!H41</f>
        <v>4158622.4807465617</v>
      </c>
      <c r="G20" s="95">
        <f>Forecast!I41</f>
        <v>4584280.3770898338</v>
      </c>
      <c r="H20" s="95">
        <f>Forecast!J41</f>
        <v>4991300.6841464303</v>
      </c>
      <c r="I20" s="95">
        <f>Forecast!K41</f>
        <v>5431645.2426674655</v>
      </c>
      <c r="J20" s="95">
        <f>Forecast!L41</f>
        <v>5908042.4318429083</v>
      </c>
      <c r="K20" s="95">
        <f>Forecast!M41</f>
        <v>6423444.0133147491</v>
      </c>
    </row>
    <row r="21" spans="1:11" ht="19" x14ac:dyDescent="0.25">
      <c r="A21" s="280" t="s">
        <v>722</v>
      </c>
      <c r="B21" s="280"/>
      <c r="C21" s="279"/>
      <c r="E21" s="292">
        <f>Forecast!G90</f>
        <v>5646000</v>
      </c>
      <c r="F21" s="95">
        <f>Forecast!H90</f>
        <v>5397818.6831654496</v>
      </c>
      <c r="G21" s="95">
        <f>Forecast!I90</f>
        <v>5898246.3482709816</v>
      </c>
      <c r="H21" s="95">
        <f>Forecast!J90</f>
        <v>6372116.262782705</v>
      </c>
      <c r="I21" s="95">
        <f>Forecast!K90</f>
        <v>6870368.4412332913</v>
      </c>
      <c r="J21" s="95">
        <f>Forecast!L90</f>
        <v>7428058.2314582989</v>
      </c>
      <c r="K21" s="95">
        <f>Forecast!M90</f>
        <v>8063976.5037079193</v>
      </c>
    </row>
    <row r="22" spans="1:11" ht="19" x14ac:dyDescent="0.25">
      <c r="A22" s="280" t="s">
        <v>723</v>
      </c>
      <c r="B22" s="280"/>
      <c r="C22" s="279"/>
      <c r="E22" s="293">
        <f>Forecast!G91</f>
        <v>5.1106660000000002</v>
      </c>
      <c r="F22" s="114">
        <f>Forecast!H91</f>
        <v>5.1067347995888834</v>
      </c>
      <c r="G22" s="114">
        <f>Forecast!I91</f>
        <v>5.857245628868899</v>
      </c>
      <c r="H22" s="114">
        <f>Forecast!J91</f>
        <v>6.6584286967426385</v>
      </c>
      <c r="I22" s="114">
        <f>Forecast!K91</f>
        <v>7.5748273883498252</v>
      </c>
      <c r="J22" s="114">
        <f>Forecast!L91</f>
        <v>8.6675125221217026</v>
      </c>
      <c r="K22" s="114">
        <f>Forecast!M91</f>
        <v>9.992535940158513</v>
      </c>
    </row>
    <row r="23" spans="1:11" ht="19" x14ac:dyDescent="0.25">
      <c r="A23" s="280" t="s">
        <v>724</v>
      </c>
      <c r="B23" s="280"/>
      <c r="C23" s="279"/>
      <c r="E23" s="292">
        <f>Forecast!G83</f>
        <v>7184000</v>
      </c>
      <c r="F23" s="95">
        <f>Forecast!H83</f>
        <v>7086768.7688276749</v>
      </c>
      <c r="G23" s="95">
        <f>Forecast!I83</f>
        <v>7666988.626236232</v>
      </c>
      <c r="H23" s="95">
        <f>Forecast!J83</f>
        <v>8294713.2201351468</v>
      </c>
      <c r="I23" s="95">
        <f>Forecast!K83</f>
        <v>8973831.9382456336</v>
      </c>
      <c r="J23" s="95">
        <f>Forecast!L83</f>
        <v>9708552.6067850441</v>
      </c>
      <c r="K23" s="95">
        <f>Forecast!M83</f>
        <v>10503427.5621992</v>
      </c>
    </row>
    <row r="24" spans="1:11" ht="19" x14ac:dyDescent="0.2">
      <c r="A24" s="280"/>
      <c r="B24" s="280"/>
      <c r="C24" s="279"/>
      <c r="E24" s="47"/>
    </row>
    <row r="25" spans="1:11" ht="19" x14ac:dyDescent="0.2">
      <c r="A25" s="281" t="s">
        <v>725</v>
      </c>
      <c r="B25" s="281"/>
      <c r="C25" s="281"/>
      <c r="D25" s="281"/>
      <c r="E25" s="281"/>
      <c r="F25" s="281"/>
      <c r="G25" s="281"/>
      <c r="H25" s="281"/>
      <c r="I25" s="281"/>
      <c r="J25" s="281"/>
      <c r="K25" s="281"/>
    </row>
    <row r="26" spans="1:11" ht="19" x14ac:dyDescent="0.25">
      <c r="A26" s="280" t="s">
        <v>696</v>
      </c>
      <c r="B26" s="280"/>
      <c r="C26" s="279"/>
      <c r="E26" s="158">
        <f>Ratios!G4</f>
        <v>8.1873682680427384E-2</v>
      </c>
      <c r="F26" s="289">
        <f>Ratios!H4</f>
        <v>8.1873682680427384E-2</v>
      </c>
      <c r="G26" s="289">
        <f>Ratios!I4</f>
        <v>8.1873682680427384E-2</v>
      </c>
      <c r="H26" s="289">
        <f>Ratios!J4</f>
        <v>8.1873682680427384E-2</v>
      </c>
      <c r="I26" s="289">
        <f>Ratios!K4</f>
        <v>8.1873682680427384E-2</v>
      </c>
      <c r="J26" s="289">
        <f>Ratios!L4</f>
        <v>8.1873682680427384E-2</v>
      </c>
      <c r="K26" s="289">
        <f>Ratios!M4</f>
        <v>8.1873682680427384E-2</v>
      </c>
    </row>
    <row r="27" spans="1:11" ht="19" x14ac:dyDescent="0.25">
      <c r="A27" s="280" t="s">
        <v>1</v>
      </c>
      <c r="B27" s="280"/>
      <c r="C27" s="279"/>
      <c r="E27" s="158">
        <f>Forecast!G9/Forecast!G5</f>
        <v>0.46031372812468507</v>
      </c>
      <c r="F27" s="289">
        <f>Forecast!H9/Forecast!H5</f>
        <v>0.46031372812468502</v>
      </c>
      <c r="G27" s="289">
        <f>Forecast!I9/Forecast!I5</f>
        <v>0.46031372812468502</v>
      </c>
      <c r="H27" s="289">
        <f>Forecast!J9/Forecast!J5</f>
        <v>0.46031372812468513</v>
      </c>
      <c r="I27" s="289">
        <f>Forecast!K9/Forecast!K5</f>
        <v>0.46031372812468502</v>
      </c>
      <c r="J27" s="289">
        <f>Forecast!L9/Forecast!L5</f>
        <v>0.46031372812468502</v>
      </c>
      <c r="K27" s="289">
        <f>Forecast!M9/Forecast!M5</f>
        <v>0.46031372812468507</v>
      </c>
    </row>
    <row r="28" spans="1:11" ht="19" x14ac:dyDescent="0.25">
      <c r="A28" s="280" t="s">
        <v>490</v>
      </c>
      <c r="B28" s="280"/>
      <c r="C28" s="279"/>
      <c r="E28" s="158">
        <f>Ratios!G5</f>
        <v>0.22255192878338281</v>
      </c>
      <c r="F28" s="289">
        <f>Ratios!H5</f>
        <v>8.1873682680427162E-2</v>
      </c>
      <c r="G28" s="289">
        <f>Ratios!I5</f>
        <v>8.187368268042694E-2</v>
      </c>
      <c r="H28" s="289">
        <f>Ratios!J5</f>
        <v>8.1873682680427828E-2</v>
      </c>
      <c r="I28" s="289">
        <f>Ratios!K5</f>
        <v>8.1873682680426718E-2</v>
      </c>
      <c r="J28" s="289">
        <f>Ratios!L5</f>
        <v>8.1873682680427606E-2</v>
      </c>
      <c r="K28" s="289">
        <f>Ratios!M5</f>
        <v>8.1873682680427606E-2</v>
      </c>
    </row>
    <row r="29" spans="1:11" ht="19" x14ac:dyDescent="0.25">
      <c r="A29" s="280" t="s">
        <v>25</v>
      </c>
      <c r="B29" s="280"/>
      <c r="C29" s="279"/>
      <c r="E29" s="158">
        <f>Ratios!G6</f>
        <v>0.75527077304671342</v>
      </c>
      <c r="F29" s="325">
        <f>Ratios!H6</f>
        <v>-2.0578784562750418E-2</v>
      </c>
      <c r="G29" s="289">
        <f>Ratios!I6</f>
        <v>0.10235550312969433</v>
      </c>
      <c r="H29" s="289">
        <f>Ratios!J6</f>
        <v>8.8786084963454748E-2</v>
      </c>
      <c r="I29" s="289">
        <f>Ratios!K6</f>
        <v>8.822240662031744E-2</v>
      </c>
      <c r="J29" s="289">
        <f>Ratios!L6</f>
        <v>8.7707714309685825E-2</v>
      </c>
      <c r="K29" s="289">
        <f>Ratios!M6</f>
        <v>8.7237285008982424E-2</v>
      </c>
    </row>
    <row r="30" spans="1:11" ht="19" x14ac:dyDescent="0.25">
      <c r="A30" s="280" t="s">
        <v>723</v>
      </c>
      <c r="B30" s="280"/>
      <c r="C30" s="279"/>
      <c r="E30" s="158">
        <f>Ratios!G8</f>
        <v>0.83732057416267947</v>
      </c>
      <c r="F30" s="289">
        <f>Ratios!H8</f>
        <v>2.4573892489199389E-2</v>
      </c>
      <c r="G30" s="289">
        <f>Ratios!I8</f>
        <v>0.15709013585708731</v>
      </c>
      <c r="H30" s="289">
        <f>Ratios!J8</f>
        <v>0.14567146035339507</v>
      </c>
      <c r="I30" s="289">
        <f>Ratios!K8</f>
        <v>0.1482126164670825</v>
      </c>
      <c r="J30" s="289">
        <f>Ratios!L8</f>
        <v>0.15116790767664523</v>
      </c>
      <c r="K30" s="289">
        <f>Ratios!M8</f>
        <v>0.15460018990421065</v>
      </c>
    </row>
    <row r="31" spans="1:11" ht="19" x14ac:dyDescent="0.25">
      <c r="A31" s="280" t="s">
        <v>724</v>
      </c>
      <c r="B31" s="280"/>
      <c r="C31" s="279"/>
      <c r="E31" s="158">
        <f>Ratios!G11</f>
        <v>0.13385237310974696</v>
      </c>
      <c r="F31" s="325">
        <f>Ratios!H11</f>
        <v>-8.765350652270576E-3</v>
      </c>
      <c r="G31" s="289">
        <f>Ratios!I11</f>
        <v>8.8999095825863073E-2</v>
      </c>
      <c r="H31" s="289">
        <f>Ratios!J11</f>
        <v>8.1873682680427828E-2</v>
      </c>
      <c r="I31" s="289">
        <f>Ratios!K11</f>
        <v>8.187368268042694E-2</v>
      </c>
      <c r="J31" s="289">
        <f>Ratios!L11</f>
        <v>8.187368268042805E-2</v>
      </c>
      <c r="K31" s="289">
        <f>Ratios!M11</f>
        <v>8.1873682680427384E-2</v>
      </c>
    </row>
    <row r="32" spans="1:11" ht="19" x14ac:dyDescent="0.2">
      <c r="A32" s="280"/>
      <c r="B32" s="280"/>
      <c r="C32" s="282"/>
      <c r="E32" s="47"/>
    </row>
    <row r="33" spans="1:11" ht="19" x14ac:dyDescent="0.2">
      <c r="A33" s="281" t="s">
        <v>726</v>
      </c>
      <c r="B33" s="281"/>
      <c r="C33" s="281"/>
      <c r="D33" s="281"/>
      <c r="E33" s="281"/>
      <c r="F33" s="281"/>
      <c r="G33" s="281"/>
      <c r="H33" s="281"/>
      <c r="I33" s="281"/>
      <c r="J33" s="281"/>
      <c r="K33" s="281"/>
    </row>
    <row r="34" spans="1:11" ht="19" x14ac:dyDescent="0.25">
      <c r="A34" s="280" t="s">
        <v>605</v>
      </c>
      <c r="B34" s="280"/>
      <c r="C34" s="279"/>
      <c r="E34" s="158">
        <f>Ratios!G14</f>
        <v>0.46031372812468507</v>
      </c>
      <c r="F34" s="289">
        <f>Ratios!H14</f>
        <v>0.46031372812468502</v>
      </c>
      <c r="G34" s="289">
        <f>Ratios!I14</f>
        <v>0.46031372812468502</v>
      </c>
      <c r="H34" s="289">
        <f>Ratios!J14</f>
        <v>0.46031372812468513</v>
      </c>
      <c r="I34" s="289">
        <f>Ratios!K14</f>
        <v>0.46031372812468502</v>
      </c>
      <c r="J34" s="289">
        <f>Ratios!L14</f>
        <v>0.46031372812468502</v>
      </c>
      <c r="K34" s="289">
        <f>Ratios!M14</f>
        <v>0.46031372812468507</v>
      </c>
    </row>
    <row r="35" spans="1:11" ht="19" x14ac:dyDescent="0.25">
      <c r="A35" s="280" t="s">
        <v>606</v>
      </c>
      <c r="B35" s="280"/>
      <c r="C35" s="279"/>
      <c r="E35" s="158">
        <f>Ratios!G15</f>
        <v>0.16606764972624366</v>
      </c>
      <c r="F35" s="289">
        <f>Ratios!H15</f>
        <v>0.16606764972624363</v>
      </c>
      <c r="G35" s="289">
        <f>Ratios!I15</f>
        <v>0.16606764972624355</v>
      </c>
      <c r="H35" s="289">
        <f>Ratios!J15</f>
        <v>0.16606764972624366</v>
      </c>
      <c r="I35" s="289">
        <f>Ratios!K15</f>
        <v>0.16606764972624358</v>
      </c>
      <c r="J35" s="289">
        <f>Ratios!L15</f>
        <v>0.16606764972624363</v>
      </c>
      <c r="K35" s="289">
        <f>Ratios!M15</f>
        <v>0.16606764972624366</v>
      </c>
    </row>
    <row r="36" spans="1:11" ht="19" x14ac:dyDescent="0.25">
      <c r="A36" s="280" t="s">
        <v>607</v>
      </c>
      <c r="B36" s="280"/>
      <c r="C36" s="279"/>
      <c r="E36" s="158">
        <f>Ratios!G16</f>
        <v>0.14262201471230393</v>
      </c>
      <c r="F36" s="289">
        <f>Ratios!H16</f>
        <v>0.12911583785969205</v>
      </c>
      <c r="G36" s="289">
        <f>Ratios!I16</f>
        <v>0.13156023358770982</v>
      </c>
      <c r="H36" s="289">
        <f>Ratios!J16</f>
        <v>0.13240080977841095</v>
      </c>
      <c r="I36" s="289">
        <f>Ratios!K16</f>
        <v>0.13317777311910195</v>
      </c>
      <c r="J36" s="289">
        <f>Ratios!L16</f>
        <v>0.13389593768223845</v>
      </c>
      <c r="K36" s="289">
        <f>Ratios!M16</f>
        <v>0.13455975322247526</v>
      </c>
    </row>
    <row r="37" spans="1:11" ht="19" x14ac:dyDescent="0.25">
      <c r="A37" s="280" t="s">
        <v>727</v>
      </c>
      <c r="B37" s="280"/>
      <c r="C37" s="279"/>
      <c r="E37" s="158">
        <f>Ratios!G19</f>
        <v>0.25437506298075307</v>
      </c>
      <c r="F37" s="289">
        <f>Ratios!H19</f>
        <v>0.23306360104057927</v>
      </c>
      <c r="G37" s="289">
        <f>Ratios!I19</f>
        <v>0.23459859950958972</v>
      </c>
      <c r="H37" s="289">
        <f>Ratios!J19</f>
        <v>0.23459859950958983</v>
      </c>
      <c r="I37" s="289">
        <f>Ratios!K19</f>
        <v>0.23459859950958975</v>
      </c>
      <c r="J37" s="289">
        <f>Ratios!L19</f>
        <v>0.23459859950958986</v>
      </c>
      <c r="K37" s="289">
        <f>Ratios!M19</f>
        <v>0.23459859950958989</v>
      </c>
    </row>
    <row r="38" spans="1:11" ht="19" x14ac:dyDescent="0.25">
      <c r="A38" s="280" t="s">
        <v>612</v>
      </c>
      <c r="B38" s="280"/>
      <c r="C38" s="279"/>
      <c r="E38" s="158">
        <f>Ratios!G22</f>
        <v>0.2054930429522081</v>
      </c>
      <c r="F38" s="289">
        <f>Ratios!H22</f>
        <v>0.18835994861459363</v>
      </c>
      <c r="G38" s="289">
        <f>Ratios!I22</f>
        <v>0.18912213422139401</v>
      </c>
      <c r="H38" s="289">
        <f>Ratios!J22</f>
        <v>0.18766488974639023</v>
      </c>
      <c r="I38" s="289">
        <f>Ratios!K22</f>
        <v>0.18643289338697538</v>
      </c>
      <c r="J38" s="289">
        <f>Ratios!L22</f>
        <v>0.18541849013145767</v>
      </c>
      <c r="K38" s="289">
        <f>Ratios!M22</f>
        <v>0.18461476883657713</v>
      </c>
    </row>
    <row r="39" spans="1:11" ht="19" x14ac:dyDescent="0.25">
      <c r="A39" s="280" t="s">
        <v>728</v>
      </c>
      <c r="B39" s="280"/>
      <c r="C39" s="279"/>
      <c r="E39" s="158">
        <f>'Fair Value Estimate'!G51</f>
        <v>0.18578552017423694</v>
      </c>
      <c r="F39" s="289">
        <f>'Fair Value Estimate'!H51</f>
        <v>0.21828372118071737</v>
      </c>
      <c r="G39" s="289">
        <f>'Fair Value Estimate'!I51</f>
        <v>0.22921379907682896</v>
      </c>
      <c r="H39" s="289">
        <f>'Fair Value Estimate'!J51</f>
        <v>0.24068987967186847</v>
      </c>
      <c r="I39" s="289">
        <f>'Fair Value Estimate'!K51</f>
        <v>0.26991390106805219</v>
      </c>
      <c r="J39" s="289">
        <f>'Fair Value Estimate'!L51</f>
        <v>0.26996235840232369</v>
      </c>
      <c r="K39" s="289">
        <f>'Fair Value Estimate'!M51</f>
        <v>0.27369871103020976</v>
      </c>
    </row>
    <row r="40" spans="1:11" ht="19" x14ac:dyDescent="0.25">
      <c r="A40" s="280" t="s">
        <v>729</v>
      </c>
      <c r="B40" s="280"/>
      <c r="C40" s="279"/>
      <c r="E40" s="158">
        <f>'Fair Value Estimate'!G52</f>
        <v>0.40188002820746554</v>
      </c>
      <c r="F40" s="289">
        <f>'Fair Value Estimate'!H52</f>
        <v>0.85265430277892662</v>
      </c>
      <c r="G40" s="289">
        <f>'Fair Value Estimate'!I52</f>
        <v>0.52190817441557014</v>
      </c>
      <c r="H40" s="289">
        <f>'Fair Value Estimate'!J52</f>
        <v>0.61264982961293823</v>
      </c>
      <c r="I40" s="289">
        <f>'Fair Value Estimate'!K52</f>
        <v>0.54253591909046783</v>
      </c>
      <c r="J40" s="289">
        <f>'Fair Value Estimate'!L52</f>
        <v>0.36761322734813079</v>
      </c>
      <c r="K40" s="289">
        <f>'Fair Value Estimate'!M52</f>
        <v>0.28790685431243956</v>
      </c>
    </row>
    <row r="41" spans="1:11" ht="19" x14ac:dyDescent="0.2">
      <c r="A41" s="280"/>
      <c r="B41" s="280"/>
      <c r="C41" s="282"/>
      <c r="E41" s="47"/>
    </row>
    <row r="42" spans="1:11" ht="19" x14ac:dyDescent="0.2">
      <c r="A42" s="281" t="s">
        <v>624</v>
      </c>
      <c r="B42" s="281"/>
      <c r="C42" s="281"/>
      <c r="D42" s="281"/>
      <c r="E42" s="281"/>
      <c r="F42" s="281"/>
      <c r="G42" s="281"/>
      <c r="H42" s="281"/>
      <c r="I42" s="281"/>
      <c r="J42" s="281"/>
      <c r="K42" s="281"/>
    </row>
    <row r="43" spans="1:11" ht="19" x14ac:dyDescent="0.25">
      <c r="A43" s="280" t="s">
        <v>625</v>
      </c>
      <c r="B43" s="280"/>
      <c r="C43" s="279"/>
      <c r="E43" s="293">
        <f>Ratios!G38</f>
        <v>0.31490220327399354</v>
      </c>
      <c r="F43" s="114">
        <f>Ratios!H38</f>
        <v>0.29516988033838792</v>
      </c>
      <c r="G43" s="114">
        <f>Ratios!I38</f>
        <v>0.27605920069693746</v>
      </c>
      <c r="H43" s="114">
        <f>Ratios!J38</f>
        <v>0.25805895127295614</v>
      </c>
      <c r="I43" s="114">
        <f>Ratios!K38</f>
        <v>0.24114122331070761</v>
      </c>
      <c r="J43" s="114">
        <f>Ratios!L38</f>
        <v>0.22527101061862759</v>
      </c>
      <c r="K43" s="114">
        <f>Ratios!M38</f>
        <v>0.21040804859922593</v>
      </c>
    </row>
    <row r="44" spans="1:11" ht="19" x14ac:dyDescent="0.25">
      <c r="A44" s="280" t="s">
        <v>627</v>
      </c>
      <c r="B44" s="280"/>
      <c r="C44" s="279"/>
      <c r="E44" s="293">
        <f>Ratios!G40</f>
        <v>1.5237795275590551</v>
      </c>
      <c r="F44" s="114">
        <f>Ratios!H40</f>
        <v>1.5446878820360996</v>
      </c>
      <c r="G44" s="114">
        <f>Ratios!I40</f>
        <v>1.4277894977618961</v>
      </c>
      <c r="H44" s="114">
        <f>Ratios!J40</f>
        <v>1.3197377111757025</v>
      </c>
      <c r="I44" s="114">
        <f>Ratios!K40</f>
        <v>1.2198630323513822</v>
      </c>
      <c r="J44" s="114">
        <f>Ratios!L40</f>
        <v>1.1275466368024361</v>
      </c>
      <c r="K44" s="114">
        <f>Ratios!M40</f>
        <v>1.0422165312394422</v>
      </c>
    </row>
    <row r="45" spans="1:11" ht="19" x14ac:dyDescent="0.25">
      <c r="A45" s="280" t="s">
        <v>636</v>
      </c>
      <c r="B45" s="280"/>
      <c r="C45" s="279"/>
      <c r="E45" s="293">
        <f>Ratios!G52</f>
        <v>0.72488584474885842</v>
      </c>
      <c r="F45" s="114">
        <f>Ratios!H52</f>
        <v>0.6609589041095888</v>
      </c>
      <c r="G45" s="114">
        <f>Ratios!I52</f>
        <v>0.66095890410958857</v>
      </c>
      <c r="H45" s="114">
        <f>Ratios!J52</f>
        <v>0.66095890410958902</v>
      </c>
      <c r="I45" s="114">
        <f>Ratios!K52</f>
        <v>0.66095890410958869</v>
      </c>
      <c r="J45" s="114">
        <f>Ratios!L52</f>
        <v>0.66095890410958902</v>
      </c>
      <c r="K45" s="114">
        <f>Ratios!M52</f>
        <v>0.66095890410958902</v>
      </c>
    </row>
    <row r="46" spans="1:11" ht="19" x14ac:dyDescent="0.25">
      <c r="A46" s="280" t="s">
        <v>730</v>
      </c>
      <c r="B46" s="280"/>
      <c r="C46" s="279"/>
      <c r="E46" s="293">
        <f>1/Ratios!G46</f>
        <v>0.56025217031831342</v>
      </c>
      <c r="F46" s="114">
        <f>1/Ratios!H46</f>
        <v>0.79284322788671568</v>
      </c>
      <c r="G46" s="114">
        <f>1/Ratios!I46</f>
        <v>0.85963700297038359</v>
      </c>
      <c r="H46" s="114">
        <f>1/Ratios!J46</f>
        <v>0.96664346477153751</v>
      </c>
      <c r="I46" s="114">
        <f>1/Ratios!K46</f>
        <v>0.98723907081341022</v>
      </c>
      <c r="J46" s="114">
        <f>1/Ratios!L46</f>
        <v>1.1614315644424622</v>
      </c>
      <c r="K46" s="114">
        <f>1/Ratios!M46</f>
        <v>1.1928390793927812</v>
      </c>
    </row>
    <row r="47" spans="1:11" ht="19" x14ac:dyDescent="0.2">
      <c r="A47" s="280"/>
      <c r="B47" s="280"/>
      <c r="C47" s="283"/>
      <c r="E47" s="47"/>
    </row>
    <row r="48" spans="1:11" ht="19" x14ac:dyDescent="0.2">
      <c r="A48" s="284" t="s">
        <v>731</v>
      </c>
      <c r="B48" s="284"/>
      <c r="C48" s="284"/>
      <c r="D48" s="284"/>
      <c r="E48" s="284"/>
      <c r="F48" s="284"/>
      <c r="G48" s="284"/>
      <c r="H48" s="284"/>
      <c r="I48" s="284"/>
      <c r="J48" s="284"/>
      <c r="K48" s="284"/>
    </row>
    <row r="49" spans="1:11" ht="19" x14ac:dyDescent="0.2">
      <c r="A49" s="280" t="s">
        <v>732</v>
      </c>
      <c r="B49" s="280"/>
      <c r="C49" s="279"/>
      <c r="E49" s="294">
        <v>0</v>
      </c>
      <c r="F49" s="294">
        <v>0</v>
      </c>
      <c r="G49" s="294">
        <v>0</v>
      </c>
      <c r="H49" s="294">
        <v>0</v>
      </c>
      <c r="I49" s="294">
        <v>0</v>
      </c>
      <c r="J49" s="294">
        <v>0</v>
      </c>
      <c r="K49" s="294">
        <v>0</v>
      </c>
    </row>
    <row r="50" spans="1:11" ht="19" x14ac:dyDescent="0.25">
      <c r="A50" s="280" t="s">
        <v>733</v>
      </c>
      <c r="B50" s="280"/>
      <c r="C50" s="279"/>
      <c r="E50" s="292">
        <f>'Fair Value Estimate'!G54</f>
        <v>3575000</v>
      </c>
      <c r="F50" s="292">
        <f>'Fair Value Estimate'!H54</f>
        <v>5115616.0864657769</v>
      </c>
      <c r="G50" s="292">
        <f>'Fair Value Estimate'!I54</f>
        <v>5473301.2627439676</v>
      </c>
      <c r="H50" s="292">
        <f>'Fair Value Estimate'!J54</f>
        <v>6111008.3994777286</v>
      </c>
      <c r="I50" s="292">
        <f>'Fair Value Estimate'!K54</f>
        <v>6169053.8368935212</v>
      </c>
      <c r="J50" s="292">
        <f>'Fair Value Estimate'!L54</f>
        <v>7551966.5864875596</v>
      </c>
      <c r="K50" s="292">
        <f>'Fair Value Estimate'!M54</f>
        <v>7528609.2455894388</v>
      </c>
    </row>
    <row r="51" spans="1:11" ht="19" x14ac:dyDescent="0.25">
      <c r="A51" s="280" t="s">
        <v>734</v>
      </c>
      <c r="B51" s="280"/>
      <c r="C51" s="279"/>
      <c r="E51" s="292">
        <f>Forecast!G157+Forecast!G160</f>
        <v>4265000</v>
      </c>
      <c r="F51" s="292">
        <f>Forecast!H157+Forecast!H160</f>
        <v>5674626.4657929633</v>
      </c>
      <c r="G51" s="292">
        <f>Forecast!I157+Forecast!I160</f>
        <v>6157427.4618727183</v>
      </c>
      <c r="H51" s="292">
        <f>Forecast!J157+Forecast!J160</f>
        <v>7015940.4300795961</v>
      </c>
      <c r="I51" s="292">
        <f>Forecast!K157+Forecast!K160</f>
        <v>7023860.0135568762</v>
      </c>
      <c r="J51" s="292">
        <f>Forecast!L157+Forecast!L160</f>
        <v>8502315.4468042832</v>
      </c>
      <c r="K51" s="292">
        <f>Forecast!M157+Forecast!M160</f>
        <v>8582233.0248955246</v>
      </c>
    </row>
    <row r="52" spans="1:11" ht="19" x14ac:dyDescent="0.25">
      <c r="A52" s="280" t="s">
        <v>735</v>
      </c>
      <c r="B52" s="280"/>
      <c r="C52" s="279"/>
      <c r="E52" s="158">
        <v>0</v>
      </c>
      <c r="F52" s="158">
        <v>0</v>
      </c>
      <c r="G52" s="158">
        <v>0</v>
      </c>
      <c r="H52" s="158">
        <v>0</v>
      </c>
      <c r="I52" s="158">
        <v>0</v>
      </c>
      <c r="J52" s="158">
        <v>0</v>
      </c>
      <c r="K52" s="158">
        <v>0</v>
      </c>
    </row>
    <row r="53" spans="1:11" ht="19" x14ac:dyDescent="0.25">
      <c r="A53" s="280" t="s">
        <v>736</v>
      </c>
      <c r="B53" s="280"/>
      <c r="C53" s="279"/>
      <c r="E53" s="158">
        <v>0</v>
      </c>
      <c r="F53" s="158">
        <v>0</v>
      </c>
      <c r="G53" s="158">
        <v>0</v>
      </c>
      <c r="H53" s="158">
        <v>0</v>
      </c>
      <c r="I53" s="158">
        <v>0</v>
      </c>
      <c r="J53" s="158">
        <v>0</v>
      </c>
      <c r="K53" s="158">
        <v>0</v>
      </c>
    </row>
    <row r="54" spans="1:11" ht="19" x14ac:dyDescent="0.2">
      <c r="A54" s="280"/>
      <c r="B54" s="280"/>
      <c r="C54" s="279"/>
      <c r="E54" s="47"/>
    </row>
    <row r="55" spans="1:11" ht="19" x14ac:dyDescent="0.2">
      <c r="A55" s="298" t="s">
        <v>737</v>
      </c>
      <c r="B55" s="296"/>
      <c r="C55" s="297"/>
      <c r="D55" s="61"/>
      <c r="E55" s="315">
        <v>2023</v>
      </c>
      <c r="F55" s="316">
        <v>2024</v>
      </c>
      <c r="G55" s="316">
        <v>2025</v>
      </c>
      <c r="H55" s="316">
        <v>2026</v>
      </c>
      <c r="I55" s="316">
        <v>2027</v>
      </c>
      <c r="J55" s="316">
        <v>2028</v>
      </c>
      <c r="K55" s="316">
        <v>2029</v>
      </c>
    </row>
    <row r="56" spans="1:11" ht="19" x14ac:dyDescent="0.25">
      <c r="A56" s="279" t="s">
        <v>696</v>
      </c>
      <c r="B56" s="279"/>
      <c r="C56" s="279"/>
      <c r="E56" s="292">
        <f>Forecast!G5</f>
        <v>29771000</v>
      </c>
      <c r="F56" s="292">
        <f>Forecast!H5</f>
        <v>32208461.407079004</v>
      </c>
      <c r="G56" s="292">
        <f>Forecast!I5</f>
        <v>34845486.755946979</v>
      </c>
      <c r="H56" s="292">
        <f>Forecast!J5</f>
        <v>37698415.081448413</v>
      </c>
      <c r="I56" s="292">
        <f>Forecast!K5</f>
        <v>40784923.155381955</v>
      </c>
      <c r="J56" s="292">
        <f>Forecast!L5</f>
        <v>44124135.011951312</v>
      </c>
      <c r="K56" s="292">
        <f>Forecast!M5</f>
        <v>47736740.440468147</v>
      </c>
    </row>
    <row r="57" spans="1:11" ht="19" x14ac:dyDescent="0.25">
      <c r="A57" s="279" t="s">
        <v>738</v>
      </c>
      <c r="B57" s="279"/>
      <c r="C57" s="279"/>
      <c r="E57" s="292">
        <f>Forecast!G8</f>
        <v>16067000</v>
      </c>
      <c r="F57" s="292">
        <f>Forecast!H8</f>
        <v>17382464.459626429</v>
      </c>
      <c r="G57" s="292">
        <f>Forecast!I8</f>
        <v>18805630.838997688</v>
      </c>
      <c r="H57" s="292">
        <f>Forecast!J8</f>
        <v>20345317.090915039</v>
      </c>
      <c r="I57" s="292">
        <f>Forecast!K8</f>
        <v>22011063.126449294</v>
      </c>
      <c r="J57" s="292">
        <f>Forecast!L8</f>
        <v>23813189.92432306</v>
      </c>
      <c r="K57" s="292">
        <f>Forecast!M8</f>
        <v>25762863.479795832</v>
      </c>
    </row>
    <row r="58" spans="1:11" ht="19" x14ac:dyDescent="0.25">
      <c r="A58" s="278" t="s">
        <v>1</v>
      </c>
      <c r="B58" s="278"/>
      <c r="C58" s="278"/>
      <c r="E58" s="292">
        <f>Forecast!G9</f>
        <v>13704000</v>
      </c>
      <c r="F58" s="292">
        <f>Forecast!H9</f>
        <v>14825996.947452575</v>
      </c>
      <c r="G58" s="292">
        <f>Forecast!I9</f>
        <v>16039855.916949291</v>
      </c>
      <c r="H58" s="292">
        <f>Forecast!J9</f>
        <v>17353097.990533374</v>
      </c>
      <c r="I58" s="292">
        <f>Forecast!K9</f>
        <v>18773860.028932661</v>
      </c>
      <c r="J58" s="292">
        <f>Forecast!L9</f>
        <v>20310945.087628253</v>
      </c>
      <c r="K58" s="292">
        <f>Forecast!M9</f>
        <v>21973876.960672315</v>
      </c>
    </row>
    <row r="59" spans="1:11" ht="19" x14ac:dyDescent="0.2">
      <c r="A59" s="279"/>
      <c r="B59" s="279"/>
      <c r="C59" s="279"/>
      <c r="E59" s="47"/>
    </row>
    <row r="60" spans="1:11" ht="19" x14ac:dyDescent="0.2">
      <c r="A60" s="285" t="s">
        <v>739</v>
      </c>
      <c r="B60" s="285"/>
      <c r="C60" s="285"/>
      <c r="D60" s="285"/>
      <c r="E60" s="302">
        <f>Forecast!G14</f>
        <v>3868000</v>
      </c>
      <c r="F60" s="302">
        <f>Forecast!H14</f>
        <v>4184687.404607893</v>
      </c>
      <c r="G60" s="302">
        <f>Forecast!I14</f>
        <v>4527303.1732895412</v>
      </c>
      <c r="H60" s="302">
        <f>Forecast!J14</f>
        <v>4897970.1566975396</v>
      </c>
      <c r="I60" s="302">
        <f>Forecast!K14</f>
        <v>5298985.0110851973</v>
      </c>
      <c r="J60" s="302">
        <f>Forecast!L14</f>
        <v>5732832.428411128</v>
      </c>
      <c r="K60" s="302">
        <f>Forecast!M14</f>
        <v>6202200.531514924</v>
      </c>
    </row>
    <row r="61" spans="1:11" ht="19" x14ac:dyDescent="0.25">
      <c r="A61" s="279" t="s">
        <v>740</v>
      </c>
      <c r="B61" s="279"/>
      <c r="C61" s="279"/>
      <c r="E61" s="292">
        <f>Forecast!G15</f>
        <v>2973000</v>
      </c>
      <c r="F61" s="292">
        <f>Forecast!H15</f>
        <v>3216410.4586089109</v>
      </c>
      <c r="G61" s="292">
        <f>Forecast!I15</f>
        <v>3479749.8278670642</v>
      </c>
      <c r="H61" s="292">
        <f>Forecast!J15</f>
        <v>3764649.7610811237</v>
      </c>
      <c r="I61" s="292">
        <f>Forecast!K15</f>
        <v>4072875.5010228259</v>
      </c>
      <c r="J61" s="292">
        <f>Forecast!L15</f>
        <v>4406336.8173904559</v>
      </c>
      <c r="K61" s="292">
        <f>Forecast!M15</f>
        <v>4767099.8397605661</v>
      </c>
    </row>
    <row r="62" spans="1:11" ht="19" x14ac:dyDescent="0.25">
      <c r="A62" s="279" t="s">
        <v>741</v>
      </c>
      <c r="B62" s="279"/>
      <c r="C62" s="279"/>
      <c r="E62" s="292">
        <f>Forecast!G21</f>
        <v>1919000</v>
      </c>
      <c r="F62" s="292">
        <f>Forecast!H21</f>
        <v>2076115.5970637402</v>
      </c>
      <c r="G62" s="292">
        <f>Forecast!I21</f>
        <v>2246094.8266656231</v>
      </c>
      <c r="H62" s="292">
        <f>Forecast!J21</f>
        <v>2429990.8817741936</v>
      </c>
      <c r="I62" s="292">
        <f>Forecast!K21</f>
        <v>2628943.1841449053</v>
      </c>
      <c r="J62" s="292">
        <f>Forecast!L21</f>
        <v>2844184.4441884579</v>
      </c>
      <c r="K62" s="292">
        <f>Forecast!M21</f>
        <v>3077048.2988565513</v>
      </c>
    </row>
    <row r="63" spans="1:11" ht="19" x14ac:dyDescent="0.25">
      <c r="A63" s="279" t="s">
        <v>742</v>
      </c>
      <c r="B63" s="279"/>
      <c r="C63" s="279"/>
      <c r="E63" s="292">
        <v>0</v>
      </c>
      <c r="F63" s="292">
        <v>0</v>
      </c>
      <c r="G63" s="292">
        <v>0</v>
      </c>
      <c r="H63" s="292">
        <v>0</v>
      </c>
      <c r="I63" s="292">
        <v>0</v>
      </c>
      <c r="J63" s="292">
        <v>0</v>
      </c>
      <c r="K63" s="292">
        <v>0</v>
      </c>
    </row>
    <row r="64" spans="1:11" ht="19" x14ac:dyDescent="0.25">
      <c r="A64" s="278" t="s">
        <v>743</v>
      </c>
      <c r="B64" s="278"/>
      <c r="C64" s="278"/>
      <c r="E64" s="292">
        <f>Forecast!G23</f>
        <v>4944000</v>
      </c>
      <c r="F64" s="292">
        <f>Forecast!H23</f>
        <v>5348783.4871720318</v>
      </c>
      <c r="G64" s="292">
        <f>Forecast!I23</f>
        <v>5786708.0891270619</v>
      </c>
      <c r="H64" s="292">
        <f>Forecast!J23</f>
        <v>6260487.1909805164</v>
      </c>
      <c r="I64" s="292">
        <f>Forecast!K23</f>
        <v>6773056.3326797318</v>
      </c>
      <c r="J64" s="292">
        <f>Forecast!L23</f>
        <v>7327591.3976382129</v>
      </c>
      <c r="K64" s="292">
        <f>Forecast!M23</f>
        <v>7927528.2905402742</v>
      </c>
    </row>
    <row r="65" spans="1:11" ht="19" x14ac:dyDescent="0.2">
      <c r="A65" s="279"/>
      <c r="B65" s="279"/>
      <c r="C65" s="279"/>
      <c r="E65" s="47"/>
    </row>
    <row r="66" spans="1:11" ht="19" x14ac:dyDescent="0.25">
      <c r="A66" s="303" t="s">
        <v>744</v>
      </c>
      <c r="B66" s="303"/>
      <c r="C66" s="303"/>
      <c r="D66" s="304"/>
      <c r="E66" s="307">
        <f>Forecast!G27</f>
        <v>347000</v>
      </c>
      <c r="F66" s="307">
        <f>Forecast!H27</f>
        <v>387040</v>
      </c>
      <c r="G66" s="307">
        <f>Forecast!I27</f>
        <v>387040</v>
      </c>
      <c r="H66" s="307">
        <f>Forecast!J27</f>
        <v>387040</v>
      </c>
      <c r="I66" s="307">
        <f>Forecast!K27</f>
        <v>387040</v>
      </c>
      <c r="J66" s="307">
        <f>Forecast!L27</f>
        <v>387040</v>
      </c>
      <c r="K66" s="307">
        <f>Forecast!M27</f>
        <v>387040</v>
      </c>
    </row>
    <row r="67" spans="1:11" ht="19" x14ac:dyDescent="0.25">
      <c r="A67" s="279" t="s">
        <v>745</v>
      </c>
      <c r="B67" s="279"/>
      <c r="C67" s="279"/>
      <c r="E67" s="292">
        <f>Forecast!G28</f>
        <v>480000</v>
      </c>
      <c r="F67" s="292">
        <f>Forecast!H28</f>
        <v>247080</v>
      </c>
      <c r="G67" s="292">
        <f>Forecast!I28</f>
        <v>320797.11833898583</v>
      </c>
      <c r="H67" s="292">
        <f>Forecast!J28</f>
        <v>347061.9598106675</v>
      </c>
      <c r="I67" s="292">
        <f>Forecast!K28</f>
        <v>375477.2005786532</v>
      </c>
      <c r="J67" s="292">
        <f>Forecast!L28</f>
        <v>406218.90175256506</v>
      </c>
      <c r="K67" s="292">
        <f>Forecast!M28</f>
        <v>439477.53921344632</v>
      </c>
    </row>
    <row r="68" spans="1:11" ht="19" x14ac:dyDescent="0.25">
      <c r="A68" s="278" t="s">
        <v>746</v>
      </c>
      <c r="B68" s="278"/>
      <c r="C68" s="278"/>
      <c r="E68" s="292">
        <f>Forecast!G39</f>
        <v>5411000</v>
      </c>
      <c r="F68" s="292">
        <f>Forecast!H39</f>
        <v>5281867.013052688</v>
      </c>
      <c r="G68" s="292">
        <f>Forecast!I39</f>
        <v>5799489.0758065162</v>
      </c>
      <c r="H68" s="292">
        <f>Forecast!J39</f>
        <v>6306002.994252339</v>
      </c>
      <c r="I68" s="292">
        <f>Forecast!K39</f>
        <v>6853987.0725302091</v>
      </c>
      <c r="J68" s="292">
        <f>Forecast!L39</f>
        <v>7446836.6253469335</v>
      </c>
      <c r="K68" s="292">
        <f>Forecast!M39</f>
        <v>8088224.9543282064</v>
      </c>
    </row>
    <row r="69" spans="1:11" ht="19" x14ac:dyDescent="0.2">
      <c r="A69" s="279"/>
      <c r="B69" s="279"/>
      <c r="C69" s="279"/>
      <c r="E69" s="47"/>
    </row>
    <row r="70" spans="1:11" ht="19" x14ac:dyDescent="0.25">
      <c r="A70" s="303" t="s">
        <v>747</v>
      </c>
      <c r="B70" s="303"/>
      <c r="C70" s="303"/>
      <c r="D70" s="304"/>
      <c r="E70" s="307">
        <f>Forecast!G40</f>
        <v>1165000</v>
      </c>
      <c r="F70" s="307">
        <f>Forecast!H40</f>
        <v>1123244.5323061266</v>
      </c>
      <c r="G70" s="307">
        <f>Forecast!I40</f>
        <v>1215208.6987166828</v>
      </c>
      <c r="H70" s="307">
        <f>Forecast!J40</f>
        <v>1314702.3101059084</v>
      </c>
      <c r="I70" s="307">
        <f>Forecast!K40</f>
        <v>1422341.8298627436</v>
      </c>
      <c r="J70" s="307">
        <f>Forecast!L40</f>
        <v>1538794.1935040248</v>
      </c>
      <c r="K70" s="307">
        <f>Forecast!M40</f>
        <v>1664780.9410134575</v>
      </c>
    </row>
    <row r="71" spans="1:11" ht="19" x14ac:dyDescent="0.25">
      <c r="A71" s="279" t="s">
        <v>748</v>
      </c>
      <c r="B71" s="279"/>
      <c r="C71" s="279"/>
      <c r="E71" s="292">
        <v>0</v>
      </c>
      <c r="F71" s="292">
        <v>0</v>
      </c>
      <c r="G71" s="292">
        <v>0</v>
      </c>
      <c r="H71" s="292">
        <v>0</v>
      </c>
      <c r="I71" s="292">
        <v>0</v>
      </c>
      <c r="J71" s="292">
        <v>0</v>
      </c>
      <c r="K71" s="292">
        <v>0</v>
      </c>
    </row>
    <row r="72" spans="1:11" ht="19" x14ac:dyDescent="0.25">
      <c r="A72" s="279" t="s">
        <v>749</v>
      </c>
      <c r="B72" s="279"/>
      <c r="C72" s="279"/>
      <c r="E72" s="292">
        <v>0</v>
      </c>
      <c r="F72" s="292">
        <v>0</v>
      </c>
      <c r="G72" s="292">
        <v>0</v>
      </c>
      <c r="H72" s="292">
        <v>0</v>
      </c>
      <c r="I72" s="292">
        <v>0</v>
      </c>
      <c r="J72" s="292">
        <v>0</v>
      </c>
      <c r="K72" s="292">
        <v>0</v>
      </c>
    </row>
    <row r="73" spans="1:11" ht="19" x14ac:dyDescent="0.25">
      <c r="A73" s="279" t="s">
        <v>750</v>
      </c>
      <c r="B73" s="279"/>
      <c r="C73" s="279"/>
      <c r="E73" s="292">
        <v>0</v>
      </c>
      <c r="F73" s="292">
        <v>0</v>
      </c>
      <c r="G73" s="292">
        <v>0</v>
      </c>
      <c r="H73" s="292">
        <v>0</v>
      </c>
      <c r="I73" s="292">
        <v>0</v>
      </c>
      <c r="J73" s="292">
        <v>0</v>
      </c>
      <c r="K73" s="292">
        <v>0</v>
      </c>
    </row>
    <row r="74" spans="1:11" ht="19" x14ac:dyDescent="0.25">
      <c r="A74" s="279" t="s">
        <v>751</v>
      </c>
      <c r="B74" s="279"/>
      <c r="C74" s="279"/>
      <c r="E74" s="292">
        <v>0</v>
      </c>
      <c r="F74" s="292">
        <v>0</v>
      </c>
      <c r="G74" s="292">
        <v>0</v>
      </c>
      <c r="H74" s="292">
        <v>0</v>
      </c>
      <c r="I74" s="292">
        <v>0</v>
      </c>
      <c r="J74" s="292">
        <v>0</v>
      </c>
      <c r="K74" s="292">
        <v>0</v>
      </c>
    </row>
    <row r="75" spans="1:11" ht="19" x14ac:dyDescent="0.25">
      <c r="A75" s="278" t="s">
        <v>25</v>
      </c>
      <c r="B75" s="278"/>
      <c r="C75" s="278"/>
      <c r="E75" s="292">
        <f>Forecast!G41</f>
        <v>4246000</v>
      </c>
      <c r="F75" s="292">
        <f>Forecast!H41</f>
        <v>4158622.4807465617</v>
      </c>
      <c r="G75" s="292">
        <f>Forecast!I41</f>
        <v>4584280.3770898338</v>
      </c>
      <c r="H75" s="292">
        <f>Forecast!J41</f>
        <v>4991300.6841464303</v>
      </c>
      <c r="I75" s="292">
        <f>Forecast!K41</f>
        <v>5431645.2426674655</v>
      </c>
      <c r="J75" s="292">
        <f>Forecast!L41</f>
        <v>5908042.4318429083</v>
      </c>
      <c r="K75" s="292">
        <f>Forecast!M41</f>
        <v>6423444.0133147491</v>
      </c>
    </row>
    <row r="76" spans="1:11" ht="19" x14ac:dyDescent="0.2">
      <c r="A76" s="279"/>
      <c r="B76" s="279"/>
      <c r="C76" s="279"/>
      <c r="E76" s="47"/>
    </row>
    <row r="77" spans="1:11" ht="19" x14ac:dyDescent="0.25">
      <c r="A77" s="303" t="s">
        <v>752</v>
      </c>
      <c r="B77" s="303"/>
      <c r="C77" s="303"/>
      <c r="D77" s="304"/>
      <c r="E77" s="307">
        <f>Forecast!G48</f>
        <v>1103000</v>
      </c>
      <c r="F77" s="307">
        <f>Forecast!H48</f>
        <v>1053000</v>
      </c>
      <c r="G77" s="307">
        <f>Forecast!I48</f>
        <v>1003000</v>
      </c>
      <c r="H77" s="307">
        <f>Forecast!J48</f>
        <v>953000</v>
      </c>
      <c r="I77" s="307">
        <f>Forecast!K48</f>
        <v>903000</v>
      </c>
      <c r="J77" s="307">
        <f>Forecast!L48</f>
        <v>853000</v>
      </c>
      <c r="K77" s="307">
        <f>Forecast!M48</f>
        <v>803000</v>
      </c>
    </row>
    <row r="78" spans="1:11" ht="19" x14ac:dyDescent="0.25">
      <c r="A78" s="286" t="s">
        <v>753</v>
      </c>
      <c r="B78" s="286"/>
      <c r="C78" s="278"/>
      <c r="E78" s="293">
        <f>Forecast!G47</f>
        <v>3.84</v>
      </c>
      <c r="F78" s="293">
        <f>Forecast!H47</f>
        <v>3.9343637471585255</v>
      </c>
      <c r="G78" s="293">
        <f>Forecast!I47</f>
        <v>4.5524134827108576</v>
      </c>
      <c r="H78" s="293">
        <f>Forecast!J47</f>
        <v>5.2155702028698334</v>
      </c>
      <c r="I78" s="293">
        <f>Forecast!K47</f>
        <v>5.9885835090049238</v>
      </c>
      <c r="J78" s="293">
        <f>Forecast!L47</f>
        <v>6.8938651480080608</v>
      </c>
      <c r="K78" s="293">
        <f>Forecast!M47</f>
        <v>7.9596580090641256</v>
      </c>
    </row>
    <row r="79" spans="1:11" ht="19" x14ac:dyDescent="0.2">
      <c r="A79" s="279"/>
      <c r="B79" s="279"/>
      <c r="C79" s="279"/>
      <c r="E79" s="47"/>
    </row>
    <row r="80" spans="1:11" ht="19" x14ac:dyDescent="0.25">
      <c r="A80" s="303" t="s">
        <v>754</v>
      </c>
      <c r="B80" s="303"/>
      <c r="C80" s="303"/>
      <c r="D80" s="304"/>
      <c r="E80" s="307">
        <f>Forecast!G90</f>
        <v>5646000</v>
      </c>
      <c r="F80" s="307">
        <f>Forecast!H90</f>
        <v>5397818.6831654496</v>
      </c>
      <c r="G80" s="307">
        <f>Forecast!I90</f>
        <v>5898246.3482709816</v>
      </c>
      <c r="H80" s="307">
        <f>Forecast!J90</f>
        <v>6372116.262782705</v>
      </c>
      <c r="I80" s="307">
        <f>Forecast!K90</f>
        <v>6870368.4412332913</v>
      </c>
      <c r="J80" s="307">
        <f>Forecast!L90</f>
        <v>7428058.2314582989</v>
      </c>
      <c r="K80" s="307">
        <f>Forecast!M90</f>
        <v>8063976.5037079193</v>
      </c>
    </row>
    <row r="81" spans="1:11" ht="19" x14ac:dyDescent="0.25">
      <c r="A81" s="286" t="s">
        <v>755</v>
      </c>
      <c r="B81" s="286"/>
      <c r="C81" s="278"/>
      <c r="E81" s="293">
        <f>Forecast!G91</f>
        <v>5.1106660000000002</v>
      </c>
      <c r="F81" s="293">
        <f>Forecast!H91</f>
        <v>5.1067347995888834</v>
      </c>
      <c r="G81" s="293">
        <f>Forecast!I91</f>
        <v>5.857245628868899</v>
      </c>
      <c r="H81" s="293">
        <f>Forecast!J91</f>
        <v>6.6584286967426385</v>
      </c>
      <c r="I81" s="293">
        <f>Forecast!K91</f>
        <v>7.5748273883498252</v>
      </c>
      <c r="J81" s="293">
        <f>Forecast!L91</f>
        <v>8.6675125221217026</v>
      </c>
      <c r="K81" s="293">
        <f>Forecast!M91</f>
        <v>9.992535940158513</v>
      </c>
    </row>
    <row r="82" spans="1:11" ht="19" x14ac:dyDescent="0.2">
      <c r="A82" s="279"/>
      <c r="B82" s="279"/>
      <c r="C82" s="279"/>
      <c r="E82" s="47"/>
    </row>
    <row r="83" spans="1:11" ht="19" x14ac:dyDescent="0.2">
      <c r="A83" s="308" t="s">
        <v>756</v>
      </c>
      <c r="B83" s="308"/>
      <c r="C83" s="309"/>
      <c r="D83" s="310"/>
      <c r="E83" s="313">
        <v>2023</v>
      </c>
      <c r="F83" s="314">
        <v>2024</v>
      </c>
      <c r="G83" s="314">
        <v>2025</v>
      </c>
      <c r="H83" s="314">
        <v>2026</v>
      </c>
      <c r="I83" s="314">
        <v>2027</v>
      </c>
      <c r="J83" s="314">
        <v>2028</v>
      </c>
      <c r="K83" s="314">
        <v>2029</v>
      </c>
    </row>
    <row r="84" spans="1:11" ht="19" x14ac:dyDescent="0.25">
      <c r="A84" s="279" t="s">
        <v>393</v>
      </c>
      <c r="B84" s="279"/>
      <c r="C84" s="279"/>
      <c r="E84" s="292">
        <f>Forecast!G95</f>
        <v>9081000</v>
      </c>
      <c r="F84" s="292">
        <f>Forecast!H95</f>
        <v>11158839.974829763</v>
      </c>
      <c r="G84" s="292">
        <f>Forecast!I95</f>
        <v>13388406.923515141</v>
      </c>
      <c r="H84" s="292">
        <f>Forecast!J95</f>
        <v>15975515.061607257</v>
      </c>
      <c r="I84" s="292">
        <f>Forecast!K95</f>
        <v>18313375.156638235</v>
      </c>
      <c r="J84" s="292">
        <f>Forecast!L95</f>
        <v>21696981.816094026</v>
      </c>
      <c r="K84" s="292">
        <f>Forecast!M95</f>
        <v>24687338.537477583</v>
      </c>
    </row>
    <row r="85" spans="1:11" ht="19" x14ac:dyDescent="0.25">
      <c r="A85" s="279" t="s">
        <v>757</v>
      </c>
      <c r="B85" s="279"/>
      <c r="C85" s="279"/>
      <c r="E85" s="292">
        <f>Forecast!G96</f>
        <v>4976000</v>
      </c>
      <c r="F85" s="292">
        <f>Forecast!H96</f>
        <v>4976000</v>
      </c>
      <c r="G85" s="292">
        <f>Forecast!I96</f>
        <v>4976000</v>
      </c>
      <c r="H85" s="292">
        <f>Forecast!J96</f>
        <v>4976000</v>
      </c>
      <c r="I85" s="292">
        <f>Forecast!K96</f>
        <v>4976000</v>
      </c>
      <c r="J85" s="292">
        <f>Forecast!L96</f>
        <v>4976000</v>
      </c>
      <c r="K85" s="292">
        <f>Forecast!M96</f>
        <v>4976000</v>
      </c>
    </row>
    <row r="86" spans="1:11" ht="19" x14ac:dyDescent="0.25">
      <c r="A86" s="279" t="s">
        <v>394</v>
      </c>
      <c r="B86" s="279"/>
      <c r="C86" s="279"/>
      <c r="E86" s="292">
        <f>Forecast!G97</f>
        <v>2509000</v>
      </c>
      <c r="F86" s="292">
        <f>Forecast!H97</f>
        <v>2470786.0805430468</v>
      </c>
      <c r="G86" s="292">
        <f>Forecast!I97</f>
        <v>2959479.6970804287</v>
      </c>
      <c r="H86" s="292">
        <f>Forecast!J97</f>
        <v>3098499.8697080887</v>
      </c>
      <c r="I86" s="292">
        <f>Forecast!K97</f>
        <v>3687404.0113085057</v>
      </c>
      <c r="J86" s="292">
        <f>Forecast!L97</f>
        <v>3868417.3161162795</v>
      </c>
      <c r="K86" s="292">
        <f>Forecast!M97</f>
        <v>4185138.887931454</v>
      </c>
    </row>
    <row r="87" spans="1:11" ht="19" x14ac:dyDescent="0.25">
      <c r="A87" s="279" t="s">
        <v>396</v>
      </c>
      <c r="B87" s="279"/>
      <c r="C87" s="279"/>
      <c r="E87" s="292">
        <f>Forecast!G99</f>
        <v>0</v>
      </c>
      <c r="F87" s="292">
        <f>Forecast!H99</f>
        <v>0</v>
      </c>
      <c r="G87" s="292">
        <f>Forecast!I99</f>
        <v>0</v>
      </c>
      <c r="H87" s="292">
        <f>Forecast!J99</f>
        <v>0</v>
      </c>
      <c r="I87" s="292">
        <f>Forecast!K99</f>
        <v>0</v>
      </c>
      <c r="J87" s="292">
        <f>Forecast!L99</f>
        <v>0</v>
      </c>
      <c r="K87" s="292">
        <f>Forecast!M99</f>
        <v>0</v>
      </c>
    </row>
    <row r="88" spans="1:11" ht="19" x14ac:dyDescent="0.25">
      <c r="A88" s="279" t="s">
        <v>398</v>
      </c>
      <c r="B88" s="279"/>
      <c r="C88" s="279"/>
      <c r="E88" s="292">
        <f>Forecast!G101</f>
        <v>0</v>
      </c>
      <c r="F88" s="292">
        <f>Forecast!H101</f>
        <v>0</v>
      </c>
      <c r="G88" s="292">
        <f>Forecast!I101</f>
        <v>0</v>
      </c>
      <c r="H88" s="292">
        <f>Forecast!J101</f>
        <v>0</v>
      </c>
      <c r="I88" s="292">
        <f>Forecast!K101</f>
        <v>0</v>
      </c>
      <c r="J88" s="292">
        <f>Forecast!L101</f>
        <v>0</v>
      </c>
      <c r="K88" s="292">
        <f>Forecast!M101</f>
        <v>0</v>
      </c>
    </row>
    <row r="89" spans="1:11" ht="19" x14ac:dyDescent="0.25">
      <c r="A89" s="279" t="s">
        <v>399</v>
      </c>
      <c r="B89" s="279"/>
      <c r="C89" s="279"/>
      <c r="E89" s="292">
        <f>Forecast!G102</f>
        <v>46003000</v>
      </c>
      <c r="F89" s="292">
        <f>Forecast!H102</f>
        <v>50603300.000000007</v>
      </c>
      <c r="G89" s="292">
        <f>Forecast!I102</f>
        <v>55663630.000000015</v>
      </c>
      <c r="H89" s="292">
        <f>Forecast!J102</f>
        <v>61229993.000000022</v>
      </c>
      <c r="I89" s="292">
        <f>Forecast!K102</f>
        <v>67352992.300000027</v>
      </c>
      <c r="J89" s="292">
        <f>Forecast!L102</f>
        <v>74088291.530000031</v>
      </c>
      <c r="K89" s="292">
        <f>Forecast!M102</f>
        <v>81497120.683000043</v>
      </c>
    </row>
    <row r="90" spans="1:11" ht="19" x14ac:dyDescent="0.25">
      <c r="A90" s="278" t="s">
        <v>400</v>
      </c>
      <c r="B90" s="278"/>
      <c r="C90" s="278"/>
      <c r="E90" s="292">
        <f>Forecast!G103</f>
        <v>62569000</v>
      </c>
      <c r="F90" s="292">
        <f>Forecast!H103</f>
        <v>69208926.055372819</v>
      </c>
      <c r="G90" s="292">
        <f>Forecast!I103</f>
        <v>76987516.620595589</v>
      </c>
      <c r="H90" s="292">
        <f>Forecast!J103</f>
        <v>85280007.931315362</v>
      </c>
      <c r="I90" s="292">
        <f>Forecast!K103</f>
        <v>94329771.467946768</v>
      </c>
      <c r="J90" s="292">
        <f>Forecast!L103</f>
        <v>104629690.66221033</v>
      </c>
      <c r="K90" s="292">
        <f>Forecast!M103</f>
        <v>115345598.10840908</v>
      </c>
    </row>
    <row r="91" spans="1:11" ht="19" x14ac:dyDescent="0.2">
      <c r="A91" s="279"/>
      <c r="B91" s="279"/>
      <c r="C91" s="279"/>
      <c r="E91" s="47"/>
    </row>
    <row r="92" spans="1:11" ht="19" x14ac:dyDescent="0.25">
      <c r="A92" s="303" t="s">
        <v>401</v>
      </c>
      <c r="B92" s="303"/>
      <c r="C92" s="303"/>
      <c r="D92" s="304"/>
      <c r="E92" s="307">
        <f>Forecast!G105</f>
        <v>1488000</v>
      </c>
      <c r="F92" s="307">
        <f>Forecast!H105</f>
        <v>1571197.1680718076</v>
      </c>
      <c r="G92" s="307">
        <f>Forecast!I105</f>
        <v>1661205.9946822366</v>
      </c>
      <c r="H92" s="307">
        <f>Forecast!J105</f>
        <v>1758584.1754010052</v>
      </c>
      <c r="I92" s="307">
        <f>Forecast!K105</f>
        <v>1863935.0663879397</v>
      </c>
      <c r="J92" s="307">
        <f>Forecast!L105</f>
        <v>1977911.4227936389</v>
      </c>
      <c r="K92" s="307">
        <f>Forecast!M105</f>
        <v>2101219.4432367692</v>
      </c>
    </row>
    <row r="93" spans="1:11" ht="19" x14ac:dyDescent="0.25">
      <c r="A93" s="279" t="s">
        <v>402</v>
      </c>
      <c r="B93" s="279"/>
      <c r="C93" s="279"/>
      <c r="E93" s="311">
        <f>Forecast!G106</f>
        <v>11026000</v>
      </c>
      <c r="F93" s="311">
        <f>Forecast!H106</f>
        <v>11026000</v>
      </c>
      <c r="G93" s="311">
        <f>Forecast!I106</f>
        <v>11026000</v>
      </c>
      <c r="H93" s="311">
        <f>Forecast!J106</f>
        <v>11026000</v>
      </c>
      <c r="I93" s="311">
        <f>Forecast!K106</f>
        <v>11026350</v>
      </c>
      <c r="J93" s="311">
        <f>Forecast!L106</f>
        <v>11026700</v>
      </c>
      <c r="K93" s="311">
        <f>Forecast!M106</f>
        <v>11027050</v>
      </c>
    </row>
    <row r="94" spans="1:11" ht="19" x14ac:dyDescent="0.25">
      <c r="A94" s="279" t="s">
        <v>403</v>
      </c>
      <c r="B94" s="279"/>
      <c r="C94" s="279"/>
      <c r="E94" s="311">
        <f>Forecast!G107</f>
        <v>537000</v>
      </c>
      <c r="F94" s="311">
        <f>Forecast!H107</f>
        <v>323000</v>
      </c>
      <c r="G94" s="311">
        <f>Forecast!I107</f>
        <v>127000</v>
      </c>
      <c r="H94" s="311">
        <f>Forecast!J107</f>
        <v>-33000</v>
      </c>
      <c r="I94" s="311">
        <f>Forecast!K107</f>
        <v>-135900</v>
      </c>
      <c r="J94" s="311">
        <f>Forecast!L107</f>
        <v>-200800</v>
      </c>
      <c r="K94" s="311">
        <f>Forecast!M107</f>
        <v>-265700</v>
      </c>
    </row>
    <row r="95" spans="1:11" ht="19" x14ac:dyDescent="0.25">
      <c r="A95" s="279" t="s">
        <v>404</v>
      </c>
      <c r="B95" s="279"/>
      <c r="C95" s="279"/>
      <c r="E95" s="311">
        <f>Forecast!G108</f>
        <v>0</v>
      </c>
      <c r="F95" s="311">
        <f>Forecast!H108</f>
        <v>0</v>
      </c>
      <c r="G95" s="311">
        <f>Forecast!I108</f>
        <v>0</v>
      </c>
      <c r="H95" s="311">
        <f>Forecast!J108</f>
        <v>0</v>
      </c>
      <c r="I95" s="311">
        <f>Forecast!K108</f>
        <v>0</v>
      </c>
      <c r="J95" s="311">
        <f>Forecast!L108</f>
        <v>0</v>
      </c>
      <c r="K95" s="311">
        <f>Forecast!M108</f>
        <v>0</v>
      </c>
    </row>
    <row r="96" spans="1:11" ht="19" x14ac:dyDescent="0.25">
      <c r="A96" s="279" t="s">
        <v>405</v>
      </c>
      <c r="B96" s="279"/>
      <c r="C96" s="279"/>
      <c r="E96" s="311">
        <f>Forecast!G109</f>
        <v>3273000</v>
      </c>
      <c r="F96" s="311">
        <f>Forecast!H109</f>
        <v>3330375.8993504415</v>
      </c>
      <c r="G96" s="311">
        <f>Forecast!I109</f>
        <v>3388757.6018864228</v>
      </c>
      <c r="H96" s="311">
        <f>Forecast!J109</f>
        <v>3448162.7394021205</v>
      </c>
      <c r="I96" s="311">
        <f>Forecast!K109</f>
        <v>3508609.2527781907</v>
      </c>
      <c r="J96" s="311">
        <f>Forecast!L109</f>
        <v>3570115.3974000756</v>
      </c>
      <c r="K96" s="311">
        <f>Forecast!M109</f>
        <v>3632699.7486712909</v>
      </c>
    </row>
    <row r="97" spans="1:11" ht="19" x14ac:dyDescent="0.25">
      <c r="A97" s="279" t="s">
        <v>406</v>
      </c>
      <c r="B97" s="279"/>
      <c r="C97" s="279"/>
      <c r="E97" s="311">
        <f>Forecast!G110</f>
        <v>3273000</v>
      </c>
      <c r="F97" s="311">
        <f>Forecast!H110</f>
        <v>3273000</v>
      </c>
      <c r="G97" s="311">
        <f>Forecast!I110</f>
        <v>3273000</v>
      </c>
      <c r="H97" s="311">
        <f>Forecast!J110</f>
        <v>3273000</v>
      </c>
      <c r="I97" s="311">
        <f>Forecast!K110</f>
        <v>3273000</v>
      </c>
      <c r="J97" s="311">
        <f>Forecast!L110</f>
        <v>3273000</v>
      </c>
      <c r="K97" s="311">
        <f>Forecast!M110</f>
        <v>3273000</v>
      </c>
    </row>
    <row r="98" spans="1:11" ht="19" x14ac:dyDescent="0.25">
      <c r="A98" s="278" t="s">
        <v>407</v>
      </c>
      <c r="B98" s="278"/>
      <c r="C98" s="278"/>
      <c r="E98" s="311">
        <f>Forecast!G111</f>
        <v>82166000</v>
      </c>
      <c r="F98" s="311">
        <f>Forecast!H111</f>
        <v>88732499.12279506</v>
      </c>
      <c r="G98" s="311">
        <f>Forecast!I111</f>
        <v>96463480.217164248</v>
      </c>
      <c r="H98" s="311">
        <f>Forecast!J111</f>
        <v>104752754.84611848</v>
      </c>
      <c r="I98" s="311">
        <f>Forecast!K111</f>
        <v>113865765.78711289</v>
      </c>
      <c r="J98" s="311">
        <f>Forecast!L111</f>
        <v>124276617.48240405</v>
      </c>
      <c r="K98" s="311">
        <f>Forecast!M111</f>
        <v>135113867.30031714</v>
      </c>
    </row>
    <row r="99" spans="1:11" ht="19" x14ac:dyDescent="0.2">
      <c r="A99" s="279"/>
      <c r="B99" s="279"/>
      <c r="C99" s="279"/>
      <c r="E99" s="47"/>
    </row>
    <row r="100" spans="1:11" ht="19" x14ac:dyDescent="0.25">
      <c r="A100" s="303" t="s">
        <v>408</v>
      </c>
      <c r="B100" s="303"/>
      <c r="C100" s="303"/>
      <c r="D100" s="304"/>
      <c r="E100" s="307">
        <f>Forecast!G113</f>
        <v>6392000</v>
      </c>
      <c r="F100" s="307">
        <f>Forecast!H113</f>
        <v>6667246.642048493</v>
      </c>
      <c r="G100" s="307">
        <f>Forecast!I113</f>
        <v>7470730.0593278492</v>
      </c>
      <c r="H100" s="307">
        <f>Forecast!J113</f>
        <v>8193867.4311356451</v>
      </c>
      <c r="I100" s="307">
        <f>Forecast!K113</f>
        <v>9045642.3807325866</v>
      </c>
      <c r="J100" s="307">
        <f>Forecast!L113</f>
        <v>10438658.596963532</v>
      </c>
      <c r="K100" s="307">
        <f>Forecast!M113</f>
        <v>11434476.393772397</v>
      </c>
    </row>
    <row r="101" spans="1:11" ht="19" x14ac:dyDescent="0.25">
      <c r="A101" s="279" t="s">
        <v>410</v>
      </c>
      <c r="B101" s="279"/>
      <c r="C101" s="279"/>
      <c r="E101" s="292">
        <f>Forecast!G115</f>
        <v>0</v>
      </c>
      <c r="F101" s="292">
        <f>Forecast!H115</f>
        <v>0</v>
      </c>
      <c r="G101" s="292">
        <f>Forecast!I115</f>
        <v>0</v>
      </c>
      <c r="H101" s="292">
        <f>Forecast!J115</f>
        <v>0</v>
      </c>
      <c r="I101" s="292">
        <f>Forecast!K115</f>
        <v>0</v>
      </c>
      <c r="J101" s="292">
        <f>Forecast!L115</f>
        <v>0</v>
      </c>
      <c r="K101" s="292">
        <f>Forecast!M115</f>
        <v>0</v>
      </c>
    </row>
    <row r="102" spans="1:11" ht="19" x14ac:dyDescent="0.25">
      <c r="A102" s="279" t="s">
        <v>411</v>
      </c>
      <c r="B102" s="279"/>
      <c r="C102" s="279"/>
      <c r="E102" s="292">
        <f>Forecast!G116</f>
        <v>0</v>
      </c>
      <c r="F102" s="292">
        <f>Forecast!H116</f>
        <v>0</v>
      </c>
      <c r="G102" s="292">
        <f>Forecast!I116</f>
        <v>0</v>
      </c>
      <c r="H102" s="292">
        <f>Forecast!J116</f>
        <v>0</v>
      </c>
      <c r="I102" s="292">
        <f>Forecast!K116</f>
        <v>0</v>
      </c>
      <c r="J102" s="292">
        <f>Forecast!L116</f>
        <v>0</v>
      </c>
      <c r="K102" s="292">
        <f>Forecast!M116</f>
        <v>0</v>
      </c>
    </row>
    <row r="103" spans="1:11" ht="19" x14ac:dyDescent="0.25">
      <c r="A103" s="279" t="s">
        <v>412</v>
      </c>
      <c r="B103" s="279"/>
      <c r="C103" s="279"/>
      <c r="E103" s="292">
        <f>Forecast!G117</f>
        <v>42074000</v>
      </c>
      <c r="F103" s="292">
        <f>Forecast!H117</f>
        <v>46281400.000000007</v>
      </c>
      <c r="G103" s="292">
        <f>Forecast!I117</f>
        <v>50909540.000000015</v>
      </c>
      <c r="H103" s="292">
        <f>Forecast!J117</f>
        <v>56000494.000000022</v>
      </c>
      <c r="I103" s="292">
        <f>Forecast!K117</f>
        <v>61600543.400000028</v>
      </c>
      <c r="J103" s="292">
        <f>Forecast!L117</f>
        <v>67760597.740000039</v>
      </c>
      <c r="K103" s="292">
        <f>Forecast!M117</f>
        <v>74536657.514000043</v>
      </c>
    </row>
    <row r="104" spans="1:11" ht="19" x14ac:dyDescent="0.25">
      <c r="A104" s="278" t="s">
        <v>413</v>
      </c>
      <c r="B104" s="278"/>
      <c r="C104" s="278"/>
      <c r="E104" s="292">
        <f>Forecast!G118</f>
        <v>48466000</v>
      </c>
      <c r="F104" s="292">
        <f>Forecast!H118</f>
        <v>52948646.6420485</v>
      </c>
      <c r="G104" s="292">
        <f>Forecast!I118</f>
        <v>58380270.059327863</v>
      </c>
      <c r="H104" s="292">
        <f>Forecast!J118</f>
        <v>64194361.431135669</v>
      </c>
      <c r="I104" s="292">
        <f>Forecast!K118</f>
        <v>70646185.780732617</v>
      </c>
      <c r="J104" s="292">
        <f>Forecast!L118</f>
        <v>78199256.336963564</v>
      </c>
      <c r="K104" s="292">
        <f>Forecast!M118</f>
        <v>85971133.907772437</v>
      </c>
    </row>
    <row r="105" spans="1:11" ht="19" x14ac:dyDescent="0.2">
      <c r="A105" s="279"/>
      <c r="B105" s="279"/>
      <c r="C105" s="279"/>
      <c r="E105" s="47"/>
    </row>
    <row r="106" spans="1:11" ht="19" x14ac:dyDescent="0.25">
      <c r="A106" s="303" t="s">
        <v>414</v>
      </c>
      <c r="B106" s="303"/>
      <c r="C106" s="303"/>
      <c r="D106" s="304"/>
      <c r="E106" s="307">
        <f>Forecast!G120</f>
        <v>9676000</v>
      </c>
      <c r="F106" s="307">
        <f>Forecast!H120</f>
        <v>9676000</v>
      </c>
      <c r="G106" s="307">
        <f>Forecast!I120</f>
        <v>9676000</v>
      </c>
      <c r="H106" s="307">
        <f>Forecast!J120</f>
        <v>9676000</v>
      </c>
      <c r="I106" s="307">
        <f>Forecast!K120</f>
        <v>9676000</v>
      </c>
      <c r="J106" s="307">
        <f>Forecast!L120</f>
        <v>9676000</v>
      </c>
      <c r="K106" s="307">
        <f>Forecast!M120</f>
        <v>9676000</v>
      </c>
    </row>
    <row r="107" spans="1:11" ht="19" x14ac:dyDescent="0.25">
      <c r="A107" s="279" t="s">
        <v>415</v>
      </c>
      <c r="B107" s="279"/>
      <c r="C107" s="279"/>
      <c r="E107" s="311">
        <f>Forecast!G121</f>
        <v>0</v>
      </c>
      <c r="F107" s="311">
        <f>Forecast!H121</f>
        <v>0</v>
      </c>
      <c r="G107" s="311">
        <f>Forecast!I121</f>
        <v>0</v>
      </c>
      <c r="H107" s="311">
        <f>Forecast!J121</f>
        <v>0</v>
      </c>
      <c r="I107" s="311">
        <f>Forecast!K121</f>
        <v>0</v>
      </c>
      <c r="J107" s="311">
        <f>Forecast!L121</f>
        <v>0</v>
      </c>
      <c r="K107" s="311">
        <f>Forecast!M121</f>
        <v>0</v>
      </c>
    </row>
    <row r="108" spans="1:11" ht="19" x14ac:dyDescent="0.25">
      <c r="A108" s="279" t="s">
        <v>416</v>
      </c>
      <c r="B108" s="279"/>
      <c r="C108" s="279"/>
      <c r="E108" s="311">
        <f>Forecast!G122</f>
        <v>2973000</v>
      </c>
      <c r="F108" s="311">
        <f>Forecast!H122</f>
        <v>3002730</v>
      </c>
      <c r="G108" s="311">
        <f>Forecast!I122</f>
        <v>3032757.3</v>
      </c>
      <c r="H108" s="311">
        <f>Forecast!J122</f>
        <v>3063084.8729999997</v>
      </c>
      <c r="I108" s="311">
        <f>Forecast!K122</f>
        <v>3093715.7217299999</v>
      </c>
      <c r="J108" s="311">
        <f>Forecast!L122</f>
        <v>3124652.8789472999</v>
      </c>
      <c r="K108" s="311">
        <f>Forecast!M122</f>
        <v>3155899.4077367731</v>
      </c>
    </row>
    <row r="109" spans="1:11" ht="19" x14ac:dyDescent="0.25">
      <c r="A109" s="279" t="s">
        <v>417</v>
      </c>
      <c r="B109" s="279"/>
      <c r="C109" s="279"/>
      <c r="E109" s="311">
        <f>Forecast!G123</f>
        <v>0</v>
      </c>
      <c r="F109" s="311">
        <f>Forecast!H123</f>
        <v>0</v>
      </c>
      <c r="G109" s="311">
        <f>Forecast!I123</f>
        <v>0</v>
      </c>
      <c r="H109" s="311">
        <f>Forecast!J123</f>
        <v>0</v>
      </c>
      <c r="I109" s="311">
        <f>Forecast!K123</f>
        <v>0</v>
      </c>
      <c r="J109" s="311">
        <f>Forecast!L123</f>
        <v>0</v>
      </c>
      <c r="K109" s="311">
        <f>Forecast!M123</f>
        <v>0</v>
      </c>
    </row>
    <row r="110" spans="1:11" ht="19" x14ac:dyDescent="0.25">
      <c r="A110" s="278" t="s">
        <v>418</v>
      </c>
      <c r="B110" s="278"/>
      <c r="C110" s="278"/>
      <c r="E110" s="311">
        <f>Forecast!G124</f>
        <v>61115000</v>
      </c>
      <c r="F110" s="311">
        <f>Forecast!H124</f>
        <v>65627376.6420485</v>
      </c>
      <c r="G110" s="311">
        <f>Forecast!I124</f>
        <v>71089027.359327868</v>
      </c>
      <c r="H110" s="311">
        <f>Forecast!J124</f>
        <v>76933446.304135665</v>
      </c>
      <c r="I110" s="311">
        <f>Forecast!K124</f>
        <v>83415901.502462611</v>
      </c>
      <c r="J110" s="311">
        <f>Forecast!L124</f>
        <v>90999909.215910867</v>
      </c>
      <c r="K110" s="311">
        <f>Forecast!M124</f>
        <v>98803033.315509215</v>
      </c>
    </row>
    <row r="111" spans="1:11" ht="19" x14ac:dyDescent="0.2">
      <c r="A111" s="279"/>
      <c r="B111" s="279"/>
      <c r="C111" s="279"/>
      <c r="E111" s="47"/>
    </row>
    <row r="112" spans="1:11" ht="19" x14ac:dyDescent="0.25">
      <c r="A112" s="303" t="s">
        <v>419</v>
      </c>
      <c r="B112" s="303"/>
      <c r="C112" s="303"/>
      <c r="D112" s="304"/>
      <c r="E112" s="307">
        <f>Forecast!G126</f>
        <v>0</v>
      </c>
      <c r="F112" s="307">
        <f>Forecast!H126</f>
        <v>0</v>
      </c>
      <c r="G112" s="307">
        <f>Forecast!I126</f>
        <v>0</v>
      </c>
      <c r="H112" s="307">
        <f>Forecast!J126</f>
        <v>0</v>
      </c>
      <c r="I112" s="307">
        <f>Forecast!K126</f>
        <v>0</v>
      </c>
      <c r="J112" s="307">
        <f>Forecast!L126</f>
        <v>0</v>
      </c>
      <c r="K112" s="307">
        <f>Forecast!M126</f>
        <v>0</v>
      </c>
    </row>
    <row r="113" spans="1:11" ht="19" x14ac:dyDescent="0.25">
      <c r="A113" s="279" t="s">
        <v>420</v>
      </c>
      <c r="B113" s="279"/>
      <c r="C113" s="279"/>
      <c r="E113" s="311">
        <f>Forecast!G127</f>
        <v>0</v>
      </c>
      <c r="F113" s="311">
        <f>Forecast!H127</f>
        <v>0</v>
      </c>
      <c r="G113" s="311">
        <f>Forecast!I127</f>
        <v>0</v>
      </c>
      <c r="H113" s="311">
        <f>Forecast!J127</f>
        <v>0</v>
      </c>
      <c r="I113" s="311">
        <f>Forecast!K127</f>
        <v>0</v>
      </c>
      <c r="J113" s="311">
        <f>Forecast!L127</f>
        <v>0</v>
      </c>
      <c r="K113" s="311">
        <f>Forecast!M127</f>
        <v>0</v>
      </c>
    </row>
    <row r="114" spans="1:11" ht="19" x14ac:dyDescent="0.25">
      <c r="A114" s="279" t="s">
        <v>421</v>
      </c>
      <c r="B114" s="279"/>
      <c r="C114" s="279"/>
      <c r="E114" s="311">
        <f>Forecast!G128</f>
        <v>19642000</v>
      </c>
      <c r="F114" s="311">
        <f>Forecast!H128</f>
        <v>19642000</v>
      </c>
      <c r="G114" s="311">
        <f>Forecast!I128</f>
        <v>19642000</v>
      </c>
      <c r="H114" s="311">
        <f>Forecast!J128</f>
        <v>19642000</v>
      </c>
      <c r="I114" s="311">
        <f>Forecast!K128</f>
        <v>19642000</v>
      </c>
      <c r="J114" s="311">
        <f>Forecast!L128</f>
        <v>19642000</v>
      </c>
      <c r="K114" s="311">
        <f>Forecast!M128</f>
        <v>19642000</v>
      </c>
    </row>
    <row r="115" spans="1:11" ht="19" x14ac:dyDescent="0.25">
      <c r="A115" s="279" t="s">
        <v>422</v>
      </c>
      <c r="B115" s="279"/>
      <c r="C115" s="279"/>
      <c r="E115" s="311">
        <f>Forecast!G129</f>
        <v>23200000</v>
      </c>
      <c r="F115" s="311">
        <f>Forecast!H129</f>
        <v>27358622.48074656</v>
      </c>
      <c r="G115" s="311">
        <f>Forecast!I129</f>
        <v>31942902.857836396</v>
      </c>
      <c r="H115" s="311">
        <f>Forecast!J129</f>
        <v>36934203.54198283</v>
      </c>
      <c r="I115" s="311">
        <f>Forecast!K129</f>
        <v>42365848.784650296</v>
      </c>
      <c r="J115" s="311">
        <f>Forecast!L129</f>
        <v>48273891.216493204</v>
      </c>
      <c r="K115" s="311">
        <f>Forecast!M129</f>
        <v>54697335.229807951</v>
      </c>
    </row>
    <row r="116" spans="1:11" ht="19" x14ac:dyDescent="0.25">
      <c r="A116" s="279" t="s">
        <v>423</v>
      </c>
      <c r="B116" s="279"/>
      <c r="C116" s="279"/>
      <c r="E116" s="324">
        <f>Forecast!G130</f>
        <v>-21045000</v>
      </c>
      <c r="F116" s="324">
        <f>Forecast!H130</f>
        <v>-23149500.000000004</v>
      </c>
      <c r="G116" s="324">
        <f>Forecast!I130</f>
        <v>-25464450.000000007</v>
      </c>
      <c r="H116" s="324">
        <f>Forecast!J130</f>
        <v>-28010895.000000011</v>
      </c>
      <c r="I116" s="324">
        <f>Forecast!K130</f>
        <v>-30811984.500000015</v>
      </c>
      <c r="J116" s="324">
        <f>Forecast!L130</f>
        <v>-33893182.950000018</v>
      </c>
      <c r="K116" s="324">
        <f>Forecast!M130</f>
        <v>-37282501.24500002</v>
      </c>
    </row>
    <row r="117" spans="1:11" ht="19" x14ac:dyDescent="0.25">
      <c r="A117" s="279" t="s">
        <v>424</v>
      </c>
      <c r="B117" s="279"/>
      <c r="C117" s="279"/>
      <c r="E117" s="324">
        <f>Forecast!G131</f>
        <v>-746000</v>
      </c>
      <c r="F117" s="324">
        <f>Forecast!H131</f>
        <v>-746000</v>
      </c>
      <c r="G117" s="324">
        <f>Forecast!I131</f>
        <v>-746000</v>
      </c>
      <c r="H117" s="324">
        <f>Forecast!J131</f>
        <v>-746000</v>
      </c>
      <c r="I117" s="324">
        <f>Forecast!K131</f>
        <v>-746000</v>
      </c>
      <c r="J117" s="324">
        <f>Forecast!L131</f>
        <v>-746000</v>
      </c>
      <c r="K117" s="324">
        <f>Forecast!M131</f>
        <v>-746000</v>
      </c>
    </row>
    <row r="118" spans="1:11" ht="19" x14ac:dyDescent="0.25">
      <c r="A118" s="278" t="s">
        <v>425</v>
      </c>
      <c r="B118" s="278"/>
      <c r="C118" s="278"/>
      <c r="E118" s="311">
        <f>Forecast!G132</f>
        <v>21051000</v>
      </c>
      <c r="F118" s="311">
        <f>Forecast!H132</f>
        <v>23105122.480746556</v>
      </c>
      <c r="G118" s="311">
        <f>Forecast!I132</f>
        <v>25374452.857836388</v>
      </c>
      <c r="H118" s="311">
        <f>Forecast!J132</f>
        <v>27819308.541982818</v>
      </c>
      <c r="I118" s="311">
        <f>Forecast!K132</f>
        <v>30449864.284650281</v>
      </c>
      <c r="J118" s="311">
        <f>Forecast!L132</f>
        <v>33276708.266493186</v>
      </c>
      <c r="K118" s="311">
        <f>Forecast!M132</f>
        <v>36310833.984807923</v>
      </c>
    </row>
    <row r="119" spans="1:11" ht="19" x14ac:dyDescent="0.2">
      <c r="A119" s="278"/>
      <c r="B119" s="278"/>
      <c r="C119" s="278"/>
      <c r="E119" s="47"/>
    </row>
    <row r="120" spans="1:11" ht="19" x14ac:dyDescent="0.25">
      <c r="A120" s="303" t="s">
        <v>426</v>
      </c>
      <c r="B120" s="303"/>
      <c r="C120" s="303"/>
      <c r="D120" s="304"/>
      <c r="E120" s="307">
        <f>Forecast!G133</f>
        <v>0</v>
      </c>
      <c r="F120" s="307">
        <f>Forecast!H133</f>
        <v>0</v>
      </c>
      <c r="G120" s="307">
        <f>Forecast!I133</f>
        <v>0</v>
      </c>
      <c r="H120" s="307">
        <f>Forecast!J133</f>
        <v>0</v>
      </c>
      <c r="I120" s="307">
        <f>Forecast!K133</f>
        <v>0</v>
      </c>
      <c r="J120" s="307">
        <f>Forecast!L133</f>
        <v>0</v>
      </c>
      <c r="K120" s="307">
        <f>Forecast!M133</f>
        <v>0</v>
      </c>
    </row>
    <row r="121" spans="1:11" ht="19" x14ac:dyDescent="0.25">
      <c r="A121" s="278" t="s">
        <v>427</v>
      </c>
      <c r="B121" s="278"/>
      <c r="C121" s="278"/>
      <c r="E121" s="311">
        <f>Forecast!G134</f>
        <v>21051000</v>
      </c>
      <c r="F121" s="311">
        <f>Forecast!H134</f>
        <v>23105122.480746556</v>
      </c>
      <c r="G121" s="311">
        <f>Forecast!I134</f>
        <v>25374452.857836388</v>
      </c>
      <c r="H121" s="311">
        <f>Forecast!J134</f>
        <v>27819308.541982818</v>
      </c>
      <c r="I121" s="311">
        <f>Forecast!K134</f>
        <v>30449864.284650281</v>
      </c>
      <c r="J121" s="311">
        <f>Forecast!L134</f>
        <v>33276708.266493186</v>
      </c>
      <c r="K121" s="311">
        <f>Forecast!M134</f>
        <v>36310833.984807923</v>
      </c>
    </row>
    <row r="122" spans="1:11" ht="19" x14ac:dyDescent="0.2">
      <c r="A122" s="279"/>
      <c r="B122" s="279"/>
      <c r="C122" s="279"/>
      <c r="E122" s="47"/>
    </row>
    <row r="123" spans="1:11" ht="19" x14ac:dyDescent="0.2">
      <c r="A123" s="319" t="s">
        <v>758</v>
      </c>
      <c r="B123" s="319"/>
      <c r="C123" s="320"/>
      <c r="D123" s="301"/>
      <c r="E123" s="315">
        <f>E83</f>
        <v>2023</v>
      </c>
      <c r="F123" s="315">
        <f t="shared" ref="F123:K123" si="0">F83</f>
        <v>2024</v>
      </c>
      <c r="G123" s="315">
        <f t="shared" si="0"/>
        <v>2025</v>
      </c>
      <c r="H123" s="315">
        <f t="shared" si="0"/>
        <v>2026</v>
      </c>
      <c r="I123" s="315">
        <f t="shared" si="0"/>
        <v>2027</v>
      </c>
      <c r="J123" s="315">
        <f t="shared" si="0"/>
        <v>2028</v>
      </c>
      <c r="K123" s="315">
        <f t="shared" si="0"/>
        <v>2029</v>
      </c>
    </row>
    <row r="124" spans="1:11" ht="19" x14ac:dyDescent="0.25">
      <c r="A124" s="279" t="s">
        <v>25</v>
      </c>
      <c r="B124" s="279"/>
      <c r="C124" s="279"/>
      <c r="E124" s="292">
        <f>Forecast!G138</f>
        <v>4246000</v>
      </c>
      <c r="F124" s="292">
        <f>Forecast!H138</f>
        <v>4158622.4807465617</v>
      </c>
      <c r="G124" s="292">
        <f>Forecast!I138</f>
        <v>4584280.3770898338</v>
      </c>
      <c r="H124" s="292">
        <f>Forecast!J138</f>
        <v>4991300.6841464303</v>
      </c>
      <c r="I124" s="292">
        <f>Forecast!K138</f>
        <v>5431645.2426674655</v>
      </c>
      <c r="J124" s="292">
        <f>Forecast!L138</f>
        <v>5908042.4318429083</v>
      </c>
      <c r="K124" s="292">
        <f>Forecast!M138</f>
        <v>6423444.0133147491</v>
      </c>
    </row>
    <row r="125" spans="1:11" ht="19" x14ac:dyDescent="0.25">
      <c r="A125" s="279" t="s">
        <v>434</v>
      </c>
      <c r="B125" s="279"/>
      <c r="C125" s="279"/>
      <c r="E125" s="292">
        <f>Forecast!G140</f>
        <v>846000</v>
      </c>
      <c r="F125" s="292">
        <f>Forecast!H140</f>
        <v>915265.13554764155</v>
      </c>
      <c r="G125" s="292">
        <f>Forecast!I140</f>
        <v>990201.26282392745</v>
      </c>
      <c r="H125" s="292">
        <f>Forecast!J140</f>
        <v>1071272.6868061321</v>
      </c>
      <c r="I125" s="292">
        <f>Forecast!K140</f>
        <v>1158981.726829906</v>
      </c>
      <c r="J125" s="292">
        <f>Forecast!L140</f>
        <v>1253871.8289647915</v>
      </c>
      <c r="K125" s="292">
        <f>Forecast!M140</f>
        <v>1356530.933211382</v>
      </c>
    </row>
    <row r="126" spans="1:11" ht="19" x14ac:dyDescent="0.25">
      <c r="A126" s="279" t="s">
        <v>437</v>
      </c>
      <c r="B126" s="279"/>
      <c r="C126" s="279"/>
      <c r="E126" s="322">
        <f>Forecast!G143</f>
        <v>-141000</v>
      </c>
      <c r="F126" s="292">
        <f>Forecast!H143</f>
        <v>214000</v>
      </c>
      <c r="G126" s="292">
        <f>Forecast!I143</f>
        <v>196000</v>
      </c>
      <c r="H126" s="292">
        <f>Forecast!J143</f>
        <v>160000</v>
      </c>
      <c r="I126" s="292">
        <f>Forecast!K143</f>
        <v>103000</v>
      </c>
      <c r="J126" s="292">
        <f>Forecast!L143</f>
        <v>65000</v>
      </c>
      <c r="K126" s="292">
        <f>Forecast!M143</f>
        <v>65000</v>
      </c>
    </row>
    <row r="127" spans="1:11" ht="19" x14ac:dyDescent="0.25">
      <c r="A127" s="279" t="s">
        <v>438</v>
      </c>
      <c r="B127" s="279"/>
      <c r="C127" s="279"/>
      <c r="E127" s="292">
        <f>Forecast!G144</f>
        <v>1475000</v>
      </c>
      <c r="F127" s="292">
        <f>Forecast!H144</f>
        <v>1464640.5916127625</v>
      </c>
      <c r="G127" s="292">
        <f>Forecast!I144</f>
        <v>1584556.1106513394</v>
      </c>
      <c r="H127" s="292">
        <f>Forecast!J144</f>
        <v>1714289.5548441387</v>
      </c>
      <c r="I127" s="292">
        <f>Forecast!K144</f>
        <v>1854644.7538798188</v>
      </c>
      <c r="J127" s="292">
        <f>Forecast!L144</f>
        <v>2006491.3499438947</v>
      </c>
      <c r="K127" s="292">
        <f>Forecast!M144</f>
        <v>2170770.1860302235</v>
      </c>
    </row>
    <row r="128" spans="1:11" ht="19" x14ac:dyDescent="0.25">
      <c r="A128" s="279" t="s">
        <v>440</v>
      </c>
      <c r="B128" s="279"/>
      <c r="C128" s="279"/>
      <c r="E128" s="292">
        <f>Forecast!G146</f>
        <v>0</v>
      </c>
      <c r="F128" s="292">
        <f>Forecast!H146</f>
        <v>0</v>
      </c>
      <c r="G128" s="292">
        <f>Forecast!I146</f>
        <v>0</v>
      </c>
      <c r="H128" s="292">
        <f>Forecast!J146</f>
        <v>0</v>
      </c>
      <c r="I128" s="292">
        <f>Forecast!K146</f>
        <v>0</v>
      </c>
      <c r="J128" s="292">
        <f>Forecast!L146</f>
        <v>0</v>
      </c>
      <c r="K128" s="292">
        <f>Forecast!M146</f>
        <v>0</v>
      </c>
    </row>
    <row r="129" spans="1:11" ht="19" x14ac:dyDescent="0.25">
      <c r="A129" s="279" t="s">
        <v>441</v>
      </c>
      <c r="B129" s="279"/>
      <c r="C129" s="279"/>
      <c r="E129" s="292">
        <f>Forecast!G147</f>
        <v>0</v>
      </c>
      <c r="F129" s="292">
        <f>Forecast!H147</f>
        <v>0</v>
      </c>
      <c r="G129" s="292">
        <f>Forecast!I147</f>
        <v>0</v>
      </c>
      <c r="H129" s="292">
        <f>Forecast!J147</f>
        <v>0</v>
      </c>
      <c r="I129" s="292">
        <f>Forecast!K147</f>
        <v>0</v>
      </c>
      <c r="J129" s="292">
        <f>Forecast!L147</f>
        <v>0</v>
      </c>
      <c r="K129" s="292">
        <f>Forecast!M147</f>
        <v>0</v>
      </c>
    </row>
    <row r="130" spans="1:11" ht="19" x14ac:dyDescent="0.25">
      <c r="A130" s="279" t="s">
        <v>442</v>
      </c>
      <c r="B130" s="279"/>
      <c r="C130" s="279"/>
      <c r="E130" s="322">
        <f>Forecast!G148</f>
        <v>-869000</v>
      </c>
      <c r="F130" s="292">
        <f>Forecast!H148</f>
        <v>0</v>
      </c>
      <c r="G130" s="292">
        <f>Forecast!I148</f>
        <v>0</v>
      </c>
      <c r="H130" s="292">
        <f>Forecast!J148</f>
        <v>0</v>
      </c>
      <c r="I130" s="292">
        <f>Forecast!K148</f>
        <v>0</v>
      </c>
      <c r="J130" s="292">
        <f>Forecast!L148</f>
        <v>0</v>
      </c>
      <c r="K130" s="292">
        <f>Forecast!M148</f>
        <v>0</v>
      </c>
    </row>
    <row r="131" spans="1:11" ht="19" x14ac:dyDescent="0.25">
      <c r="A131" s="279" t="s">
        <v>443</v>
      </c>
      <c r="B131" s="279"/>
      <c r="C131" s="279"/>
      <c r="E131" s="322">
        <f>Forecast!G149</f>
        <v>-10195000</v>
      </c>
      <c r="F131" s="292">
        <f>Forecast!H149</f>
        <v>0</v>
      </c>
      <c r="G131" s="292">
        <f>Forecast!I149</f>
        <v>0</v>
      </c>
      <c r="H131" s="292">
        <f>Forecast!J149</f>
        <v>0</v>
      </c>
      <c r="I131" s="292">
        <f>Forecast!K149</f>
        <v>0</v>
      </c>
      <c r="J131" s="292">
        <f>Forecast!L149</f>
        <v>0</v>
      </c>
      <c r="K131" s="292">
        <f>Forecast!M149</f>
        <v>0</v>
      </c>
    </row>
    <row r="132" spans="1:11" ht="19" x14ac:dyDescent="0.25">
      <c r="A132" s="321" t="s">
        <v>444</v>
      </c>
      <c r="B132" s="321"/>
      <c r="C132" s="303"/>
      <c r="D132" s="304"/>
      <c r="E132" s="323">
        <f>Forecast!G151</f>
        <v>-114000</v>
      </c>
      <c r="F132" s="323">
        <f>Forecast!H151</f>
        <v>38213.919456953183</v>
      </c>
      <c r="G132" s="323">
        <f>Forecast!I151</f>
        <v>-488693.61653738189</v>
      </c>
      <c r="H132" s="323">
        <f>Forecast!J151</f>
        <v>-139020.17262765998</v>
      </c>
      <c r="I132" s="323">
        <f>Forecast!K151</f>
        <v>-588904.14160041697</v>
      </c>
      <c r="J132" s="323">
        <f>Forecast!L151</f>
        <v>-181013.30480777379</v>
      </c>
      <c r="K132" s="323">
        <f>Forecast!M151</f>
        <v>-316721.57181517454</v>
      </c>
    </row>
    <row r="133" spans="1:11" ht="19" x14ac:dyDescent="0.25">
      <c r="A133" s="287" t="s">
        <v>445</v>
      </c>
      <c r="B133" s="287"/>
      <c r="C133" s="279"/>
      <c r="E133" s="311">
        <f>Forecast!G152</f>
        <v>0</v>
      </c>
      <c r="F133" s="311">
        <f>Forecast!H152</f>
        <v>0</v>
      </c>
      <c r="G133" s="311">
        <f>Forecast!I152</f>
        <v>0</v>
      </c>
      <c r="H133" s="311">
        <f>Forecast!J152</f>
        <v>0</v>
      </c>
      <c r="I133" s="311">
        <f>Forecast!K152</f>
        <v>0</v>
      </c>
      <c r="J133" s="311">
        <f>Forecast!L152</f>
        <v>0</v>
      </c>
      <c r="K133" s="311">
        <f>Forecast!M152</f>
        <v>0</v>
      </c>
    </row>
    <row r="134" spans="1:11" ht="19" x14ac:dyDescent="0.25">
      <c r="A134" s="287" t="s">
        <v>446</v>
      </c>
      <c r="B134" s="287"/>
      <c r="C134" s="279"/>
      <c r="E134" s="311">
        <f>Forecast!G153</f>
        <v>203000</v>
      </c>
      <c r="F134" s="324">
        <f>Forecast!H153</f>
        <v>-4600300.0000000075</v>
      </c>
      <c r="G134" s="324">
        <f>Forecast!I153</f>
        <v>-5060330.0000000075</v>
      </c>
      <c r="H134" s="324">
        <f>Forecast!J153</f>
        <v>-5566363.0000000075</v>
      </c>
      <c r="I134" s="324">
        <f>Forecast!K153</f>
        <v>-6122999.3000000045</v>
      </c>
      <c r="J134" s="324">
        <f>Forecast!L153</f>
        <v>-6735299.2300000042</v>
      </c>
      <c r="K134" s="324">
        <f>Forecast!M153</f>
        <v>-7408829.153000012</v>
      </c>
    </row>
    <row r="135" spans="1:11" ht="19" x14ac:dyDescent="0.25">
      <c r="A135" s="287" t="s">
        <v>447</v>
      </c>
      <c r="B135" s="287"/>
      <c r="C135" s="279"/>
      <c r="E135" s="311">
        <f>Forecast!G154</f>
        <v>7000</v>
      </c>
      <c r="F135" s="311">
        <f>Forecast!H154</f>
        <v>275246.64204849303</v>
      </c>
      <c r="G135" s="311">
        <f>Forecast!I154</f>
        <v>803483.41727935616</v>
      </c>
      <c r="H135" s="311">
        <f>Forecast!J154</f>
        <v>723137.37180779595</v>
      </c>
      <c r="I135" s="311">
        <f>Forecast!K154</f>
        <v>851774.94959694147</v>
      </c>
      <c r="J135" s="311">
        <f>Forecast!L154</f>
        <v>1393016.2162309457</v>
      </c>
      <c r="K135" s="311">
        <f>Forecast!M154</f>
        <v>995817.79680886492</v>
      </c>
    </row>
    <row r="136" spans="1:11" ht="19" x14ac:dyDescent="0.25">
      <c r="A136" s="287" t="s">
        <v>448</v>
      </c>
      <c r="B136" s="287"/>
      <c r="C136" s="279"/>
      <c r="E136" s="311">
        <f>Forecast!G155</f>
        <v>9385000</v>
      </c>
      <c r="F136" s="311">
        <f>Forecast!H155</f>
        <v>4207400.0000000075</v>
      </c>
      <c r="G136" s="311">
        <f>Forecast!I155</f>
        <v>4628140.0000000075</v>
      </c>
      <c r="H136" s="311">
        <f>Forecast!J155</f>
        <v>5090954.0000000075</v>
      </c>
      <c r="I136" s="311">
        <f>Forecast!K155</f>
        <v>5600049.400000006</v>
      </c>
      <c r="J136" s="311">
        <f>Forecast!L155</f>
        <v>6160054.340000011</v>
      </c>
      <c r="K136" s="311">
        <f>Forecast!M155</f>
        <v>6776059.7740000039</v>
      </c>
    </row>
    <row r="137" spans="1:11" ht="19" x14ac:dyDescent="0.25">
      <c r="A137" s="288" t="s">
        <v>449</v>
      </c>
      <c r="B137" s="288"/>
      <c r="C137" s="278"/>
      <c r="E137" s="311">
        <f>Forecast!G157</f>
        <v>4843000</v>
      </c>
      <c r="F137" s="311">
        <f>Forecast!H157</f>
        <v>6673088.7694124123</v>
      </c>
      <c r="G137" s="311">
        <f>Forecast!I157</f>
        <v>7237637.5513070747</v>
      </c>
      <c r="H137" s="311">
        <f>Forecast!J157</f>
        <v>8184591.2976044966</v>
      </c>
      <c r="I137" s="311">
        <f>Forecast!K157</f>
        <v>8288192.6313737165</v>
      </c>
      <c r="J137" s="311">
        <f>Forecast!L157</f>
        <v>9870163.6321747731</v>
      </c>
      <c r="K137" s="311">
        <f>Forecast!M157</f>
        <v>10062071.978550037</v>
      </c>
    </row>
    <row r="138" spans="1:11" ht="19" x14ac:dyDescent="0.2">
      <c r="A138" s="279"/>
      <c r="B138" s="279"/>
      <c r="C138" s="279"/>
      <c r="E138" s="47"/>
    </row>
    <row r="139" spans="1:11" ht="19" x14ac:dyDescent="0.25">
      <c r="A139" s="303" t="s">
        <v>451</v>
      </c>
      <c r="B139" s="303"/>
      <c r="C139" s="303"/>
      <c r="D139" s="304"/>
      <c r="E139" s="323">
        <f>Forecast!G160</f>
        <v>-578000</v>
      </c>
      <c r="F139" s="323">
        <f>Forecast!H160</f>
        <v>-998462.30361944914</v>
      </c>
      <c r="G139" s="323">
        <f>Forecast!I160</f>
        <v>-1080210.0894343564</v>
      </c>
      <c r="H139" s="323">
        <f>Forecast!J160</f>
        <v>-1168650.8675249007</v>
      </c>
      <c r="I139" s="323">
        <f>Forecast!K160</f>
        <v>-1264332.6178168405</v>
      </c>
      <c r="J139" s="323">
        <f>Forecast!L160</f>
        <v>-1367848.1853704907</v>
      </c>
      <c r="K139" s="323">
        <f>Forecast!M160</f>
        <v>-1479838.9536545125</v>
      </c>
    </row>
    <row r="140" spans="1:11" ht="19" x14ac:dyDescent="0.25">
      <c r="A140" s="279" t="s">
        <v>454</v>
      </c>
      <c r="B140" s="279"/>
      <c r="C140" s="279"/>
      <c r="E140" s="292">
        <f>Forecast!G163</f>
        <v>0</v>
      </c>
      <c r="F140" s="292">
        <f>Forecast!H163</f>
        <v>0</v>
      </c>
      <c r="G140" s="292">
        <f>Forecast!I163</f>
        <v>0</v>
      </c>
      <c r="H140" s="292">
        <f>Forecast!J163</f>
        <v>0</v>
      </c>
      <c r="I140" s="322">
        <f>Forecast!K163</f>
        <v>-500</v>
      </c>
      <c r="J140" s="322">
        <f>Forecast!L163</f>
        <v>-500</v>
      </c>
      <c r="K140" s="322">
        <f>Forecast!M163</f>
        <v>-500</v>
      </c>
    </row>
    <row r="141" spans="1:11" ht="19" x14ac:dyDescent="0.25">
      <c r="A141" s="279" t="s">
        <v>464</v>
      </c>
      <c r="B141" s="279"/>
      <c r="C141" s="279"/>
      <c r="E141" s="322">
        <f>Forecast!G175</f>
        <v>-1901000</v>
      </c>
      <c r="F141" s="292">
        <f>Forecast!H175</f>
        <v>0</v>
      </c>
      <c r="G141" s="292">
        <f>Forecast!I175</f>
        <v>0</v>
      </c>
      <c r="H141" s="292">
        <f>Forecast!J175</f>
        <v>0</v>
      </c>
      <c r="I141" s="292">
        <f>Forecast!K175</f>
        <v>0</v>
      </c>
      <c r="J141" s="292">
        <f>Forecast!L175</f>
        <v>0</v>
      </c>
      <c r="K141" s="292">
        <f>Forecast!M175</f>
        <v>0</v>
      </c>
    </row>
    <row r="142" spans="1:11" ht="19" x14ac:dyDescent="0.25">
      <c r="A142" s="279" t="s">
        <v>465</v>
      </c>
      <c r="B142" s="279"/>
      <c r="C142" s="279"/>
      <c r="E142" s="322">
        <f>Forecast!G176</f>
        <v>-866000</v>
      </c>
      <c r="F142" s="292">
        <f>Forecast!H176</f>
        <v>-87105.899350441527</v>
      </c>
      <c r="G142" s="292">
        <f>Forecast!I176</f>
        <v>-88409.002535981126</v>
      </c>
      <c r="H142" s="292">
        <f>Forecast!J176</f>
        <v>-89732.710515697487</v>
      </c>
      <c r="I142" s="292">
        <f>Forecast!K176</f>
        <v>-91077.362106070388</v>
      </c>
      <c r="J142" s="292">
        <f>Forecast!L176</f>
        <v>-92443.301839184947</v>
      </c>
      <c r="K142" s="292">
        <f>Forecast!M176</f>
        <v>-93830.880060688592</v>
      </c>
    </row>
    <row r="143" spans="1:11" ht="19" x14ac:dyDescent="0.25">
      <c r="A143" s="278" t="s">
        <v>466</v>
      </c>
      <c r="B143" s="278"/>
      <c r="C143" s="278"/>
      <c r="E143" s="322">
        <f>Forecast!G178</f>
        <v>-3345000</v>
      </c>
      <c r="F143" s="322">
        <f>Forecast!H178</f>
        <v>-1085568.2029698906</v>
      </c>
      <c r="G143" s="322">
        <f>Forecast!I178</f>
        <v>-1168619.0919703376</v>
      </c>
      <c r="H143" s="322">
        <f>Forecast!J178</f>
        <v>-1258383.5780405982</v>
      </c>
      <c r="I143" s="322">
        <f>Forecast!K178</f>
        <v>-1355909.9799229109</v>
      </c>
      <c r="J143" s="322">
        <f>Forecast!L178</f>
        <v>-1460791.4872096756</v>
      </c>
      <c r="K143" s="322">
        <f>Forecast!M178</f>
        <v>-1574169.8337152011</v>
      </c>
    </row>
    <row r="144" spans="1:11" ht="19" x14ac:dyDescent="0.2">
      <c r="A144" s="279"/>
      <c r="B144" s="279"/>
      <c r="C144" s="279"/>
      <c r="E144" s="47"/>
    </row>
    <row r="145" spans="1:11" ht="19" x14ac:dyDescent="0.25">
      <c r="A145" s="321" t="s">
        <v>467</v>
      </c>
      <c r="B145" s="321"/>
      <c r="C145" s="303"/>
      <c r="D145" s="304"/>
      <c r="E145" s="323">
        <f>Forecast!G180</f>
        <v>-51000</v>
      </c>
      <c r="F145" s="323">
        <f>Forecast!H180</f>
        <v>-50000</v>
      </c>
      <c r="G145" s="323">
        <f>Forecast!I180</f>
        <v>-50000</v>
      </c>
      <c r="H145" s="323">
        <f>Forecast!J180</f>
        <v>-50000</v>
      </c>
      <c r="I145" s="323">
        <f>Forecast!K180</f>
        <v>-50000</v>
      </c>
      <c r="J145" s="323">
        <f>Forecast!L180</f>
        <v>-50000</v>
      </c>
      <c r="K145" s="323">
        <f>Forecast!M180</f>
        <v>-50000</v>
      </c>
    </row>
    <row r="146" spans="1:11" ht="19" x14ac:dyDescent="0.2">
      <c r="A146" s="287" t="s">
        <v>470</v>
      </c>
      <c r="B146" s="287"/>
      <c r="C146" s="279"/>
      <c r="E146" s="295">
        <f>Forecast!G183</f>
        <v>0</v>
      </c>
      <c r="F146" s="295">
        <f>Forecast!H183</f>
        <v>0</v>
      </c>
      <c r="G146" s="295">
        <f>Forecast!I183</f>
        <v>0</v>
      </c>
      <c r="H146" s="295">
        <f>Forecast!J183</f>
        <v>0</v>
      </c>
      <c r="I146" s="295">
        <f>Forecast!K183</f>
        <v>0</v>
      </c>
      <c r="J146" s="295">
        <f>Forecast!L183</f>
        <v>0</v>
      </c>
      <c r="K146" s="295">
        <f>Forecast!M183</f>
        <v>0</v>
      </c>
    </row>
    <row r="147" spans="1:11" ht="19" x14ac:dyDescent="0.2">
      <c r="A147" s="287" t="s">
        <v>471</v>
      </c>
      <c r="B147" s="287"/>
      <c r="C147" s="279"/>
      <c r="E147" s="295">
        <f>Forecast!G184</f>
        <v>0</v>
      </c>
      <c r="F147" s="295">
        <f>Forecast!H184</f>
        <v>0</v>
      </c>
      <c r="G147" s="295">
        <f>Forecast!I184</f>
        <v>0</v>
      </c>
      <c r="H147" s="295">
        <f>Forecast!J184</f>
        <v>0</v>
      </c>
      <c r="I147" s="295">
        <f>Forecast!K184</f>
        <v>0</v>
      </c>
      <c r="J147" s="295">
        <f>Forecast!L184</f>
        <v>0</v>
      </c>
      <c r="K147" s="295">
        <f>Forecast!M184</f>
        <v>0</v>
      </c>
    </row>
    <row r="148" spans="1:11" ht="19" x14ac:dyDescent="0.25">
      <c r="A148" s="287" t="s">
        <v>472</v>
      </c>
      <c r="B148" s="287"/>
      <c r="C148" s="279"/>
      <c r="E148" s="322">
        <f>Forecast!G185</f>
        <v>-741000</v>
      </c>
      <c r="F148" s="295">
        <f>Forecast!H185</f>
        <v>0</v>
      </c>
      <c r="G148" s="295">
        <f>Forecast!I185</f>
        <v>0</v>
      </c>
      <c r="H148" s="295">
        <f>Forecast!J185</f>
        <v>0</v>
      </c>
      <c r="I148" s="295">
        <f>Forecast!K185</f>
        <v>0</v>
      </c>
      <c r="J148" s="295">
        <f>Forecast!L185</f>
        <v>0</v>
      </c>
      <c r="K148" s="295">
        <f>Forecast!M185</f>
        <v>0</v>
      </c>
    </row>
    <row r="149" spans="1:11" ht="19" x14ac:dyDescent="0.25">
      <c r="A149" s="287" t="s">
        <v>473</v>
      </c>
      <c r="B149" s="287"/>
      <c r="C149" s="279"/>
      <c r="E149" s="322">
        <f>Forecast!G186</f>
        <v>-1475000</v>
      </c>
      <c r="F149" s="322">
        <f>Forecast!H186</f>
        <v>-1464640.5916127625</v>
      </c>
      <c r="G149" s="322">
        <f>Forecast!I186</f>
        <v>-1584556.1106513394</v>
      </c>
      <c r="H149" s="322">
        <f>Forecast!J186</f>
        <v>-1714289.5548441387</v>
      </c>
      <c r="I149" s="322">
        <f>Forecast!K186</f>
        <v>-1854644.7538798188</v>
      </c>
      <c r="J149" s="322">
        <f>Forecast!L186</f>
        <v>-2006491.3499438947</v>
      </c>
      <c r="K149" s="322">
        <f>Forecast!M186</f>
        <v>-2170770.1860302235</v>
      </c>
    </row>
    <row r="150" spans="1:11" ht="19" x14ac:dyDescent="0.25">
      <c r="A150" s="288" t="s">
        <v>474</v>
      </c>
      <c r="B150" s="288"/>
      <c r="C150" s="278"/>
      <c r="E150" s="322">
        <f>Forecast!G188</f>
        <v>-2267000</v>
      </c>
      <c r="F150" s="322">
        <f>Forecast!H188</f>
        <v>-1514640.5916127625</v>
      </c>
      <c r="G150" s="322">
        <f>Forecast!I188</f>
        <v>-1634556.1106513394</v>
      </c>
      <c r="H150" s="322">
        <f>Forecast!J188</f>
        <v>-1764289.5548441387</v>
      </c>
      <c r="I150" s="322">
        <f>Forecast!K188</f>
        <v>-1904644.7538798188</v>
      </c>
      <c r="J150" s="322">
        <f>Forecast!L188</f>
        <v>-2056491.3499438947</v>
      </c>
      <c r="K150" s="322">
        <f>Forecast!M188</f>
        <v>-2220770.1860302235</v>
      </c>
    </row>
    <row r="151" spans="1:11" ht="19" x14ac:dyDescent="0.2">
      <c r="A151" s="279"/>
      <c r="B151" s="279"/>
      <c r="C151" s="279"/>
      <c r="E151" s="47"/>
    </row>
    <row r="152" spans="1:11" ht="19" x14ac:dyDescent="0.2">
      <c r="A152" s="303" t="s">
        <v>475</v>
      </c>
      <c r="B152" s="303"/>
      <c r="C152" s="303"/>
      <c r="D152" s="304"/>
      <c r="E152" s="305"/>
      <c r="F152" s="304"/>
      <c r="G152" s="304"/>
      <c r="H152" s="304"/>
      <c r="I152" s="304"/>
      <c r="J152" s="304"/>
      <c r="K152" s="304"/>
    </row>
    <row r="153" spans="1:11" ht="19" x14ac:dyDescent="0.25">
      <c r="A153" s="278" t="s">
        <v>476</v>
      </c>
      <c r="B153" s="278"/>
      <c r="C153" s="278"/>
      <c r="E153" s="326">
        <f>Forecast!G192</f>
        <v>-587000</v>
      </c>
      <c r="F153" s="306">
        <f>Forecast!H192</f>
        <v>4072879.9748297585</v>
      </c>
      <c r="G153" s="306">
        <f>Forecast!I192</f>
        <v>4434462.3486853978</v>
      </c>
      <c r="H153" s="306">
        <f>Forecast!J192</f>
        <v>5161918.1647197604</v>
      </c>
      <c r="I153" s="306">
        <f>Forecast!K192</f>
        <v>5027637.8975709863</v>
      </c>
      <c r="J153" s="306">
        <f>Forecast!L192</f>
        <v>6352880.7950212024</v>
      </c>
      <c r="K153" s="306">
        <f>Forecast!M192</f>
        <v>6267131.958804613</v>
      </c>
    </row>
  </sheetData>
  <mergeCells count="1">
    <mergeCell ref="A2:G2"/>
  </mergeCells>
  <conditionalFormatting sqref="A2 F14:M14 E15:M15 F16:K16 A60:K60 A61:C153">
    <cfRule type="expression" dxfId="5" priority="7" stopIfTrue="1">
      <formula>ISERROR(A2)</formula>
    </cfRule>
  </conditionalFormatting>
  <conditionalFormatting sqref="A7:C12">
    <cfRule type="expression" dxfId="4" priority="5" stopIfTrue="1">
      <formula>ISERROR(A7)</formula>
    </cfRule>
  </conditionalFormatting>
  <conditionalFormatting sqref="A16:C24 A25:K25 A26:C32 A33:K33 A34:C41 A42:K42 A43:C47 A48:K48 A49:C59">
    <cfRule type="expression" dxfId="3" priority="3" stopIfTrue="1">
      <formula>ISERROR(A16)</formula>
    </cfRule>
  </conditionalFormatting>
  <conditionalFormatting sqref="A4:P6">
    <cfRule type="expression" dxfId="2" priority="6" stopIfTrue="1">
      <formula>ISERROR(A4)</formula>
    </cfRule>
  </conditionalFormatting>
  <conditionalFormatting sqref="E7:G12">
    <cfRule type="expression" dxfId="1" priority="4" stopIfTrue="1">
      <formula>ISERROR(E7)</formula>
    </cfRule>
  </conditionalFormatting>
  <conditionalFormatting sqref="I8:I13">
    <cfRule type="expression" dxfId="0" priority="1" stopIfTrue="1">
      <formula>ISERROR(I8)</formula>
    </cfRule>
  </conditionalFormatting>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6213B-91BA-B247-8A93-95E3DC6B3D7F}">
  <dimension ref="B3:N33"/>
  <sheetViews>
    <sheetView showGridLines="0" workbookViewId="0">
      <selection activeCell="F6" sqref="F6"/>
    </sheetView>
  </sheetViews>
  <sheetFormatPr baseColWidth="10" defaultRowHeight="16" x14ac:dyDescent="0.2"/>
  <cols>
    <col min="3" max="3" width="27.5" customWidth="1"/>
    <col min="6" max="6" width="12.1640625" bestFit="1" customWidth="1"/>
    <col min="12" max="14" width="10.83203125" hidden="1" customWidth="1"/>
  </cols>
  <sheetData>
    <row r="3" spans="2:14" ht="19" x14ac:dyDescent="0.25">
      <c r="B3" s="224" t="s">
        <v>776</v>
      </c>
      <c r="C3" s="225"/>
      <c r="D3" s="225"/>
      <c r="E3" s="225"/>
    </row>
    <row r="5" spans="2:14" ht="19" x14ac:dyDescent="0.25">
      <c r="B5" s="224" t="s">
        <v>195</v>
      </c>
      <c r="C5" s="61"/>
      <c r="D5" s="61"/>
      <c r="E5" s="61"/>
      <c r="F5" s="61"/>
    </row>
    <row r="6" spans="2:14" x14ac:dyDescent="0.2">
      <c r="F6" s="47" t="s">
        <v>196</v>
      </c>
      <c r="H6" t="s">
        <v>777</v>
      </c>
      <c r="L6" s="47" t="s">
        <v>198</v>
      </c>
      <c r="M6" s="47" t="s">
        <v>196</v>
      </c>
      <c r="N6" s="47" t="s">
        <v>197</v>
      </c>
    </row>
    <row r="7" spans="2:14" x14ac:dyDescent="0.2">
      <c r="C7" t="s">
        <v>203</v>
      </c>
      <c r="F7" s="50" cm="1">
        <f t="array" ref="F7">_xlfn.IFS($F$6= "Sustainable",M7,$F6= "Slow",L7,$F$6= "Rapid", N7)</f>
        <v>8.1873682680427357E-2</v>
      </c>
      <c r="L7" s="49">
        <v>0.05</v>
      </c>
      <c r="M7" s="49">
        <v>8.1873682680427357E-2</v>
      </c>
      <c r="N7" s="50">
        <v>0.107</v>
      </c>
    </row>
    <row r="8" spans="2:14" x14ac:dyDescent="0.2">
      <c r="C8" t="s">
        <v>202</v>
      </c>
      <c r="F8" s="50" cm="1">
        <f t="array" ref="F8">_xlfn.IFS($F$6= "Sustainable",M8,$F$6= "Slow",L8,$F$6= "Rapid", N8)</f>
        <v>0.53968627187531493</v>
      </c>
      <c r="L8" s="49">
        <v>0.53</v>
      </c>
      <c r="M8" s="49">
        <v>0.53968627187531493</v>
      </c>
      <c r="N8" s="48">
        <v>0.55000000000000004</v>
      </c>
    </row>
    <row r="9" spans="2:14" x14ac:dyDescent="0.2">
      <c r="C9" t="s">
        <v>389</v>
      </c>
      <c r="F9" s="50" cm="1">
        <f t="array" ref="F9">_xlfn.IFS($F$6= "Sustainable",M9,$F$6= "Slow",L9,$F$6= "Rapid", N9)</f>
        <v>6.9161264317624538E-2</v>
      </c>
      <c r="L9" s="50">
        <v>6.5000000000000002E-2</v>
      </c>
      <c r="M9" s="50">
        <v>6.9161264317624538E-2</v>
      </c>
      <c r="N9" s="50">
        <v>7.1999999999999995E-2</v>
      </c>
    </row>
    <row r="10" spans="2:14" x14ac:dyDescent="0.2">
      <c r="C10" t="s">
        <v>390</v>
      </c>
      <c r="F10" s="50" cm="1">
        <f t="array" ref="F10">_xlfn.IFS($F$6= "Sustainable",M10,$F$6= "Slow",L10,$F$6= "Rapid", N10)</f>
        <v>6.0763830573376774E-2</v>
      </c>
      <c r="L10" s="50">
        <v>8.2000000000000003E-2</v>
      </c>
      <c r="M10" s="50">
        <v>6.0763830573376774E-2</v>
      </c>
      <c r="N10" s="50">
        <v>5.6000000000000001E-2</v>
      </c>
    </row>
    <row r="11" spans="2:14" x14ac:dyDescent="0.2">
      <c r="C11" t="s">
        <v>391</v>
      </c>
      <c r="F11" s="50" cm="1">
        <f t="array" ref="F11">_xlfn.IFS($F$6= "Sustainable",M11,$F$6= "Slow",L11,$F$6= "Rapid", N11)</f>
        <v>9.9862282086594339E-2</v>
      </c>
      <c r="L11" s="50">
        <v>0.11799999999999999</v>
      </c>
      <c r="M11" s="50">
        <v>9.9862282086594339E-2</v>
      </c>
      <c r="N11" s="50">
        <v>9.5000000000000001E-2</v>
      </c>
    </row>
    <row r="12" spans="2:14" x14ac:dyDescent="0.2">
      <c r="C12" t="s">
        <v>392</v>
      </c>
      <c r="F12" s="50" cm="1">
        <f t="array" ref="F12">_xlfn.IFS($F$6= "Sustainable",M12,$F$6= "Slow",L12,$F$6= "Rapid", N12)</f>
        <v>6.4458701420845796E-2</v>
      </c>
      <c r="L12" s="50">
        <v>7.6999999999999999E-2</v>
      </c>
      <c r="M12" s="50">
        <v>6.4458701420845796E-2</v>
      </c>
      <c r="N12" s="50">
        <v>0.06</v>
      </c>
    </row>
    <row r="13" spans="2:14" x14ac:dyDescent="0.2">
      <c r="F13" s="50"/>
      <c r="L13" s="49"/>
      <c r="M13" s="49"/>
      <c r="N13" s="48"/>
    </row>
    <row r="14" spans="2:14" x14ac:dyDescent="0.2">
      <c r="C14" t="s">
        <v>205</v>
      </c>
      <c r="F14" s="50" cm="1">
        <f t="array" ref="F14">_xlfn.IFS($F$6= "Sustainable",M14,$F$6= "Slow",L14,$F$6= "Rapid", N14)</f>
        <v>0.04</v>
      </c>
      <c r="L14" s="50">
        <v>0.04</v>
      </c>
      <c r="M14" s="50">
        <v>0.04</v>
      </c>
      <c r="N14" s="50">
        <v>0.04</v>
      </c>
    </row>
    <row r="15" spans="2:14" x14ac:dyDescent="0.2">
      <c r="C15" t="s">
        <v>303</v>
      </c>
      <c r="F15" s="50" cm="1">
        <f t="array" ref="F15">_xlfn.IFS($F$6= "Sustainable",M15,$F$6= "Slow",L15,$F$6= "Rapid", N15)</f>
        <v>0.02</v>
      </c>
      <c r="L15" s="50">
        <v>1.2999999999999999E-2</v>
      </c>
      <c r="M15" s="50">
        <v>0.02</v>
      </c>
      <c r="N15" s="48">
        <v>0.03</v>
      </c>
    </row>
    <row r="16" spans="2:14" x14ac:dyDescent="0.2">
      <c r="C16" t="s">
        <v>199</v>
      </c>
      <c r="F16" s="50" cm="1">
        <f t="array" ref="F16">_xlfn.IFS($F$6= "Sustainable",M16,$F$6= "Slow",L16,$F$6= "Rapid", N16)</f>
        <v>1.4667250437828371E-2</v>
      </c>
      <c r="L16" s="48">
        <v>-0.02</v>
      </c>
      <c r="M16" s="48">
        <v>1.4667250437828371E-2</v>
      </c>
      <c r="N16" s="48">
        <v>0.03</v>
      </c>
    </row>
    <row r="17" spans="3:14" x14ac:dyDescent="0.2">
      <c r="C17" t="s">
        <v>200</v>
      </c>
      <c r="F17" s="50" cm="1">
        <f t="array" ref="F17">_xlfn.IFS($F$6= "Sustainable",M17,$F$6= "Slow",L17,$F$6= "Rapid", N17)</f>
        <v>6.1295971978984239E-3</v>
      </c>
      <c r="L17" s="50">
        <v>-3.0000000000000001E-3</v>
      </c>
      <c r="M17" s="50">
        <v>6.1295971978984239E-3</v>
      </c>
      <c r="N17" s="48">
        <v>0.01</v>
      </c>
    </row>
    <row r="18" spans="3:14" x14ac:dyDescent="0.2">
      <c r="C18" t="s">
        <v>201</v>
      </c>
      <c r="F18" s="50" cm="1">
        <f t="array" ref="F18">_xlfn.IFS($F$6= "Sustainable",M18,$F$6= "Slow",L18,$F$6= "Rapid", N18)</f>
        <v>3.5755983654407473E-3</v>
      </c>
      <c r="L18" s="50">
        <v>-3.0000000000000001E-3</v>
      </c>
      <c r="M18" s="50">
        <v>3.5755983654407473E-3</v>
      </c>
      <c r="N18" s="48">
        <v>0.01</v>
      </c>
    </row>
    <row r="19" spans="3:14" x14ac:dyDescent="0.2">
      <c r="C19" t="s">
        <v>24</v>
      </c>
      <c r="F19" s="50" cm="1">
        <f t="array" ref="F19">_xlfn.IFS($F$6= "Sustainable",M19,$F$6= "Slow",L19,$F$6= "Rapid", N19)</f>
        <v>0.21</v>
      </c>
      <c r="L19" s="48">
        <v>0.21</v>
      </c>
      <c r="M19" s="48">
        <v>0.21</v>
      </c>
      <c r="N19" s="48">
        <v>0.21</v>
      </c>
    </row>
    <row r="20" spans="3:14" x14ac:dyDescent="0.2">
      <c r="C20" t="s">
        <v>204</v>
      </c>
      <c r="F20" s="327" cm="1">
        <f t="array" ref="F20">_xlfn.IFS($F$6= "Sustainable",M20,$F$6= "Slow",L20,$F$6= "Rapid", N20)</f>
        <v>-50000</v>
      </c>
      <c r="L20" s="134">
        <v>-40000</v>
      </c>
      <c r="M20" s="134">
        <v>-50000</v>
      </c>
      <c r="N20" s="134">
        <v>-60000</v>
      </c>
    </row>
    <row r="21" spans="3:14" x14ac:dyDescent="0.2">
      <c r="C21" t="s">
        <v>304</v>
      </c>
      <c r="F21" s="50" cm="1">
        <f t="array" ref="F21">_xlfn.IFS($F$6= "Sustainable",M21,$F$6= "Slow",L21,$F$6= "Rapid", N21)</f>
        <v>2.8416915790534413E-2</v>
      </c>
      <c r="L21" s="49">
        <v>0.02</v>
      </c>
      <c r="M21" s="109">
        <v>2.8416915790534413E-2</v>
      </c>
      <c r="N21" s="50">
        <v>0.03</v>
      </c>
    </row>
    <row r="22" spans="3:14" x14ac:dyDescent="0.2">
      <c r="C22" t="s">
        <v>429</v>
      </c>
      <c r="F22" s="50" cm="1">
        <f t="array" ref="F22">_xlfn.IFS($F$6= "Sustainable",M22,$F$6= "Slow",L22,$F$6= "Rapid", N22)</f>
        <v>7.5912801047999731E-3</v>
      </c>
      <c r="L22" s="50">
        <v>1.7000000000000001E-2</v>
      </c>
      <c r="M22" s="50">
        <v>7.5912801047999731E-3</v>
      </c>
      <c r="N22" s="50">
        <v>6.0000000000000001E-3</v>
      </c>
    </row>
    <row r="23" spans="3:14" x14ac:dyDescent="0.2">
      <c r="F23" s="50"/>
      <c r="L23" s="49"/>
      <c r="M23" s="49"/>
      <c r="N23" s="48"/>
    </row>
    <row r="24" spans="3:14" x14ac:dyDescent="0.2">
      <c r="C24" t="s">
        <v>399</v>
      </c>
      <c r="F24" s="50" cm="1">
        <f t="array" ref="F24">_xlfn.IFS($F$6= "Sustainable",M24,$F$6= "Slow",L24,$F$6= "Rapid", N24)</f>
        <v>0.1</v>
      </c>
      <c r="L24" s="49">
        <v>0.1</v>
      </c>
      <c r="M24" s="49">
        <v>0.1</v>
      </c>
      <c r="N24" s="48">
        <v>0.1</v>
      </c>
    </row>
    <row r="25" spans="3:14" x14ac:dyDescent="0.2">
      <c r="C25" t="s">
        <v>412</v>
      </c>
      <c r="F25" s="50" cm="1">
        <f t="array" ref="F25">_xlfn.IFS($F$6= "Sustainable",M25,$F$6= "Slow",L25,$F$6= "Rapid", N25)</f>
        <v>0.1</v>
      </c>
      <c r="L25" s="49">
        <v>0.1</v>
      </c>
      <c r="M25" s="49">
        <v>0.1</v>
      </c>
      <c r="N25" s="48">
        <v>0.1</v>
      </c>
    </row>
    <row r="26" spans="3:14" x14ac:dyDescent="0.2">
      <c r="C26" t="s">
        <v>479</v>
      </c>
      <c r="F26" s="50" cm="1">
        <f t="array" ref="F26">_xlfn.IFS($F$6= "Sustainable",M26,$F$6= "Slow",L26,$F$6= "Rapid", N26)</f>
        <v>0.35</v>
      </c>
      <c r="L26" s="49">
        <v>0.35</v>
      </c>
      <c r="M26" s="49">
        <v>0.35</v>
      </c>
      <c r="N26" s="48">
        <v>0.35</v>
      </c>
    </row>
    <row r="27" spans="3:14" x14ac:dyDescent="0.2">
      <c r="C27" t="s">
        <v>430</v>
      </c>
      <c r="F27" s="50" cm="1">
        <f t="array" ref="F27">_xlfn.IFS($F$6= "Sustainable",M27,$F$6= "Slow",L27,$F$6= "Rapid", N27)</f>
        <v>3.1E-2</v>
      </c>
      <c r="L27" s="109">
        <v>2.8000000000000001E-2</v>
      </c>
      <c r="M27" s="109">
        <v>3.1E-2</v>
      </c>
      <c r="N27" s="50">
        <v>3.6999999999999998E-2</v>
      </c>
    </row>
    <row r="28" spans="3:14" x14ac:dyDescent="0.2">
      <c r="C28" t="s">
        <v>401</v>
      </c>
      <c r="F28" s="50" cm="1">
        <f t="array" ref="F28">_xlfn.IFS($F$6= "Sustainable",M28,$F$6= "Slow",L28,$F$6= "Rapid", N28)</f>
        <v>0</v>
      </c>
      <c r="L28" s="49">
        <v>0</v>
      </c>
      <c r="M28" s="49">
        <v>0</v>
      </c>
      <c r="N28" s="48">
        <v>0</v>
      </c>
    </row>
    <row r="29" spans="3:14" x14ac:dyDescent="0.2">
      <c r="C29" t="s">
        <v>431</v>
      </c>
      <c r="F29" s="50" cm="1">
        <f t="array" ref="F29">_xlfn.IFS($F$6= "Sustainable",M29,$F$6= "Slow",L29,$F$6= "Rapid", N29)</f>
        <v>0.2</v>
      </c>
      <c r="L29" s="49">
        <v>0.2</v>
      </c>
      <c r="M29" s="49">
        <v>0.2</v>
      </c>
      <c r="N29" s="48">
        <v>0.2</v>
      </c>
    </row>
    <row r="30" spans="3:14" x14ac:dyDescent="0.2">
      <c r="C30" t="s">
        <v>432</v>
      </c>
      <c r="F30" s="50" cm="1">
        <f t="array" ref="F30">_xlfn.IFS($F$6= "Sustainable",M30,$F$6= "Slow",L30,$F$6= "Rapid", N30)</f>
        <v>0.1</v>
      </c>
      <c r="L30" s="49">
        <v>0.1</v>
      </c>
      <c r="M30" s="49">
        <v>0.1</v>
      </c>
      <c r="N30" s="48">
        <v>0.1</v>
      </c>
    </row>
    <row r="31" spans="3:14" x14ac:dyDescent="0.2">
      <c r="C31" t="s">
        <v>402</v>
      </c>
      <c r="F31" s="50" cm="1">
        <f t="array" ref="F31">_xlfn.IFS($F$6= "Sustainable",M31,$F$6= "Slow",L31,$F$6= "Rapid", N31)</f>
        <v>0.7</v>
      </c>
      <c r="L31" s="49">
        <v>0.7</v>
      </c>
      <c r="M31" s="49">
        <v>0.7</v>
      </c>
      <c r="N31" s="48">
        <v>0.7</v>
      </c>
    </row>
    <row r="32" spans="3:14" x14ac:dyDescent="0.2">
      <c r="C32" t="s">
        <v>774</v>
      </c>
      <c r="F32" s="50" cm="1">
        <f t="array" ref="F32">_xlfn.IFS($F$6= "Sustainable",M32,$F$6= "Slow",L32,$F$6= "Rapid", N32)</f>
        <v>1.7530063962860165E-2</v>
      </c>
      <c r="L32" s="50">
        <v>0.01</v>
      </c>
      <c r="M32" s="50">
        <f>((Forecast!D109/Forecast!C109)+(Forecast!E109/Forecast!D109)+(Forecast!F109/Forecast!E109)+(Forecast!G109/Forecast!F109))/5-1</f>
        <v>1.7530063962860165E-2</v>
      </c>
      <c r="N32" s="50">
        <v>2.5000000000000001E-2</v>
      </c>
    </row>
    <row r="33" spans="3:14" x14ac:dyDescent="0.2">
      <c r="C33" t="s">
        <v>775</v>
      </c>
      <c r="F33" s="50" cm="1">
        <f t="array" ref="F33">_xlfn.IFS($F$6= "Sustainable",M33,$F$6= "Slow",L33,$F$6= "Rapid", N33)</f>
        <v>0.01</v>
      </c>
      <c r="L33" s="50">
        <v>4.0000000000000001E-3</v>
      </c>
      <c r="M33" s="50">
        <v>0.01</v>
      </c>
      <c r="N33" s="50">
        <v>1.7999999999999999E-2</v>
      </c>
    </row>
  </sheetData>
  <dataValidations count="1">
    <dataValidation type="list" allowBlank="1" showInputMessage="1" showErrorMessage="1" sqref="F6" xr:uid="{19FA7037-4B62-284E-ABF4-C7E8B548F42E}">
      <formula1>$L$6:$N$6</formula1>
    </dataValidation>
  </dataValidation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5F523A-E735-F14C-A066-4F893F10AACA}">
  <dimension ref="B1:G91"/>
  <sheetViews>
    <sheetView zoomScale="85" workbookViewId="0">
      <selection activeCell="E15" sqref="E15"/>
    </sheetView>
  </sheetViews>
  <sheetFormatPr baseColWidth="10" defaultRowHeight="16" x14ac:dyDescent="0.2"/>
  <cols>
    <col min="2" max="2" width="77.1640625" bestFit="1" customWidth="1"/>
    <col min="3" max="7" width="15.5" bestFit="1" customWidth="1"/>
  </cols>
  <sheetData>
    <row r="1" spans="2:7" x14ac:dyDescent="0.2">
      <c r="B1" s="1" t="s">
        <v>0</v>
      </c>
    </row>
    <row r="2" spans="2:7" ht="19" x14ac:dyDescent="0.25">
      <c r="B2" s="23" t="s">
        <v>1</v>
      </c>
      <c r="C2" s="24">
        <v>2019</v>
      </c>
      <c r="D2" s="24">
        <v>2020</v>
      </c>
      <c r="E2" s="24">
        <v>2021</v>
      </c>
      <c r="F2" s="24">
        <v>2022</v>
      </c>
      <c r="G2" s="24">
        <v>2023</v>
      </c>
    </row>
    <row r="3" spans="2:7" ht="19" x14ac:dyDescent="0.25">
      <c r="B3" s="2" t="s">
        <v>2</v>
      </c>
      <c r="C3" s="3"/>
      <c r="D3" s="3"/>
      <c r="E3" s="3"/>
      <c r="F3" s="3"/>
      <c r="G3" s="3"/>
    </row>
    <row r="4" spans="2:7" ht="19" x14ac:dyDescent="0.25">
      <c r="B4" s="2" t="s">
        <v>3</v>
      </c>
      <c r="C4" s="3">
        <v>17772000</v>
      </c>
      <c r="D4" s="3">
        <v>21454000</v>
      </c>
      <c r="E4" s="3">
        <v>25371000</v>
      </c>
      <c r="F4" s="3">
        <v>27518000</v>
      </c>
      <c r="G4" s="3">
        <v>29771000</v>
      </c>
    </row>
    <row r="5" spans="2:7" ht="19" x14ac:dyDescent="0.25">
      <c r="B5" s="4" t="s">
        <v>4</v>
      </c>
      <c r="C5" s="5">
        <v>17772000</v>
      </c>
      <c r="D5" s="5">
        <v>21454000</v>
      </c>
      <c r="E5" s="5">
        <v>25371000</v>
      </c>
      <c r="F5" s="5">
        <v>27518000</v>
      </c>
      <c r="G5" s="5">
        <v>29771000</v>
      </c>
    </row>
    <row r="6" spans="2:7" ht="19" x14ac:dyDescent="0.25">
      <c r="B6" s="2" t="s">
        <v>5</v>
      </c>
      <c r="C6" s="3"/>
      <c r="D6" s="3"/>
      <c r="E6" s="3"/>
      <c r="F6" s="3"/>
      <c r="G6" s="3"/>
    </row>
    <row r="7" spans="2:7" ht="19" x14ac:dyDescent="0.25">
      <c r="B7" s="2" t="s">
        <v>6</v>
      </c>
      <c r="C7" s="3">
        <v>8170000</v>
      </c>
      <c r="D7" s="3">
        <v>9675000</v>
      </c>
      <c r="E7" s="3">
        <v>11375000</v>
      </c>
      <c r="F7" s="3">
        <v>13745000</v>
      </c>
      <c r="G7" s="3">
        <v>16067000</v>
      </c>
    </row>
    <row r="8" spans="2:7" ht="19" x14ac:dyDescent="0.25">
      <c r="B8" s="4" t="s">
        <v>7</v>
      </c>
      <c r="C8" s="5">
        <v>8170000</v>
      </c>
      <c r="D8" s="5">
        <v>9675000</v>
      </c>
      <c r="E8" s="5">
        <v>11375000</v>
      </c>
      <c r="F8" s="5">
        <v>13745000</v>
      </c>
      <c r="G8" s="5">
        <v>16067000</v>
      </c>
    </row>
    <row r="9" spans="2:7" ht="19" x14ac:dyDescent="0.25">
      <c r="B9" s="4" t="s">
        <v>8</v>
      </c>
      <c r="C9" s="5">
        <v>9602000</v>
      </c>
      <c r="D9" s="5">
        <v>11779000</v>
      </c>
      <c r="E9" s="5">
        <v>13996000</v>
      </c>
      <c r="F9" s="5">
        <v>13773000</v>
      </c>
      <c r="G9" s="5">
        <v>13704000</v>
      </c>
    </row>
    <row r="10" spans="2:7" ht="19" x14ac:dyDescent="0.25">
      <c r="B10" s="23" t="s">
        <v>9</v>
      </c>
      <c r="C10" s="25"/>
      <c r="D10" s="25"/>
      <c r="E10" s="25"/>
      <c r="F10" s="25"/>
      <c r="G10" s="25"/>
    </row>
    <row r="11" spans="2:7" ht="19" x14ac:dyDescent="0.25">
      <c r="B11" s="2" t="s">
        <v>10</v>
      </c>
      <c r="C11" s="15"/>
      <c r="D11" s="15"/>
      <c r="E11" s="15"/>
      <c r="F11" s="15"/>
      <c r="G11" s="15"/>
    </row>
    <row r="12" spans="2:7" ht="19" x14ac:dyDescent="0.25">
      <c r="B12" s="2" t="s">
        <v>159</v>
      </c>
      <c r="C12" s="3">
        <v>1711000</v>
      </c>
      <c r="D12" s="3">
        <v>2070000</v>
      </c>
      <c r="E12" s="3">
        <v>2114000</v>
      </c>
      <c r="F12" s="3">
        <v>2099000</v>
      </c>
      <c r="G12" s="3">
        <v>2059000</v>
      </c>
    </row>
    <row r="13" spans="2:7" ht="19" x14ac:dyDescent="0.25">
      <c r="B13" s="2" t="s">
        <v>160</v>
      </c>
      <c r="C13" s="3">
        <v>1401000</v>
      </c>
      <c r="D13" s="3">
        <v>1861000</v>
      </c>
      <c r="E13" s="3">
        <v>2445000</v>
      </c>
      <c r="F13" s="3">
        <v>2257000</v>
      </c>
      <c r="G13" s="3">
        <v>1809000</v>
      </c>
    </row>
    <row r="14" spans="2:7" ht="19" x14ac:dyDescent="0.25">
      <c r="B14" s="4" t="s">
        <v>161</v>
      </c>
      <c r="C14" s="5">
        <v>3112000</v>
      </c>
      <c r="D14" s="5">
        <v>3931000</v>
      </c>
      <c r="E14" s="5">
        <v>4559000</v>
      </c>
      <c r="F14" s="5">
        <v>4356000</v>
      </c>
      <c r="G14" s="5">
        <v>3868000</v>
      </c>
    </row>
    <row r="15" spans="2:7" ht="19" x14ac:dyDescent="0.25">
      <c r="B15" s="2" t="s">
        <v>11</v>
      </c>
      <c r="C15" s="3">
        <v>2085000</v>
      </c>
      <c r="D15" s="3">
        <v>2642000</v>
      </c>
      <c r="E15" s="3">
        <v>3038000</v>
      </c>
      <c r="F15" s="3">
        <v>3253000</v>
      </c>
      <c r="G15" s="3">
        <v>2973000</v>
      </c>
    </row>
    <row r="16" spans="2:7" ht="19" x14ac:dyDescent="0.25">
      <c r="B16" s="2" t="s">
        <v>162</v>
      </c>
      <c r="C16" s="15"/>
      <c r="D16" s="15"/>
      <c r="E16" s="15"/>
      <c r="F16" s="15"/>
      <c r="G16" s="15"/>
    </row>
    <row r="17" spans="2:7" ht="19" x14ac:dyDescent="0.25">
      <c r="B17" s="2" t="s">
        <v>163</v>
      </c>
      <c r="C17" s="15"/>
      <c r="D17" s="15"/>
      <c r="E17" s="15"/>
      <c r="F17" s="15"/>
      <c r="G17" s="15"/>
    </row>
    <row r="18" spans="2:7" ht="19" x14ac:dyDescent="0.25">
      <c r="B18" s="4" t="s">
        <v>164</v>
      </c>
      <c r="C18" s="16">
        <f>C15+C16+C17</f>
        <v>2085000</v>
      </c>
      <c r="D18" s="16">
        <f>D15+D16+D17</f>
        <v>2642000</v>
      </c>
      <c r="E18" s="16">
        <f>E15+E16+E17</f>
        <v>3038000</v>
      </c>
      <c r="F18" s="16">
        <f>F15+F16+F17</f>
        <v>3253000</v>
      </c>
      <c r="G18" s="16">
        <f>G15+G16+G17</f>
        <v>2973000</v>
      </c>
    </row>
    <row r="19" spans="2:7" ht="19" x14ac:dyDescent="0.25">
      <c r="B19" s="2" t="s">
        <v>165</v>
      </c>
      <c r="C19" s="3"/>
      <c r="D19" s="3"/>
      <c r="E19" s="3"/>
      <c r="F19" s="3"/>
      <c r="G19" s="3"/>
    </row>
    <row r="20" spans="2:7" ht="19" x14ac:dyDescent="0.25">
      <c r="B20" s="2" t="s">
        <v>166</v>
      </c>
      <c r="C20" s="3">
        <v>1615000</v>
      </c>
      <c r="D20" s="3">
        <v>1778000</v>
      </c>
      <c r="E20" s="3">
        <v>2075000</v>
      </c>
      <c r="F20" s="3">
        <v>2120000</v>
      </c>
      <c r="G20" s="3">
        <v>1919000</v>
      </c>
    </row>
    <row r="21" spans="2:7" ht="19" x14ac:dyDescent="0.25">
      <c r="B21" s="4" t="s">
        <v>167</v>
      </c>
      <c r="C21" s="5">
        <v>1615000</v>
      </c>
      <c r="D21" s="5">
        <v>1778000</v>
      </c>
      <c r="E21" s="5">
        <v>2075000</v>
      </c>
      <c r="F21" s="5">
        <v>2120000</v>
      </c>
      <c r="G21" s="5">
        <v>1919000</v>
      </c>
    </row>
    <row r="22" spans="2:7" ht="19" x14ac:dyDescent="0.25">
      <c r="B22" s="4" t="s">
        <v>12</v>
      </c>
      <c r="C22" s="5">
        <v>6812000</v>
      </c>
      <c r="D22" s="5">
        <v>8351000</v>
      </c>
      <c r="E22" s="5">
        <v>9672000</v>
      </c>
      <c r="F22" s="5">
        <v>9729000</v>
      </c>
      <c r="G22" s="5">
        <v>8760000</v>
      </c>
    </row>
    <row r="23" spans="2:7" ht="19" x14ac:dyDescent="0.25">
      <c r="B23" s="4" t="s">
        <v>13</v>
      </c>
      <c r="C23" s="16">
        <v>2790000</v>
      </c>
      <c r="D23" s="16">
        <v>3428000</v>
      </c>
      <c r="E23" s="16">
        <v>4324000</v>
      </c>
      <c r="F23" s="16">
        <v>4044000</v>
      </c>
      <c r="G23" s="16">
        <v>4944000</v>
      </c>
    </row>
    <row r="24" spans="2:7" ht="19" x14ac:dyDescent="0.25">
      <c r="B24" s="23" t="s">
        <v>14</v>
      </c>
      <c r="C24" s="25"/>
      <c r="D24" s="25"/>
      <c r="E24" s="25"/>
      <c r="F24" s="25"/>
      <c r="G24" s="25"/>
    </row>
    <row r="25" spans="2:7" ht="19" x14ac:dyDescent="0.25">
      <c r="B25" s="2" t="s">
        <v>15</v>
      </c>
      <c r="C25" s="3"/>
      <c r="D25" s="3"/>
      <c r="E25" s="3"/>
      <c r="F25" s="3"/>
      <c r="G25" s="3"/>
    </row>
    <row r="26" spans="2:7" ht="19" x14ac:dyDescent="0.25">
      <c r="B26" s="2" t="s">
        <v>16</v>
      </c>
      <c r="C26" s="3"/>
      <c r="D26" s="3"/>
      <c r="E26" s="3"/>
      <c r="F26" s="3"/>
      <c r="G26" s="3"/>
    </row>
    <row r="27" spans="2:7" ht="19" x14ac:dyDescent="0.25">
      <c r="B27" s="2" t="s">
        <v>17</v>
      </c>
      <c r="C27" s="3">
        <v>115000</v>
      </c>
      <c r="D27" s="3">
        <v>209000</v>
      </c>
      <c r="E27" s="3">
        <v>232000</v>
      </c>
      <c r="F27" s="3">
        <v>304000</v>
      </c>
      <c r="G27" s="3">
        <v>347000</v>
      </c>
    </row>
    <row r="28" spans="2:7" ht="19" x14ac:dyDescent="0.25">
      <c r="B28" s="2" t="s">
        <v>18</v>
      </c>
      <c r="C28" s="3">
        <v>197000</v>
      </c>
      <c r="D28" s="3">
        <v>88000</v>
      </c>
      <c r="E28" s="3">
        <v>57000</v>
      </c>
      <c r="F28" s="3">
        <v>174000</v>
      </c>
      <c r="G28" s="3">
        <v>480000</v>
      </c>
    </row>
    <row r="29" spans="2:7" ht="19" x14ac:dyDescent="0.25">
      <c r="B29" s="4" t="s">
        <v>19</v>
      </c>
      <c r="C29" s="5">
        <v>-82000</v>
      </c>
      <c r="D29" s="5">
        <v>121000</v>
      </c>
      <c r="E29" s="5">
        <v>175000</v>
      </c>
      <c r="F29" s="5">
        <v>130000</v>
      </c>
      <c r="G29" s="5">
        <v>-133000</v>
      </c>
    </row>
    <row r="30" spans="2:7" ht="19" x14ac:dyDescent="0.25">
      <c r="B30" s="4" t="s">
        <v>20</v>
      </c>
      <c r="C30" s="5">
        <v>-82000</v>
      </c>
      <c r="D30" s="5">
        <v>121000</v>
      </c>
      <c r="E30" s="5">
        <v>175000</v>
      </c>
      <c r="F30" s="5">
        <v>130000</v>
      </c>
      <c r="G30" s="5">
        <v>-133000</v>
      </c>
    </row>
    <row r="31" spans="2:7" ht="19" x14ac:dyDescent="0.25">
      <c r="B31" s="2" t="s">
        <v>168</v>
      </c>
      <c r="C31" s="16"/>
      <c r="D31" s="16"/>
      <c r="E31" s="16"/>
      <c r="F31" s="16"/>
      <c r="G31" s="16"/>
    </row>
    <row r="32" spans="2:7" ht="19" x14ac:dyDescent="0.25">
      <c r="B32" s="2" t="s">
        <v>169</v>
      </c>
      <c r="C32" s="3">
        <v>208000</v>
      </c>
      <c r="D32" s="3">
        <v>1914000</v>
      </c>
      <c r="E32" s="3">
        <v>46000</v>
      </c>
      <c r="F32" s="3">
        <v>-304000</v>
      </c>
      <c r="G32" s="3">
        <v>201000</v>
      </c>
    </row>
    <row r="33" spans="2:7" ht="19" x14ac:dyDescent="0.25">
      <c r="B33" s="4" t="s">
        <v>170</v>
      </c>
      <c r="C33" s="5">
        <v>208000</v>
      </c>
      <c r="D33" s="5">
        <v>1914000</v>
      </c>
      <c r="E33" s="5">
        <v>46000</v>
      </c>
      <c r="F33" s="5">
        <v>-304000</v>
      </c>
      <c r="G33" s="5">
        <v>201000</v>
      </c>
    </row>
    <row r="34" spans="2:7" ht="19" x14ac:dyDescent="0.25">
      <c r="B34" s="2" t="s">
        <v>171</v>
      </c>
      <c r="C34" s="16"/>
      <c r="D34" s="16"/>
      <c r="E34" s="16"/>
      <c r="F34" s="16"/>
      <c r="G34" s="16"/>
    </row>
    <row r="35" spans="2:7" ht="19" x14ac:dyDescent="0.25">
      <c r="B35" s="2" t="s">
        <v>172</v>
      </c>
      <c r="C35" s="3">
        <v>71000</v>
      </c>
      <c r="D35" s="3">
        <v>139000</v>
      </c>
      <c r="E35" s="3">
        <v>62000</v>
      </c>
      <c r="F35" s="3">
        <v>207000</v>
      </c>
      <c r="G35" s="3">
        <v>-84000</v>
      </c>
    </row>
    <row r="36" spans="2:7" ht="19" x14ac:dyDescent="0.25">
      <c r="B36" s="4" t="s">
        <v>173</v>
      </c>
      <c r="C36" s="5">
        <v>71000</v>
      </c>
      <c r="D36" s="5">
        <v>139000</v>
      </c>
      <c r="E36" s="5">
        <v>62000</v>
      </c>
      <c r="F36" s="5">
        <v>207000</v>
      </c>
      <c r="G36" s="5">
        <v>-84000</v>
      </c>
    </row>
    <row r="37" spans="2:7" ht="19" x14ac:dyDescent="0.25">
      <c r="B37" s="17" t="s">
        <v>21</v>
      </c>
      <c r="C37" s="3">
        <v>-11000</v>
      </c>
      <c r="D37" s="3">
        <v>-17000</v>
      </c>
      <c r="E37" s="3">
        <v>-34000</v>
      </c>
      <c r="F37" s="3">
        <v>-37000</v>
      </c>
      <c r="G37" s="3">
        <v>49000</v>
      </c>
    </row>
    <row r="38" spans="2:7" ht="19" x14ac:dyDescent="0.25">
      <c r="B38" s="18" t="s">
        <v>22</v>
      </c>
      <c r="C38" s="5">
        <v>208000</v>
      </c>
      <c r="D38" s="5">
        <v>1637000</v>
      </c>
      <c r="E38" s="5">
        <v>-225000</v>
      </c>
      <c r="F38" s="5">
        <v>-678000</v>
      </c>
      <c r="G38" s="5">
        <v>467000</v>
      </c>
    </row>
    <row r="39" spans="2:7" ht="19" x14ac:dyDescent="0.25">
      <c r="B39" s="4" t="s">
        <v>23</v>
      </c>
      <c r="C39" s="20">
        <v>2998000</v>
      </c>
      <c r="D39" s="20">
        <v>5065000</v>
      </c>
      <c r="E39" s="20">
        <v>4099000</v>
      </c>
      <c r="F39" s="20">
        <v>3366000</v>
      </c>
      <c r="G39" s="20">
        <v>5411000</v>
      </c>
    </row>
    <row r="40" spans="2:7" ht="19" x14ac:dyDescent="0.25">
      <c r="B40" s="6" t="s">
        <v>24</v>
      </c>
      <c r="C40" s="21">
        <v>539000</v>
      </c>
      <c r="D40" s="21">
        <v>863000</v>
      </c>
      <c r="E40" s="21">
        <v>-70000</v>
      </c>
      <c r="F40" s="21">
        <v>947000</v>
      </c>
      <c r="G40" s="21">
        <v>1165000</v>
      </c>
    </row>
    <row r="41" spans="2:7" ht="19" x14ac:dyDescent="0.25">
      <c r="B41" s="4" t="s">
        <v>25</v>
      </c>
      <c r="C41" s="16">
        <v>2459000</v>
      </c>
      <c r="D41" s="16">
        <v>4202000</v>
      </c>
      <c r="E41" s="16">
        <v>4169000</v>
      </c>
      <c r="F41" s="16">
        <v>2419000</v>
      </c>
      <c r="G41" s="16">
        <v>4246000</v>
      </c>
    </row>
    <row r="42" spans="2:7" ht="19" x14ac:dyDescent="0.25">
      <c r="B42" s="23" t="s">
        <v>26</v>
      </c>
      <c r="C42" s="26"/>
      <c r="D42" s="26"/>
      <c r="E42" s="26"/>
      <c r="F42" s="26"/>
      <c r="G42" s="26"/>
    </row>
    <row r="43" spans="2:7" ht="19" x14ac:dyDescent="0.25">
      <c r="B43" s="2" t="s">
        <v>27</v>
      </c>
      <c r="C43" s="7">
        <v>2.09</v>
      </c>
      <c r="D43" s="7">
        <v>3.58</v>
      </c>
      <c r="E43" s="7">
        <v>3.55</v>
      </c>
      <c r="F43" s="7">
        <v>2.1</v>
      </c>
      <c r="G43" s="7">
        <v>3.85</v>
      </c>
    </row>
    <row r="44" spans="2:7" ht="19" x14ac:dyDescent="0.25">
      <c r="B44" s="4" t="s">
        <v>28</v>
      </c>
      <c r="C44" s="22">
        <v>2.09</v>
      </c>
      <c r="D44" s="22">
        <v>3.58</v>
      </c>
      <c r="E44" s="22">
        <v>3.55</v>
      </c>
      <c r="F44" s="22">
        <v>2.1</v>
      </c>
      <c r="G44" s="22">
        <v>3.85</v>
      </c>
    </row>
    <row r="45" spans="2:7" ht="19" x14ac:dyDescent="0.25">
      <c r="B45" s="23" t="s">
        <v>29</v>
      </c>
      <c r="C45" s="26"/>
      <c r="D45" s="26"/>
      <c r="E45" s="26"/>
      <c r="F45" s="26"/>
      <c r="G45" s="26"/>
    </row>
    <row r="46" spans="2:7" ht="19" x14ac:dyDescent="0.25">
      <c r="B46" s="2" t="s">
        <v>30</v>
      </c>
      <c r="C46" s="7">
        <v>2.0699999999999998</v>
      </c>
      <c r="D46" s="7">
        <v>3.54</v>
      </c>
      <c r="E46" s="7">
        <v>3.52</v>
      </c>
      <c r="F46" s="7">
        <v>2.09</v>
      </c>
      <c r="G46" s="7">
        <v>3.84</v>
      </c>
    </row>
    <row r="47" spans="2:7" ht="19" x14ac:dyDescent="0.25">
      <c r="B47" s="4" t="s">
        <v>31</v>
      </c>
      <c r="C47" s="22">
        <v>2.0699999999999998</v>
      </c>
      <c r="D47" s="22">
        <v>3.54</v>
      </c>
      <c r="E47" s="22">
        <v>3.52</v>
      </c>
      <c r="F47" s="22">
        <v>2.09</v>
      </c>
      <c r="G47" s="22">
        <v>3.84</v>
      </c>
    </row>
    <row r="48" spans="2:7" ht="19" x14ac:dyDescent="0.25">
      <c r="B48" s="4" t="s">
        <v>32</v>
      </c>
      <c r="C48" s="19">
        <v>1174000000</v>
      </c>
      <c r="D48" s="19">
        <v>1173000000</v>
      </c>
      <c r="E48" s="19">
        <v>1174000000</v>
      </c>
      <c r="F48" s="19">
        <v>1154000000</v>
      </c>
      <c r="G48" s="19">
        <v>1103000000</v>
      </c>
    </row>
    <row r="49" spans="2:7" ht="19" x14ac:dyDescent="0.25">
      <c r="B49" s="4" t="s">
        <v>33</v>
      </c>
      <c r="C49" s="19">
        <v>1188000000</v>
      </c>
      <c r="D49" s="19">
        <v>1187000000</v>
      </c>
      <c r="E49" s="19">
        <v>1186000000</v>
      </c>
      <c r="F49" s="19">
        <v>1158000000</v>
      </c>
      <c r="G49" s="19">
        <v>1107000000</v>
      </c>
    </row>
    <row r="50" spans="2:7" ht="19" x14ac:dyDescent="0.25">
      <c r="B50" s="23" t="s">
        <v>34</v>
      </c>
      <c r="C50" s="27"/>
      <c r="D50" s="27"/>
      <c r="E50" s="27"/>
      <c r="F50" s="27"/>
      <c r="G50" s="27"/>
    </row>
    <row r="51" spans="2:7" ht="19" x14ac:dyDescent="0.25">
      <c r="B51" s="29" t="s">
        <v>35</v>
      </c>
      <c r="C51" s="8"/>
      <c r="D51" s="8"/>
      <c r="E51" s="8"/>
      <c r="F51" s="8"/>
      <c r="G51" s="8"/>
    </row>
    <row r="52" spans="2:7" ht="19" x14ac:dyDescent="0.25">
      <c r="B52" s="2" t="s">
        <v>36</v>
      </c>
      <c r="C52" s="28" t="s">
        <v>174</v>
      </c>
      <c r="D52" s="28" t="s">
        <v>174</v>
      </c>
      <c r="E52" s="28" t="s">
        <v>174</v>
      </c>
      <c r="F52" s="28" t="s">
        <v>174</v>
      </c>
      <c r="G52" s="28" t="s">
        <v>174</v>
      </c>
    </row>
    <row r="53" spans="2:7" ht="19" x14ac:dyDescent="0.25">
      <c r="B53" s="2" t="s">
        <v>37</v>
      </c>
      <c r="C53" s="7">
        <v>3.2222222222222223</v>
      </c>
      <c r="D53" s="7">
        <v>5.3706823925863523</v>
      </c>
      <c r="E53" s="7">
        <v>4.6703204047217541</v>
      </c>
      <c r="F53" s="7">
        <v>4.1563039723661497</v>
      </c>
      <c r="G53" s="7">
        <v>5.7362240289069559</v>
      </c>
    </row>
    <row r="54" spans="2:7" ht="19" x14ac:dyDescent="0.25">
      <c r="B54" s="2" t="s">
        <v>38</v>
      </c>
      <c r="C54" s="7">
        <v>3.2222222222222223</v>
      </c>
      <c r="D54" s="7">
        <v>5.3706823925863523</v>
      </c>
      <c r="E54" s="7">
        <v>4.6703204047217541</v>
      </c>
      <c r="F54" s="7">
        <v>4.1563039723661488</v>
      </c>
      <c r="G54" s="7">
        <v>5.7362240289069559</v>
      </c>
    </row>
    <row r="55" spans="2:7" ht="19" x14ac:dyDescent="0.25">
      <c r="B55" s="2" t="s">
        <v>39</v>
      </c>
      <c r="C55" s="7">
        <v>3.1379897785349233</v>
      </c>
      <c r="D55" s="7">
        <v>3.2976726342711</v>
      </c>
      <c r="E55" s="7">
        <v>4.4155536626916518</v>
      </c>
      <c r="F55" s="7">
        <v>3.2040450606585789</v>
      </c>
      <c r="G55" s="7">
        <v>4.4435539437896647</v>
      </c>
    </row>
    <row r="56" spans="2:7" ht="19" x14ac:dyDescent="0.25">
      <c r="B56" s="2" t="s">
        <v>40</v>
      </c>
      <c r="C56" s="7">
        <v>3.1</v>
      </c>
      <c r="D56" s="7">
        <v>3.2610025273799494</v>
      </c>
      <c r="E56" s="7">
        <v>4.3767959527824623</v>
      </c>
      <c r="F56" s="7">
        <v>3.1902314335060447</v>
      </c>
      <c r="G56" s="7">
        <v>4.4314092140921408</v>
      </c>
    </row>
    <row r="57" spans="2:7" ht="19" x14ac:dyDescent="0.25">
      <c r="B57" s="2" t="s">
        <v>41</v>
      </c>
      <c r="C57" s="7">
        <v>3.9663299663299663</v>
      </c>
      <c r="D57" s="7">
        <v>5.0345408593091827</v>
      </c>
      <c r="E57" s="7">
        <v>5.8440134907251267</v>
      </c>
      <c r="F57" s="7">
        <v>5.6865284974093262</v>
      </c>
      <c r="G57" s="7">
        <v>6.4896115627822946</v>
      </c>
    </row>
    <row r="58" spans="2:7" ht="19" x14ac:dyDescent="0.25">
      <c r="B58" s="2" t="s">
        <v>42</v>
      </c>
      <c r="C58" s="7">
        <v>3.9663299663299663</v>
      </c>
      <c r="D58" s="7">
        <v>5.0345408593091827</v>
      </c>
      <c r="E58" s="7">
        <v>5.8440134907251267</v>
      </c>
      <c r="F58" s="7">
        <v>5.6865284974093262</v>
      </c>
      <c r="G58" s="7">
        <v>6.4896115627822946</v>
      </c>
    </row>
    <row r="59" spans="2:7" ht="19" x14ac:dyDescent="0.25">
      <c r="B59" s="2" t="s">
        <v>43</v>
      </c>
      <c r="C59" s="7">
        <v>3.1379897785349233</v>
      </c>
      <c r="D59" s="7">
        <v>3.2976726342711</v>
      </c>
      <c r="E59" s="7">
        <v>4.4155536626916518</v>
      </c>
      <c r="F59" s="7">
        <v>3.2040450606585789</v>
      </c>
      <c r="G59" s="7">
        <v>4.4435539437896647</v>
      </c>
    </row>
    <row r="60" spans="2:7" ht="19" x14ac:dyDescent="0.25">
      <c r="B60" s="2" t="s">
        <v>44</v>
      </c>
      <c r="C60" s="7">
        <v>3.1</v>
      </c>
      <c r="D60" s="7">
        <v>3.2610025273799494</v>
      </c>
      <c r="E60" s="7">
        <v>4.3767959527824623</v>
      </c>
      <c r="F60" s="7">
        <v>3.1902314335060447</v>
      </c>
      <c r="G60" s="7">
        <v>4.4314092140921408</v>
      </c>
    </row>
    <row r="61" spans="2:7" ht="19" x14ac:dyDescent="0.25">
      <c r="B61" s="2" t="s">
        <v>45</v>
      </c>
      <c r="C61" s="7">
        <v>14.95959595959596</v>
      </c>
      <c r="D61" s="7">
        <v>18.074136478517271</v>
      </c>
      <c r="E61" s="7">
        <v>21.392074198988194</v>
      </c>
      <c r="F61" s="7">
        <v>23.763385146804836</v>
      </c>
      <c r="G61" s="7">
        <v>26.893405600722673</v>
      </c>
    </row>
    <row r="62" spans="2:7" ht="19" x14ac:dyDescent="0.25">
      <c r="B62" s="29" t="s">
        <v>46</v>
      </c>
      <c r="C62" s="8"/>
      <c r="D62" s="8"/>
      <c r="E62" s="8"/>
      <c r="F62" s="8"/>
      <c r="G62" s="8"/>
    </row>
    <row r="63" spans="2:7" ht="19" x14ac:dyDescent="0.25">
      <c r="B63" s="2" t="s">
        <v>47</v>
      </c>
      <c r="C63" s="3">
        <v>17772000</v>
      </c>
      <c r="D63" s="3">
        <v>21454000</v>
      </c>
      <c r="E63" s="3">
        <v>25371000</v>
      </c>
      <c r="F63" s="3">
        <v>27518000</v>
      </c>
      <c r="G63" s="3">
        <v>29771000</v>
      </c>
    </row>
    <row r="64" spans="2:7" ht="19" x14ac:dyDescent="0.25">
      <c r="B64" s="2" t="s">
        <v>48</v>
      </c>
      <c r="C64" s="3">
        <v>-15053000</v>
      </c>
      <c r="D64" s="3">
        <v>-18165000</v>
      </c>
      <c r="E64" s="3">
        <v>-21109000</v>
      </c>
      <c r="F64" s="3">
        <v>-23681000</v>
      </c>
      <c r="G64" s="3">
        <v>-24743000</v>
      </c>
    </row>
    <row r="65" spans="2:7" ht="19" x14ac:dyDescent="0.25">
      <c r="B65" s="2" t="s">
        <v>49</v>
      </c>
      <c r="C65" s="3">
        <v>2719000</v>
      </c>
      <c r="D65" s="3">
        <v>3289000</v>
      </c>
      <c r="E65" s="3">
        <v>4262000</v>
      </c>
      <c r="F65" s="3">
        <v>3837000</v>
      </c>
      <c r="G65" s="3">
        <v>5028000</v>
      </c>
    </row>
    <row r="66" spans="2:7" ht="19" x14ac:dyDescent="0.25">
      <c r="B66" s="2" t="s">
        <v>175</v>
      </c>
      <c r="C66" s="3">
        <v>3684000</v>
      </c>
      <c r="D66" s="28" t="s">
        <v>174</v>
      </c>
      <c r="E66" s="28" t="s">
        <v>174</v>
      </c>
      <c r="F66" s="28" t="s">
        <v>174</v>
      </c>
      <c r="G66" s="28" t="s">
        <v>174</v>
      </c>
    </row>
    <row r="67" spans="2:7" ht="19" x14ac:dyDescent="0.25">
      <c r="B67" s="2" t="s">
        <v>50</v>
      </c>
      <c r="C67" s="9">
        <v>0.18</v>
      </c>
      <c r="D67" s="9">
        <v>0.17</v>
      </c>
      <c r="E67" s="9">
        <v>1.7000000000000001E-2</v>
      </c>
      <c r="F67" s="9">
        <v>0.28100000000000003</v>
      </c>
      <c r="G67" s="9">
        <v>0.215</v>
      </c>
    </row>
    <row r="68" spans="2:7" ht="19" x14ac:dyDescent="0.25">
      <c r="B68" s="2" t="s">
        <v>176</v>
      </c>
      <c r="C68" s="3">
        <v>4131000</v>
      </c>
      <c r="D68" s="28" t="s">
        <v>174</v>
      </c>
      <c r="E68" s="28" t="s">
        <v>174</v>
      </c>
      <c r="F68" s="28" t="s">
        <v>174</v>
      </c>
      <c r="G68" s="28" t="s">
        <v>174</v>
      </c>
    </row>
    <row r="69" spans="2:7" ht="19" x14ac:dyDescent="0.25">
      <c r="B69" s="23" t="s">
        <v>51</v>
      </c>
      <c r="C69" s="27"/>
      <c r="D69" s="27"/>
      <c r="E69" s="27"/>
      <c r="F69" s="27"/>
      <c r="G69" s="27"/>
    </row>
    <row r="70" spans="2:7" ht="19" x14ac:dyDescent="0.25">
      <c r="B70" s="29" t="s">
        <v>52</v>
      </c>
      <c r="C70" s="8"/>
      <c r="D70" s="8"/>
      <c r="E70" s="8"/>
      <c r="F70" s="8"/>
      <c r="G70" s="8"/>
    </row>
    <row r="71" spans="2:7" ht="19" x14ac:dyDescent="0.25">
      <c r="B71" s="2" t="s">
        <v>53</v>
      </c>
      <c r="C71" s="3">
        <v>3828000</v>
      </c>
      <c r="D71" s="3">
        <v>6375000</v>
      </c>
      <c r="E71" s="3">
        <v>5539000</v>
      </c>
      <c r="F71" s="3">
        <v>4813000</v>
      </c>
      <c r="G71" s="3">
        <v>6350000</v>
      </c>
    </row>
    <row r="72" spans="2:7" ht="19" x14ac:dyDescent="0.25">
      <c r="B72" s="2" t="s">
        <v>177</v>
      </c>
      <c r="C72" s="28" t="s">
        <v>174</v>
      </c>
      <c r="D72" s="28" t="s">
        <v>174</v>
      </c>
      <c r="E72" s="3">
        <v>4717000</v>
      </c>
      <c r="F72" s="3">
        <v>3967000</v>
      </c>
      <c r="G72" s="3">
        <v>5504000</v>
      </c>
    </row>
    <row r="73" spans="2:7" ht="19" x14ac:dyDescent="0.25">
      <c r="B73" s="2" t="s">
        <v>54</v>
      </c>
      <c r="C73" s="3">
        <v>2916000</v>
      </c>
      <c r="D73" s="3">
        <v>5186000</v>
      </c>
      <c r="E73" s="3">
        <v>4274000</v>
      </c>
      <c r="F73" s="3">
        <v>3496000</v>
      </c>
      <c r="G73" s="3">
        <v>5278000</v>
      </c>
    </row>
    <row r="74" spans="2:7" ht="19" x14ac:dyDescent="0.25">
      <c r="B74" s="2" t="s">
        <v>55</v>
      </c>
      <c r="C74" s="3">
        <v>3828000</v>
      </c>
      <c r="D74" s="3">
        <v>6375000</v>
      </c>
      <c r="E74" s="3">
        <v>5539000</v>
      </c>
      <c r="F74" s="3">
        <v>4813000</v>
      </c>
      <c r="G74" s="3">
        <v>6350000</v>
      </c>
    </row>
    <row r="75" spans="2:7" ht="19" x14ac:dyDescent="0.25">
      <c r="B75" s="2" t="s">
        <v>56</v>
      </c>
      <c r="C75" s="3">
        <v>197000</v>
      </c>
      <c r="D75" s="3">
        <v>88000</v>
      </c>
      <c r="E75" s="3">
        <v>57000</v>
      </c>
      <c r="F75" s="3">
        <v>174000</v>
      </c>
      <c r="G75" s="3">
        <v>480000</v>
      </c>
    </row>
    <row r="76" spans="2:7" ht="19" x14ac:dyDescent="0.25">
      <c r="B76" s="2" t="s">
        <v>57</v>
      </c>
      <c r="C76" s="3">
        <v>159120</v>
      </c>
      <c r="D76" s="3">
        <v>-67830</v>
      </c>
      <c r="E76" s="3">
        <v>375840</v>
      </c>
      <c r="F76" s="3">
        <v>497932.00000000006</v>
      </c>
      <c r="G76" s="3">
        <v>179310</v>
      </c>
    </row>
    <row r="77" spans="2:7" ht="19" x14ac:dyDescent="0.25">
      <c r="B77" s="2" t="s">
        <v>58</v>
      </c>
      <c r="C77" s="3">
        <v>884000</v>
      </c>
      <c r="D77" s="3">
        <v>-399000</v>
      </c>
      <c r="E77" s="3">
        <v>1392000</v>
      </c>
      <c r="F77" s="3">
        <v>1772000</v>
      </c>
      <c r="G77" s="3">
        <v>834000</v>
      </c>
    </row>
    <row r="78" spans="2:7" ht="19" x14ac:dyDescent="0.25">
      <c r="B78" s="2" t="s">
        <v>59</v>
      </c>
      <c r="C78" s="3">
        <v>884000</v>
      </c>
      <c r="D78" s="3">
        <v>-399000</v>
      </c>
      <c r="E78" s="3">
        <v>1392000</v>
      </c>
      <c r="F78" s="3">
        <v>1772000</v>
      </c>
      <c r="G78" s="3">
        <v>834000</v>
      </c>
    </row>
    <row r="79" spans="2:7" ht="19" x14ac:dyDescent="0.25">
      <c r="B79" s="2" t="s">
        <v>60</v>
      </c>
      <c r="C79" s="3">
        <v>14982000</v>
      </c>
      <c r="D79" s="3">
        <v>18026000</v>
      </c>
      <c r="E79" s="3">
        <v>21047000</v>
      </c>
      <c r="F79" s="3">
        <v>23474000</v>
      </c>
      <c r="G79" s="3">
        <v>24827000</v>
      </c>
    </row>
    <row r="80" spans="2:7" ht="19" x14ac:dyDescent="0.25">
      <c r="B80" s="2" t="s">
        <v>61</v>
      </c>
      <c r="C80" s="3">
        <v>2391760</v>
      </c>
      <c r="D80" s="3">
        <v>4302430</v>
      </c>
      <c r="E80" s="3">
        <v>4296750</v>
      </c>
      <c r="F80" s="3">
        <v>2512470</v>
      </c>
      <c r="G80" s="3">
        <v>4141595</v>
      </c>
    </row>
    <row r="81" spans="2:7" ht="19" x14ac:dyDescent="0.25">
      <c r="B81" s="2" t="s">
        <v>62</v>
      </c>
      <c r="C81" s="3">
        <v>2459000</v>
      </c>
      <c r="D81" s="3">
        <v>4202000</v>
      </c>
      <c r="E81" s="3">
        <v>4169000</v>
      </c>
      <c r="F81" s="3">
        <v>2419000</v>
      </c>
      <c r="G81" s="3">
        <v>4246000</v>
      </c>
    </row>
    <row r="82" spans="2:7" ht="19" x14ac:dyDescent="0.25">
      <c r="B82" s="29" t="s">
        <v>63</v>
      </c>
      <c r="C82" s="8"/>
      <c r="D82" s="8"/>
      <c r="E82" s="8"/>
      <c r="F82" s="8"/>
      <c r="G82" s="8"/>
    </row>
    <row r="83" spans="2:7" ht="19" x14ac:dyDescent="0.25">
      <c r="B83" s="2" t="s">
        <v>64</v>
      </c>
      <c r="C83" s="3">
        <v>4712000</v>
      </c>
      <c r="D83" s="3">
        <v>5976000</v>
      </c>
      <c r="E83" s="3">
        <v>6931000</v>
      </c>
      <c r="F83" s="3">
        <v>6585000</v>
      </c>
      <c r="G83" s="3">
        <v>7184000</v>
      </c>
    </row>
    <row r="84" spans="2:7" ht="19" x14ac:dyDescent="0.25">
      <c r="B84" s="2" t="s">
        <v>65</v>
      </c>
      <c r="C84" s="3">
        <v>3800000</v>
      </c>
      <c r="D84" s="3">
        <v>4787000</v>
      </c>
      <c r="E84" s="3">
        <v>5666000</v>
      </c>
      <c r="F84" s="3">
        <v>5268000</v>
      </c>
      <c r="G84" s="3">
        <v>6112000</v>
      </c>
    </row>
    <row r="85" spans="2:7" ht="19" x14ac:dyDescent="0.25">
      <c r="B85" s="2" t="s">
        <v>66</v>
      </c>
      <c r="C85" s="3">
        <v>4712000</v>
      </c>
      <c r="D85" s="3">
        <v>5976000</v>
      </c>
      <c r="E85" s="3">
        <v>6931000</v>
      </c>
      <c r="F85" s="3">
        <v>6585000</v>
      </c>
      <c r="G85" s="3">
        <v>7184000</v>
      </c>
    </row>
    <row r="86" spans="2:7" ht="19" x14ac:dyDescent="0.25">
      <c r="B86" s="2" t="s">
        <v>67</v>
      </c>
      <c r="C86" s="3">
        <v>3684000</v>
      </c>
      <c r="D86" s="3">
        <v>3870830</v>
      </c>
      <c r="E86" s="3">
        <v>5185160</v>
      </c>
      <c r="F86" s="3">
        <v>3693068</v>
      </c>
      <c r="G86" s="3">
        <v>4900690</v>
      </c>
    </row>
    <row r="87" spans="2:7" ht="19" x14ac:dyDescent="0.25">
      <c r="B87" s="29" t="s">
        <v>68</v>
      </c>
      <c r="C87" s="8"/>
      <c r="D87" s="8"/>
      <c r="E87" s="8"/>
      <c r="F87" s="8"/>
      <c r="G87" s="8"/>
    </row>
    <row r="88" spans="2:7" ht="19" x14ac:dyDescent="0.25">
      <c r="B88" s="2" t="s">
        <v>69</v>
      </c>
      <c r="C88" s="3">
        <v>4593000</v>
      </c>
      <c r="D88" s="3">
        <v>6110000</v>
      </c>
      <c r="E88" s="3">
        <v>7094000</v>
      </c>
      <c r="F88" s="3">
        <v>6679000</v>
      </c>
      <c r="G88" s="3">
        <v>7573000</v>
      </c>
    </row>
    <row r="89" spans="2:7" ht="19" x14ac:dyDescent="0.25">
      <c r="B89" s="2" t="s">
        <v>70</v>
      </c>
      <c r="C89" s="3">
        <v>3892000</v>
      </c>
      <c r="D89" s="3">
        <v>5371000</v>
      </c>
      <c r="E89" s="3">
        <v>6270000</v>
      </c>
      <c r="F89" s="3">
        <v>5833000</v>
      </c>
      <c r="G89" s="3">
        <v>6728000</v>
      </c>
    </row>
    <row r="90" spans="2:7" ht="19" x14ac:dyDescent="0.25">
      <c r="B90" s="2" t="s">
        <v>71</v>
      </c>
      <c r="C90" s="3">
        <v>3345000</v>
      </c>
      <c r="D90" s="3">
        <v>4605000</v>
      </c>
      <c r="E90" s="3">
        <v>5455000</v>
      </c>
      <c r="F90" s="3">
        <v>4782000</v>
      </c>
      <c r="G90" s="3">
        <v>5646000</v>
      </c>
    </row>
    <row r="91" spans="2:7" ht="19" x14ac:dyDescent="0.25">
      <c r="B91" s="2" t="s">
        <v>72</v>
      </c>
      <c r="C91" s="7">
        <v>2.8101509999999998</v>
      </c>
      <c r="D91" s="7">
        <v>3.8812090000000001</v>
      </c>
      <c r="E91" s="7">
        <v>4.5902450000000004</v>
      </c>
      <c r="F91" s="7">
        <v>4.1303780000000003</v>
      </c>
      <c r="G91" s="7">
        <v>5.1106660000000002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2C2D43-27EC-4046-83A2-A359205A0891}">
  <dimension ref="B1:H183"/>
  <sheetViews>
    <sheetView zoomScale="67" workbookViewId="0">
      <selection activeCell="H64" sqref="H64"/>
    </sheetView>
  </sheetViews>
  <sheetFormatPr baseColWidth="10" defaultRowHeight="19" x14ac:dyDescent="0.25"/>
  <cols>
    <col min="2" max="2" width="97.83203125" style="55" bestFit="1" customWidth="1"/>
    <col min="3" max="3" width="14.33203125" style="57" bestFit="1" customWidth="1"/>
    <col min="4" max="7" width="14.33203125" bestFit="1" customWidth="1"/>
  </cols>
  <sheetData>
    <row r="1" spans="2:8" x14ac:dyDescent="0.25">
      <c r="B1" s="54" t="s">
        <v>0</v>
      </c>
    </row>
    <row r="2" spans="2:8" x14ac:dyDescent="0.25">
      <c r="B2" s="23" t="s">
        <v>206</v>
      </c>
      <c r="C2" s="23">
        <v>2019</v>
      </c>
      <c r="D2" s="23">
        <v>2020</v>
      </c>
      <c r="E2" s="23">
        <v>2021</v>
      </c>
      <c r="F2" s="23">
        <v>2022</v>
      </c>
      <c r="G2" s="23">
        <v>2023</v>
      </c>
      <c r="H2" s="56"/>
    </row>
    <row r="3" spans="2:8" x14ac:dyDescent="0.25">
      <c r="B3" s="2" t="s">
        <v>207</v>
      </c>
      <c r="C3" s="3"/>
      <c r="D3" s="3"/>
      <c r="E3" s="3"/>
      <c r="F3" s="3"/>
      <c r="G3" s="3"/>
    </row>
    <row r="4" spans="2:8" x14ac:dyDescent="0.25">
      <c r="B4" s="2" t="s">
        <v>208</v>
      </c>
      <c r="C4" s="3"/>
      <c r="D4" s="3"/>
      <c r="E4" s="3"/>
      <c r="F4" s="3"/>
      <c r="G4" s="3"/>
    </row>
    <row r="5" spans="2:8" x14ac:dyDescent="0.25">
      <c r="B5" s="2" t="s">
        <v>209</v>
      </c>
      <c r="C5" s="3">
        <v>7349000</v>
      </c>
      <c r="D5" s="3">
        <v>4794000</v>
      </c>
      <c r="E5" s="3">
        <v>5197000</v>
      </c>
      <c r="F5" s="3">
        <v>7776000</v>
      </c>
      <c r="G5" s="3">
        <v>9081000</v>
      </c>
    </row>
    <row r="6" spans="2:8" x14ac:dyDescent="0.25">
      <c r="B6" s="2" t="s">
        <v>210</v>
      </c>
      <c r="C6" s="3"/>
      <c r="D6" s="3"/>
      <c r="E6" s="3"/>
      <c r="F6" s="3"/>
      <c r="G6" s="3"/>
    </row>
    <row r="7" spans="2:8" x14ac:dyDescent="0.25">
      <c r="B7" s="2" t="s">
        <v>211</v>
      </c>
      <c r="C7" s="3"/>
      <c r="D7" s="3"/>
      <c r="E7" s="3">
        <v>3604000</v>
      </c>
      <c r="F7" s="3">
        <v>2593000</v>
      </c>
      <c r="G7" s="3">
        <v>4848000</v>
      </c>
    </row>
    <row r="8" spans="2:8" x14ac:dyDescent="0.25">
      <c r="B8" s="2" t="s">
        <v>212</v>
      </c>
      <c r="C8" s="3"/>
      <c r="D8" s="3"/>
      <c r="E8" s="3">
        <v>590000</v>
      </c>
      <c r="F8" s="3">
        <v>482000</v>
      </c>
      <c r="G8" s="3">
        <v>128000</v>
      </c>
    </row>
    <row r="9" spans="2:8" x14ac:dyDescent="0.25">
      <c r="B9" s="4" t="s">
        <v>213</v>
      </c>
      <c r="C9" s="5">
        <v>3412000</v>
      </c>
      <c r="D9" s="5">
        <v>8289000</v>
      </c>
      <c r="E9" s="5">
        <v>4194000</v>
      </c>
      <c r="F9" s="5">
        <v>3075000</v>
      </c>
      <c r="G9" s="5">
        <v>4976000</v>
      </c>
    </row>
    <row r="10" spans="2:8" x14ac:dyDescent="0.25">
      <c r="B10" s="4" t="s">
        <v>214</v>
      </c>
      <c r="C10" s="5">
        <v>10761000</v>
      </c>
      <c r="D10" s="5">
        <v>13083000</v>
      </c>
      <c r="E10" s="5">
        <v>9391000</v>
      </c>
      <c r="F10" s="5">
        <v>10851000</v>
      </c>
      <c r="G10" s="5">
        <v>14057000</v>
      </c>
    </row>
    <row r="11" spans="2:8" x14ac:dyDescent="0.25">
      <c r="B11" s="2" t="s">
        <v>215</v>
      </c>
      <c r="C11" s="3"/>
      <c r="D11" s="3"/>
      <c r="E11" s="3">
        <v>109000</v>
      </c>
      <c r="F11" s="3">
        <v>17000</v>
      </c>
      <c r="G11" s="3">
        <v>3000</v>
      </c>
    </row>
    <row r="12" spans="2:8" x14ac:dyDescent="0.25">
      <c r="B12" s="2" t="s">
        <v>216</v>
      </c>
      <c r="C12" s="3"/>
      <c r="D12" s="3"/>
      <c r="E12" s="3"/>
      <c r="F12" s="3"/>
      <c r="G12" s="3"/>
    </row>
    <row r="13" spans="2:8" x14ac:dyDescent="0.25">
      <c r="B13" s="2" t="s">
        <v>217</v>
      </c>
      <c r="C13" s="3">
        <v>22962000</v>
      </c>
      <c r="D13" s="3">
        <v>33995000</v>
      </c>
      <c r="E13" s="3">
        <v>36941000</v>
      </c>
      <c r="F13" s="3">
        <v>37227000</v>
      </c>
      <c r="G13" s="3">
        <v>40004000</v>
      </c>
    </row>
    <row r="14" spans="2:8" x14ac:dyDescent="0.25">
      <c r="B14" s="2" t="s">
        <v>218</v>
      </c>
      <c r="C14" s="3">
        <v>3972000</v>
      </c>
      <c r="D14" s="3">
        <v>2769000</v>
      </c>
      <c r="E14" s="3">
        <v>4846000</v>
      </c>
      <c r="F14" s="3">
        <v>7431000</v>
      </c>
      <c r="G14" s="3">
        <v>5996000</v>
      </c>
    </row>
    <row r="15" spans="2:8" x14ac:dyDescent="0.25">
      <c r="B15" s="2" t="s">
        <v>219</v>
      </c>
      <c r="C15" s="3"/>
      <c r="D15" s="3"/>
      <c r="E15" s="3"/>
      <c r="F15" s="3"/>
      <c r="G15" s="3"/>
    </row>
    <row r="16" spans="2:8" x14ac:dyDescent="0.25">
      <c r="B16" s="4" t="s">
        <v>220</v>
      </c>
      <c r="C16" s="5">
        <v>26934000</v>
      </c>
      <c r="D16" s="5">
        <v>36764000</v>
      </c>
      <c r="E16" s="5">
        <v>41787000</v>
      </c>
      <c r="F16" s="5">
        <v>44658000</v>
      </c>
      <c r="G16" s="5">
        <v>46000000</v>
      </c>
    </row>
    <row r="17" spans="2:8" x14ac:dyDescent="0.25">
      <c r="B17" s="2" t="s">
        <v>221</v>
      </c>
      <c r="C17" s="3">
        <v>800000</v>
      </c>
      <c r="D17" s="3">
        <v>1148000</v>
      </c>
      <c r="E17" s="3">
        <v>1287000</v>
      </c>
      <c r="F17" s="3">
        <v>1898000</v>
      </c>
      <c r="G17" s="3">
        <v>2509000</v>
      </c>
    </row>
    <row r="18" spans="2:8" x14ac:dyDescent="0.25">
      <c r="B18" s="4" t="s">
        <v>222</v>
      </c>
      <c r="C18" s="5">
        <v>38495000</v>
      </c>
      <c r="D18" s="5">
        <v>50995000</v>
      </c>
      <c r="E18" s="5">
        <v>52574000</v>
      </c>
      <c r="F18" s="5">
        <v>57424000</v>
      </c>
      <c r="G18" s="5">
        <v>62569000</v>
      </c>
    </row>
    <row r="19" spans="2:8" x14ac:dyDescent="0.25">
      <c r="B19" s="2" t="s">
        <v>223</v>
      </c>
      <c r="C19" s="3"/>
      <c r="D19" s="3"/>
      <c r="E19" s="3"/>
      <c r="F19" s="3"/>
      <c r="G19" s="3"/>
    </row>
    <row r="20" spans="2:8" x14ac:dyDescent="0.25">
      <c r="B20" s="2" t="s">
        <v>224</v>
      </c>
      <c r="C20" s="3"/>
      <c r="D20" s="3"/>
      <c r="E20" s="3"/>
      <c r="F20" s="3"/>
      <c r="G20" s="3"/>
    </row>
    <row r="21" spans="2:8" x14ac:dyDescent="0.25">
      <c r="B21" s="2" t="s">
        <v>225</v>
      </c>
      <c r="C21" s="3"/>
      <c r="D21" s="3"/>
      <c r="E21" s="3"/>
      <c r="F21" s="3"/>
      <c r="G21" s="3"/>
    </row>
    <row r="22" spans="2:8" x14ac:dyDescent="0.25">
      <c r="B22" s="2" t="s">
        <v>226</v>
      </c>
      <c r="C22" s="3"/>
      <c r="D22" s="3"/>
      <c r="E22" s="3"/>
      <c r="F22" s="3"/>
      <c r="G22" s="3"/>
    </row>
    <row r="23" spans="2:8" x14ac:dyDescent="0.25">
      <c r="B23" s="2" t="s">
        <v>227</v>
      </c>
      <c r="C23" s="3">
        <v>430000</v>
      </c>
      <c r="D23" s="3">
        <v>340000</v>
      </c>
      <c r="E23" s="3">
        <v>380000</v>
      </c>
      <c r="F23" s="3">
        <v>388000</v>
      </c>
      <c r="G23" s="3">
        <v>333000</v>
      </c>
    </row>
    <row r="24" spans="2:8" x14ac:dyDescent="0.25">
      <c r="B24" s="2" t="s">
        <v>228</v>
      </c>
      <c r="C24" s="3"/>
      <c r="D24" s="3"/>
      <c r="E24" s="3"/>
      <c r="F24" s="3"/>
      <c r="G24" s="3"/>
    </row>
    <row r="25" spans="2:8" x14ac:dyDescent="0.25">
      <c r="B25" s="2" t="s">
        <v>229</v>
      </c>
      <c r="C25" s="3">
        <v>460000</v>
      </c>
      <c r="D25" s="3">
        <v>377000</v>
      </c>
      <c r="E25" s="3">
        <v>379000</v>
      </c>
      <c r="F25" s="3">
        <v>364000</v>
      </c>
      <c r="G25" s="3">
        <v>317000</v>
      </c>
    </row>
    <row r="26" spans="2:8" x14ac:dyDescent="0.25">
      <c r="B26" s="4" t="s">
        <v>230</v>
      </c>
      <c r="C26" s="5">
        <v>890000</v>
      </c>
      <c r="D26" s="5">
        <v>717000</v>
      </c>
      <c r="E26" s="5">
        <v>759000</v>
      </c>
      <c r="F26" s="5">
        <v>752000</v>
      </c>
      <c r="G26" s="5">
        <v>650000</v>
      </c>
    </row>
    <row r="27" spans="2:8" x14ac:dyDescent="0.25">
      <c r="B27" s="2" t="s">
        <v>231</v>
      </c>
      <c r="C27" s="3"/>
      <c r="D27" s="3"/>
      <c r="E27" s="3"/>
      <c r="F27" s="3"/>
      <c r="G27" s="3"/>
    </row>
    <row r="28" spans="2:8" x14ac:dyDescent="0.25">
      <c r="B28" s="2" t="s">
        <v>232</v>
      </c>
      <c r="C28" s="3">
        <v>5446000</v>
      </c>
      <c r="D28" s="3">
        <v>6209000</v>
      </c>
      <c r="E28" s="3">
        <v>6745000</v>
      </c>
      <c r="F28" s="3">
        <v>7335000</v>
      </c>
      <c r="G28" s="3">
        <v>7752000</v>
      </c>
    </row>
    <row r="29" spans="2:8" x14ac:dyDescent="0.25">
      <c r="B29" s="4" t="s">
        <v>233</v>
      </c>
      <c r="C29" s="5">
        <v>5446000</v>
      </c>
      <c r="D29" s="5">
        <v>6209000</v>
      </c>
      <c r="E29" s="5">
        <v>6745000</v>
      </c>
      <c r="F29" s="5">
        <v>7335000</v>
      </c>
      <c r="G29" s="5">
        <v>7752000</v>
      </c>
    </row>
    <row r="30" spans="2:8" x14ac:dyDescent="0.25">
      <c r="B30" s="2" t="s">
        <v>234</v>
      </c>
      <c r="C30" s="3">
        <v>80000</v>
      </c>
      <c r="D30" s="3">
        <v>83000</v>
      </c>
      <c r="E30" s="3">
        <v>86000</v>
      </c>
      <c r="F30" s="3">
        <v>25000</v>
      </c>
      <c r="G30" s="3">
        <v>34000</v>
      </c>
    </row>
    <row r="31" spans="2:8" x14ac:dyDescent="0.25">
      <c r="B31" s="4" t="s">
        <v>235</v>
      </c>
      <c r="C31" s="5">
        <v>6416000</v>
      </c>
      <c r="D31" s="5">
        <v>7009000</v>
      </c>
      <c r="E31" s="5">
        <v>7590000</v>
      </c>
      <c r="F31" s="5">
        <v>8112000</v>
      </c>
      <c r="G31" s="5">
        <v>8436000</v>
      </c>
      <c r="H31" s="80"/>
    </row>
    <row r="32" spans="2:8" x14ac:dyDescent="0.25">
      <c r="B32" s="2" t="s">
        <v>236</v>
      </c>
      <c r="C32" s="3"/>
      <c r="D32" s="3"/>
      <c r="E32" s="3"/>
      <c r="F32" s="3"/>
      <c r="G32" s="3"/>
    </row>
    <row r="33" spans="2:7" x14ac:dyDescent="0.25">
      <c r="B33" s="2" t="s">
        <v>237</v>
      </c>
      <c r="C33" s="3">
        <v>-4723000</v>
      </c>
      <c r="D33" s="3">
        <v>-5202000</v>
      </c>
      <c r="E33" s="3">
        <v>-5681000</v>
      </c>
      <c r="F33" s="3">
        <v>-6382000</v>
      </c>
      <c r="G33" s="3">
        <v>-6948000</v>
      </c>
    </row>
    <row r="34" spans="2:7" x14ac:dyDescent="0.25">
      <c r="B34" s="4" t="s">
        <v>238</v>
      </c>
      <c r="C34" s="5">
        <v>-4723000</v>
      </c>
      <c r="D34" s="5">
        <v>-5202000</v>
      </c>
      <c r="E34" s="5">
        <v>-5681000</v>
      </c>
      <c r="F34" s="5">
        <v>-6382000</v>
      </c>
      <c r="G34" s="5">
        <v>-6948000</v>
      </c>
    </row>
    <row r="35" spans="2:7" x14ac:dyDescent="0.25">
      <c r="B35" s="4" t="s">
        <v>239</v>
      </c>
      <c r="C35" s="5">
        <v>1693000</v>
      </c>
      <c r="D35" s="5">
        <v>1807000</v>
      </c>
      <c r="E35" s="5">
        <v>1909000</v>
      </c>
      <c r="F35" s="5">
        <v>1730000</v>
      </c>
      <c r="G35" s="5">
        <v>1488000</v>
      </c>
    </row>
    <row r="36" spans="2:7" x14ac:dyDescent="0.25">
      <c r="B36" s="2" t="s">
        <v>240</v>
      </c>
      <c r="C36" s="3"/>
      <c r="D36" s="3"/>
      <c r="E36" s="3"/>
      <c r="F36" s="3"/>
      <c r="G36" s="3"/>
    </row>
    <row r="37" spans="2:7" x14ac:dyDescent="0.25">
      <c r="B37" s="2" t="s">
        <v>241</v>
      </c>
      <c r="C37" s="3"/>
      <c r="D37" s="3"/>
      <c r="E37" s="3"/>
      <c r="F37" s="3"/>
      <c r="G37" s="3"/>
    </row>
    <row r="38" spans="2:7" x14ac:dyDescent="0.25">
      <c r="B38" s="2" t="s">
        <v>242</v>
      </c>
      <c r="C38" s="3">
        <v>6212000</v>
      </c>
      <c r="D38" s="3">
        <v>9135000</v>
      </c>
      <c r="E38" s="3">
        <v>11454000</v>
      </c>
      <c r="F38" s="3">
        <v>11209000</v>
      </c>
      <c r="G38" s="3">
        <v>11026000</v>
      </c>
    </row>
    <row r="39" spans="2:7" x14ac:dyDescent="0.25">
      <c r="B39" s="2" t="s">
        <v>243</v>
      </c>
      <c r="C39" s="3"/>
      <c r="D39" s="3"/>
      <c r="E39" s="3"/>
      <c r="F39" s="3"/>
      <c r="G39" s="3"/>
    </row>
    <row r="40" spans="2:7" x14ac:dyDescent="0.25">
      <c r="B40" s="2" t="s">
        <v>244</v>
      </c>
      <c r="C40" s="3">
        <v>445000</v>
      </c>
      <c r="D40" s="3">
        <v>999000</v>
      </c>
      <c r="E40" s="3">
        <v>1109000</v>
      </c>
      <c r="F40" s="3">
        <v>1099000</v>
      </c>
      <c r="G40" s="3">
        <v>1013000</v>
      </c>
    </row>
    <row r="41" spans="2:7" x14ac:dyDescent="0.25">
      <c r="B41" s="2" t="s">
        <v>245</v>
      </c>
      <c r="C41" s="3">
        <v>1114000</v>
      </c>
      <c r="D41" s="3">
        <v>1206000</v>
      </c>
      <c r="E41" s="3">
        <v>1726000</v>
      </c>
      <c r="F41" s="3">
        <v>1664000</v>
      </c>
      <c r="G41" s="3">
        <v>1546000</v>
      </c>
    </row>
    <row r="42" spans="2:7" x14ac:dyDescent="0.25">
      <c r="B42" s="2" t="s">
        <v>246</v>
      </c>
      <c r="C42" s="3">
        <v>730000</v>
      </c>
      <c r="D42" s="3">
        <v>770000</v>
      </c>
      <c r="E42" s="3">
        <v>859000</v>
      </c>
      <c r="F42" s="3">
        <v>833000</v>
      </c>
      <c r="G42" s="3">
        <v>820000</v>
      </c>
    </row>
    <row r="43" spans="2:7" x14ac:dyDescent="0.25">
      <c r="B43" s="4" t="s">
        <v>247</v>
      </c>
      <c r="C43" s="5">
        <v>2289000</v>
      </c>
      <c r="D43" s="5">
        <v>2975000</v>
      </c>
      <c r="E43" s="5">
        <v>3694000</v>
      </c>
      <c r="F43" s="5">
        <v>3596000</v>
      </c>
      <c r="G43" s="5">
        <v>3379000</v>
      </c>
    </row>
    <row r="44" spans="2:7" x14ac:dyDescent="0.25">
      <c r="B44" s="4" t="s">
        <v>248</v>
      </c>
      <c r="C44" s="5">
        <v>8501000</v>
      </c>
      <c r="D44" s="5">
        <v>12110000</v>
      </c>
      <c r="E44" s="5">
        <v>15148000</v>
      </c>
      <c r="F44" s="5">
        <v>14805000</v>
      </c>
      <c r="G44" s="5">
        <v>14405000</v>
      </c>
    </row>
    <row r="45" spans="2:7" x14ac:dyDescent="0.25">
      <c r="B45" s="2" t="s">
        <v>249</v>
      </c>
      <c r="C45" s="3"/>
      <c r="D45" s="3"/>
      <c r="E45" s="3"/>
      <c r="F45" s="3"/>
      <c r="G45" s="3"/>
    </row>
    <row r="46" spans="2:7" x14ac:dyDescent="0.25">
      <c r="B46" s="2" t="s">
        <v>250</v>
      </c>
      <c r="C46" s="3"/>
      <c r="D46" s="3"/>
      <c r="E46" s="3"/>
      <c r="F46" s="3"/>
      <c r="G46" s="3"/>
    </row>
    <row r="47" spans="2:7" x14ac:dyDescent="0.25">
      <c r="B47" s="2" t="s">
        <v>251</v>
      </c>
      <c r="C47" s="3"/>
      <c r="D47" s="3"/>
      <c r="E47" s="3"/>
      <c r="F47" s="3"/>
      <c r="G47" s="3"/>
    </row>
    <row r="48" spans="2:7" x14ac:dyDescent="0.25">
      <c r="B48" s="2" t="s">
        <v>252</v>
      </c>
      <c r="C48" s="3">
        <v>-343000</v>
      </c>
      <c r="D48" s="3">
        <v>-577000</v>
      </c>
      <c r="E48" s="3">
        <v>-822000</v>
      </c>
      <c r="F48" s="3">
        <v>-1048000</v>
      </c>
      <c r="G48" s="3">
        <v>-999000</v>
      </c>
    </row>
    <row r="49" spans="2:8" x14ac:dyDescent="0.25">
      <c r="B49" s="2" t="s">
        <v>253</v>
      </c>
      <c r="C49" s="3">
        <v>-700000</v>
      </c>
      <c r="D49" s="3">
        <v>-797000</v>
      </c>
      <c r="E49" s="3">
        <v>-919000</v>
      </c>
      <c r="F49" s="3">
        <v>-1092000</v>
      </c>
      <c r="G49" s="3">
        <v>-1140000</v>
      </c>
    </row>
    <row r="50" spans="2:8" x14ac:dyDescent="0.25">
      <c r="B50" s="2" t="s">
        <v>254</v>
      </c>
      <c r="C50" s="3">
        <v>-468000</v>
      </c>
      <c r="D50" s="3">
        <v>-553000</v>
      </c>
      <c r="E50" s="3">
        <v>-621000</v>
      </c>
      <c r="F50" s="3">
        <v>-668000</v>
      </c>
      <c r="G50" s="3">
        <v>-703000</v>
      </c>
    </row>
    <row r="51" spans="2:8" x14ac:dyDescent="0.25">
      <c r="B51" s="4" t="s">
        <v>255</v>
      </c>
      <c r="C51" s="5">
        <v>-1511000</v>
      </c>
      <c r="D51" s="5">
        <v>-1927000</v>
      </c>
      <c r="E51" s="5">
        <v>-2362000</v>
      </c>
      <c r="F51" s="5">
        <v>-2808000</v>
      </c>
      <c r="G51" s="5">
        <v>-2842000</v>
      </c>
    </row>
    <row r="52" spans="2:8" x14ac:dyDescent="0.25">
      <c r="B52" s="4" t="s">
        <v>256</v>
      </c>
      <c r="C52" s="5">
        <v>-1511000</v>
      </c>
      <c r="D52" s="5">
        <v>-1927000</v>
      </c>
      <c r="E52" s="5">
        <v>-2362000</v>
      </c>
      <c r="F52" s="5">
        <v>-2808000</v>
      </c>
      <c r="G52" s="5">
        <v>-2842000</v>
      </c>
    </row>
    <row r="53" spans="2:8" x14ac:dyDescent="0.25">
      <c r="B53" s="4" t="s">
        <v>257</v>
      </c>
      <c r="C53" s="5">
        <v>-1511000</v>
      </c>
      <c r="D53" s="5">
        <v>-1927000</v>
      </c>
      <c r="E53" s="5">
        <v>-2362000</v>
      </c>
      <c r="F53" s="5">
        <v>-2808000</v>
      </c>
      <c r="G53" s="5">
        <v>-2842000</v>
      </c>
    </row>
    <row r="54" spans="2:8" x14ac:dyDescent="0.25">
      <c r="B54" s="4" t="s">
        <v>258</v>
      </c>
      <c r="C54" s="5">
        <v>6990000</v>
      </c>
      <c r="D54" s="5">
        <v>10183000</v>
      </c>
      <c r="E54" s="5">
        <v>12786000</v>
      </c>
      <c r="F54" s="5">
        <v>11997000</v>
      </c>
      <c r="G54" s="5">
        <v>11563000</v>
      </c>
    </row>
    <row r="55" spans="2:8" x14ac:dyDescent="0.25">
      <c r="B55" s="2" t="s">
        <v>259</v>
      </c>
      <c r="C55" s="3"/>
      <c r="D55" s="3"/>
      <c r="E55" s="3"/>
      <c r="F55" s="3"/>
      <c r="G55" s="3"/>
    </row>
    <row r="56" spans="2:8" x14ac:dyDescent="0.25">
      <c r="B56" s="2" t="s">
        <v>260</v>
      </c>
      <c r="C56" s="3"/>
      <c r="D56" s="3"/>
      <c r="E56" s="3"/>
      <c r="F56" s="3"/>
      <c r="G56" s="3"/>
    </row>
    <row r="57" spans="2:8" x14ac:dyDescent="0.25">
      <c r="B57" s="2" t="s">
        <v>261</v>
      </c>
      <c r="C57" s="3"/>
      <c r="D57" s="3"/>
      <c r="E57" s="3"/>
      <c r="F57" s="3"/>
      <c r="G57" s="3"/>
    </row>
    <row r="58" spans="2:8" x14ac:dyDescent="0.25">
      <c r="B58" s="2" t="s">
        <v>262</v>
      </c>
      <c r="C58" s="3"/>
      <c r="D58" s="3"/>
      <c r="E58" s="3">
        <v>3545000</v>
      </c>
      <c r="F58" s="3">
        <v>2817000</v>
      </c>
      <c r="G58" s="3">
        <v>1391000</v>
      </c>
    </row>
    <row r="59" spans="2:8" x14ac:dyDescent="0.25">
      <c r="B59" s="4" t="s">
        <v>263</v>
      </c>
      <c r="C59" s="5"/>
      <c r="D59" s="5"/>
      <c r="E59" s="5">
        <v>3545000</v>
      </c>
      <c r="F59" s="5">
        <v>2817000</v>
      </c>
      <c r="G59" s="5">
        <v>1391000</v>
      </c>
    </row>
    <row r="60" spans="2:8" x14ac:dyDescent="0.25">
      <c r="B60" s="4" t="s">
        <v>264</v>
      </c>
      <c r="C60" s="5"/>
      <c r="D60" s="5"/>
      <c r="E60" s="5">
        <v>3545000</v>
      </c>
      <c r="F60" s="5">
        <v>2817000</v>
      </c>
      <c r="G60" s="5">
        <v>1391000</v>
      </c>
    </row>
    <row r="61" spans="2:8" x14ac:dyDescent="0.25">
      <c r="B61" s="2" t="s">
        <v>265</v>
      </c>
      <c r="C61" s="3"/>
      <c r="D61" s="3"/>
      <c r="E61" s="3">
        <v>3252000</v>
      </c>
      <c r="F61" s="3">
        <v>2201000</v>
      </c>
      <c r="G61" s="3">
        <v>1882000</v>
      </c>
    </row>
    <row r="62" spans="2:8" x14ac:dyDescent="0.25">
      <c r="B62" s="4" t="s">
        <v>266</v>
      </c>
      <c r="C62" s="5">
        <v>2863000</v>
      </c>
      <c r="D62" s="5">
        <v>6089000</v>
      </c>
      <c r="E62" s="5">
        <v>6797000</v>
      </c>
      <c r="F62" s="5">
        <v>5018000</v>
      </c>
      <c r="G62" s="5">
        <v>3273000</v>
      </c>
    </row>
    <row r="63" spans="2:8" x14ac:dyDescent="0.25">
      <c r="B63" s="2" t="s">
        <v>267</v>
      </c>
      <c r="C63" s="3">
        <v>1292000</v>
      </c>
      <c r="D63" s="3">
        <v>1305000</v>
      </c>
      <c r="E63" s="3">
        <v>1737000</v>
      </c>
      <c r="F63" s="3">
        <v>2455000</v>
      </c>
      <c r="G63" s="3">
        <v>3273000</v>
      </c>
    </row>
    <row r="64" spans="2:8" x14ac:dyDescent="0.25">
      <c r="B64" s="4" t="s">
        <v>268</v>
      </c>
      <c r="C64" s="5">
        <v>12838000</v>
      </c>
      <c r="D64" s="5">
        <v>19384000</v>
      </c>
      <c r="E64" s="5">
        <v>23229000</v>
      </c>
      <c r="F64" s="5">
        <v>21200000</v>
      </c>
      <c r="G64" s="5">
        <v>19597000</v>
      </c>
      <c r="H64" s="80"/>
    </row>
    <row r="65" spans="2:7" x14ac:dyDescent="0.25">
      <c r="B65" s="4" t="s">
        <v>269</v>
      </c>
      <c r="C65" s="5">
        <v>51333000</v>
      </c>
      <c r="D65" s="5">
        <v>70379000</v>
      </c>
      <c r="E65" s="5">
        <v>75803000</v>
      </c>
      <c r="F65" s="5">
        <v>78624000</v>
      </c>
      <c r="G65" s="5">
        <v>82166000</v>
      </c>
    </row>
    <row r="66" spans="2:7" x14ac:dyDescent="0.25">
      <c r="B66" s="23" t="s">
        <v>270</v>
      </c>
      <c r="C66" s="60"/>
      <c r="D66" s="61"/>
      <c r="E66" s="53"/>
      <c r="F66" s="53"/>
      <c r="G66" s="61"/>
    </row>
    <row r="67" spans="2:7" x14ac:dyDescent="0.25">
      <c r="B67" s="2" t="s">
        <v>271</v>
      </c>
      <c r="C67" s="3"/>
      <c r="D67" s="3"/>
      <c r="E67" s="3"/>
      <c r="F67" s="3"/>
      <c r="G67" s="3"/>
    </row>
    <row r="68" spans="2:7" x14ac:dyDescent="0.25">
      <c r="B68" s="2" t="s">
        <v>272</v>
      </c>
      <c r="C68" s="3"/>
      <c r="D68" s="3"/>
      <c r="E68" s="3"/>
      <c r="F68" s="3"/>
      <c r="G68" s="3"/>
    </row>
    <row r="69" spans="2:7" x14ac:dyDescent="0.25">
      <c r="B69" s="2" t="s">
        <v>273</v>
      </c>
      <c r="C69" s="3"/>
      <c r="D69" s="3"/>
      <c r="E69" s="3"/>
      <c r="F69" s="3"/>
      <c r="G69" s="3"/>
    </row>
    <row r="70" spans="2:7" x14ac:dyDescent="0.25">
      <c r="B70" s="2" t="s">
        <v>274</v>
      </c>
      <c r="C70" s="3">
        <v>24759000</v>
      </c>
      <c r="D70" s="3">
        <v>35670000</v>
      </c>
      <c r="E70" s="3">
        <v>39038000</v>
      </c>
      <c r="F70" s="3">
        <v>40140000</v>
      </c>
      <c r="G70" s="3">
        <v>42074000</v>
      </c>
    </row>
    <row r="71" spans="2:7" x14ac:dyDescent="0.25">
      <c r="B71" s="2" t="s">
        <v>275</v>
      </c>
      <c r="C71" s="3"/>
      <c r="D71" s="3"/>
      <c r="E71" s="3"/>
      <c r="F71" s="3"/>
      <c r="G71" s="3"/>
    </row>
    <row r="72" spans="2:7" x14ac:dyDescent="0.25">
      <c r="B72" s="2" t="s">
        <v>276</v>
      </c>
      <c r="C72" s="3">
        <v>73000</v>
      </c>
      <c r="D72" s="3">
        <v>129000</v>
      </c>
      <c r="E72" s="3">
        <v>236000</v>
      </c>
      <c r="F72" s="3"/>
      <c r="G72" s="3"/>
    </row>
    <row r="73" spans="2:7" x14ac:dyDescent="0.25">
      <c r="B73" s="4" t="s">
        <v>277</v>
      </c>
      <c r="C73" s="5">
        <v>73000</v>
      </c>
      <c r="D73" s="5">
        <v>129000</v>
      </c>
      <c r="E73" s="5">
        <v>236000</v>
      </c>
      <c r="F73" s="5"/>
      <c r="G73" s="5"/>
    </row>
    <row r="74" spans="2:7" x14ac:dyDescent="0.25">
      <c r="B74" s="4" t="s">
        <v>278</v>
      </c>
      <c r="C74" s="5">
        <v>24832000</v>
      </c>
      <c r="D74" s="5">
        <v>35799000</v>
      </c>
      <c r="E74" s="5">
        <v>39274000</v>
      </c>
      <c r="F74" s="5">
        <v>40140000</v>
      </c>
      <c r="G74" s="5">
        <v>42074000</v>
      </c>
    </row>
    <row r="75" spans="2:7" x14ac:dyDescent="0.25">
      <c r="B75" s="2" t="s">
        <v>279</v>
      </c>
      <c r="C75" s="3">
        <v>2087000</v>
      </c>
      <c r="D75" s="3">
        <v>2648000</v>
      </c>
      <c r="E75" s="3">
        <v>3755000</v>
      </c>
      <c r="F75" s="3">
        <v>4868000</v>
      </c>
      <c r="G75" s="3">
        <v>6392000</v>
      </c>
    </row>
    <row r="76" spans="2:7" x14ac:dyDescent="0.25">
      <c r="B76" s="4" t="s">
        <v>280</v>
      </c>
      <c r="C76" s="5">
        <v>26919000</v>
      </c>
      <c r="D76" s="5">
        <v>38447000</v>
      </c>
      <c r="E76" s="5">
        <v>43029000</v>
      </c>
      <c r="F76" s="5">
        <v>45008000</v>
      </c>
      <c r="G76" s="5">
        <v>48466000</v>
      </c>
    </row>
    <row r="77" spans="2:7" x14ac:dyDescent="0.25">
      <c r="B77" s="2" t="s">
        <v>281</v>
      </c>
      <c r="C77" s="3"/>
      <c r="D77" s="3"/>
      <c r="E77" s="3"/>
      <c r="F77" s="3"/>
      <c r="G77" s="3"/>
    </row>
    <row r="78" spans="2:7" x14ac:dyDescent="0.25">
      <c r="B78" s="2" t="s">
        <v>282</v>
      </c>
      <c r="C78" s="3"/>
      <c r="D78" s="3"/>
      <c r="E78" s="3"/>
      <c r="F78" s="3"/>
      <c r="G78" s="3"/>
    </row>
    <row r="79" spans="2:7" x14ac:dyDescent="0.25">
      <c r="B79" s="2" t="s">
        <v>283</v>
      </c>
      <c r="C79" s="3"/>
      <c r="D79" s="3"/>
      <c r="E79" s="3"/>
      <c r="F79" s="3"/>
      <c r="G79" s="3"/>
    </row>
    <row r="80" spans="2:7" x14ac:dyDescent="0.25">
      <c r="B80" s="2" t="s">
        <v>284</v>
      </c>
      <c r="C80" s="3"/>
      <c r="D80" s="3"/>
      <c r="E80" s="3"/>
      <c r="F80" s="3"/>
      <c r="G80" s="3"/>
    </row>
    <row r="81" spans="2:7" x14ac:dyDescent="0.25">
      <c r="B81" s="4" t="s">
        <v>285</v>
      </c>
      <c r="C81" s="5"/>
      <c r="D81" s="5"/>
      <c r="E81" s="5"/>
      <c r="F81" s="5"/>
      <c r="G81" s="5"/>
    </row>
    <row r="82" spans="2:7" x14ac:dyDescent="0.25">
      <c r="B82" s="4" t="s">
        <v>286</v>
      </c>
      <c r="C82" s="5"/>
      <c r="D82" s="5"/>
      <c r="E82" s="5"/>
      <c r="F82" s="5"/>
      <c r="G82" s="5"/>
    </row>
    <row r="83" spans="2:7" x14ac:dyDescent="0.25">
      <c r="B83" s="4" t="s">
        <v>287</v>
      </c>
      <c r="C83" s="5"/>
      <c r="D83" s="5"/>
      <c r="E83" s="5"/>
      <c r="F83" s="5"/>
      <c r="G83" s="5"/>
    </row>
    <row r="84" spans="2:7" x14ac:dyDescent="0.25">
      <c r="B84" s="4" t="s">
        <v>288</v>
      </c>
      <c r="C84" s="5">
        <v>26919000</v>
      </c>
      <c r="D84" s="5">
        <v>38447000</v>
      </c>
      <c r="E84" s="5">
        <v>43029000</v>
      </c>
      <c r="F84" s="5">
        <v>45008000</v>
      </c>
      <c r="G84" s="5">
        <v>48466000</v>
      </c>
    </row>
    <row r="85" spans="2:7" x14ac:dyDescent="0.25">
      <c r="B85" s="2" t="s">
        <v>289</v>
      </c>
      <c r="C85" s="3"/>
      <c r="D85" s="3"/>
      <c r="E85" s="3"/>
      <c r="F85" s="3"/>
      <c r="G85" s="3"/>
    </row>
    <row r="86" spans="2:7" x14ac:dyDescent="0.25">
      <c r="B86" s="2" t="s">
        <v>290</v>
      </c>
      <c r="C86" s="3"/>
      <c r="D86" s="3"/>
      <c r="E86" s="3"/>
      <c r="F86" s="3"/>
      <c r="G86" s="3"/>
    </row>
    <row r="87" spans="2:7" x14ac:dyDescent="0.25">
      <c r="B87" s="2" t="s">
        <v>291</v>
      </c>
      <c r="C87" s="3"/>
      <c r="D87" s="3"/>
      <c r="E87" s="3"/>
      <c r="F87" s="3"/>
      <c r="G87" s="3"/>
    </row>
    <row r="88" spans="2:7" x14ac:dyDescent="0.25">
      <c r="B88" s="2" t="s">
        <v>292</v>
      </c>
      <c r="C88" s="3"/>
      <c r="D88" s="3"/>
      <c r="E88" s="3"/>
      <c r="F88" s="3"/>
      <c r="G88" s="3"/>
    </row>
    <row r="89" spans="2:7" x14ac:dyDescent="0.25">
      <c r="B89" s="2" t="s">
        <v>293</v>
      </c>
      <c r="C89" s="3"/>
      <c r="D89" s="3">
        <v>8939000</v>
      </c>
      <c r="E89" s="3">
        <v>8049000</v>
      </c>
      <c r="F89" s="3">
        <v>10417000</v>
      </c>
      <c r="G89" s="3">
        <v>9676000</v>
      </c>
    </row>
    <row r="90" spans="2:7" x14ac:dyDescent="0.25">
      <c r="B90" s="4" t="s">
        <v>294</v>
      </c>
      <c r="C90" s="5">
        <v>4965000</v>
      </c>
      <c r="D90" s="5">
        <v>8939000</v>
      </c>
      <c r="E90" s="5">
        <v>8049000</v>
      </c>
      <c r="F90" s="5">
        <v>10417000</v>
      </c>
      <c r="G90" s="5">
        <v>9676000</v>
      </c>
    </row>
    <row r="91" spans="2:7" x14ac:dyDescent="0.25">
      <c r="B91" s="4" t="s">
        <v>295</v>
      </c>
      <c r="C91" s="5">
        <v>4965000</v>
      </c>
      <c r="D91" s="5">
        <v>8939000</v>
      </c>
      <c r="E91" s="5">
        <v>8049000</v>
      </c>
      <c r="F91" s="5">
        <v>10417000</v>
      </c>
      <c r="G91" s="5">
        <v>9676000</v>
      </c>
    </row>
    <row r="92" spans="2:7" x14ac:dyDescent="0.25">
      <c r="B92" s="4" t="s">
        <v>296</v>
      </c>
      <c r="C92" s="5">
        <v>4965000</v>
      </c>
      <c r="D92" s="5">
        <v>8939000</v>
      </c>
      <c r="E92" s="5">
        <v>8049000</v>
      </c>
      <c r="F92" s="5">
        <v>10417000</v>
      </c>
      <c r="G92" s="5">
        <v>9676000</v>
      </c>
    </row>
    <row r="93" spans="2:7" x14ac:dyDescent="0.25">
      <c r="B93" s="2" t="s">
        <v>297</v>
      </c>
      <c r="C93" s="3"/>
      <c r="D93" s="3"/>
      <c r="E93" s="3"/>
      <c r="F93" s="3"/>
      <c r="G93" s="3"/>
    </row>
    <row r="94" spans="2:7" x14ac:dyDescent="0.25">
      <c r="B94" s="2" t="s">
        <v>298</v>
      </c>
      <c r="C94" s="3">
        <v>2520000</v>
      </c>
      <c r="D94" s="3">
        <v>2930000</v>
      </c>
      <c r="E94" s="3">
        <v>2998000</v>
      </c>
      <c r="F94" s="3"/>
      <c r="G94" s="3"/>
    </row>
    <row r="95" spans="2:7" x14ac:dyDescent="0.25">
      <c r="B95" s="4" t="s">
        <v>299</v>
      </c>
      <c r="C95" s="5">
        <v>2520000</v>
      </c>
      <c r="D95" s="5">
        <v>2930000</v>
      </c>
      <c r="E95" s="5">
        <v>2998000</v>
      </c>
      <c r="F95" s="5"/>
      <c r="G95" s="5"/>
    </row>
    <row r="96" spans="2:7" x14ac:dyDescent="0.25">
      <c r="B96" s="2" t="s">
        <v>300</v>
      </c>
      <c r="C96" s="3"/>
      <c r="D96" s="3"/>
      <c r="E96" s="3"/>
      <c r="F96" s="3">
        <v>2925000</v>
      </c>
      <c r="G96" s="3">
        <v>2973000</v>
      </c>
    </row>
    <row r="97" spans="2:7" x14ac:dyDescent="0.25">
      <c r="B97" s="4" t="s">
        <v>301</v>
      </c>
      <c r="C97" s="5">
        <v>7485000</v>
      </c>
      <c r="D97" s="5">
        <v>11869000</v>
      </c>
      <c r="E97" s="5">
        <v>11047000</v>
      </c>
      <c r="F97" s="5">
        <v>13342000</v>
      </c>
      <c r="G97" s="5">
        <v>12649000</v>
      </c>
    </row>
    <row r="98" spans="2:7" x14ac:dyDescent="0.25">
      <c r="B98" s="59" t="s">
        <v>302</v>
      </c>
      <c r="C98" s="58">
        <v>34404000</v>
      </c>
      <c r="D98" s="58">
        <v>50316000</v>
      </c>
      <c r="E98" s="58">
        <v>54076000</v>
      </c>
      <c r="F98" s="58">
        <v>58350000</v>
      </c>
      <c r="G98" s="58">
        <v>61115000</v>
      </c>
    </row>
    <row r="99" spans="2:7" x14ac:dyDescent="0.25">
      <c r="B99" s="23" t="s">
        <v>305</v>
      </c>
      <c r="C99" s="60"/>
      <c r="D99" s="61"/>
      <c r="E99" s="61"/>
      <c r="F99" s="61"/>
      <c r="G99" s="61"/>
    </row>
    <row r="100" spans="2:7" x14ac:dyDescent="0.25">
      <c r="B100" s="2" t="s">
        <v>306</v>
      </c>
      <c r="C100" s="3"/>
      <c r="D100" s="3"/>
      <c r="E100" s="3"/>
      <c r="F100" s="3"/>
      <c r="G100" s="3"/>
    </row>
    <row r="101" spans="2:7" x14ac:dyDescent="0.25">
      <c r="B101" s="2" t="s">
        <v>307</v>
      </c>
      <c r="C101" s="3"/>
      <c r="D101" s="3"/>
      <c r="E101" s="3"/>
      <c r="F101" s="3"/>
      <c r="G101" s="3"/>
    </row>
    <row r="102" spans="2:7" x14ac:dyDescent="0.25">
      <c r="B102" s="2" t="s">
        <v>308</v>
      </c>
      <c r="C102" s="3"/>
      <c r="D102" s="3"/>
      <c r="E102" s="3"/>
      <c r="F102" s="3"/>
      <c r="G102" s="3"/>
    </row>
    <row r="103" spans="2:7" x14ac:dyDescent="0.25">
      <c r="B103" s="2" t="s">
        <v>309</v>
      </c>
      <c r="C103" s="3">
        <v>0</v>
      </c>
      <c r="D103" s="3">
        <v>0</v>
      </c>
      <c r="E103" s="3">
        <v>0</v>
      </c>
      <c r="F103" s="3">
        <v>0</v>
      </c>
      <c r="G103" s="3">
        <v>0</v>
      </c>
    </row>
    <row r="104" spans="2:7" x14ac:dyDescent="0.25">
      <c r="B104" s="2" t="s">
        <v>310</v>
      </c>
      <c r="C104" s="3">
        <v>0</v>
      </c>
      <c r="D104" s="3">
        <v>0</v>
      </c>
      <c r="E104" s="3">
        <v>0</v>
      </c>
      <c r="F104" s="3">
        <v>0</v>
      </c>
      <c r="G104" s="3">
        <v>0</v>
      </c>
    </row>
    <row r="105" spans="2:7" x14ac:dyDescent="0.25">
      <c r="B105" s="2" t="s">
        <v>311</v>
      </c>
      <c r="C105" s="3">
        <v>15588000</v>
      </c>
      <c r="D105" s="3">
        <v>16644000</v>
      </c>
      <c r="E105" s="3">
        <v>17208000</v>
      </c>
      <c r="F105" s="3">
        <v>18327000</v>
      </c>
      <c r="G105" s="3">
        <v>19642000</v>
      </c>
    </row>
    <row r="106" spans="2:7" x14ac:dyDescent="0.25">
      <c r="B106" s="4" t="s">
        <v>312</v>
      </c>
      <c r="C106" s="5">
        <v>15588000</v>
      </c>
      <c r="D106" s="5">
        <v>16644000</v>
      </c>
      <c r="E106" s="5">
        <v>17208000</v>
      </c>
      <c r="F106" s="5">
        <v>18327000</v>
      </c>
      <c r="G106" s="5">
        <v>19642000</v>
      </c>
    </row>
    <row r="107" spans="2:7" x14ac:dyDescent="0.25">
      <c r="B107" s="2" t="s">
        <v>313</v>
      </c>
      <c r="C107" s="3">
        <v>-6872000</v>
      </c>
      <c r="D107" s="3">
        <v>-8507000</v>
      </c>
      <c r="E107" s="3">
        <v>-11880000</v>
      </c>
      <c r="F107" s="3">
        <v>-16079000</v>
      </c>
      <c r="G107" s="3">
        <v>-21045000</v>
      </c>
    </row>
    <row r="108" spans="2:7" x14ac:dyDescent="0.25">
      <c r="B108" s="4" t="s">
        <v>314</v>
      </c>
      <c r="C108" s="5">
        <v>8716000</v>
      </c>
      <c r="D108" s="5">
        <v>8137000</v>
      </c>
      <c r="E108" s="5">
        <v>5328000</v>
      </c>
      <c r="F108" s="5">
        <v>2248000</v>
      </c>
      <c r="G108" s="5">
        <v>-1403000</v>
      </c>
    </row>
    <row r="109" spans="2:7" x14ac:dyDescent="0.25">
      <c r="B109" s="2" t="s">
        <v>315</v>
      </c>
      <c r="C109" s="3">
        <v>8342000</v>
      </c>
      <c r="D109" s="3">
        <v>12366000</v>
      </c>
      <c r="E109" s="3">
        <v>16535000</v>
      </c>
      <c r="F109" s="3">
        <v>18954000</v>
      </c>
      <c r="G109" s="3">
        <v>23200000</v>
      </c>
    </row>
    <row r="110" spans="2:7" x14ac:dyDescent="0.25">
      <c r="B110" s="2" t="s">
        <v>316</v>
      </c>
      <c r="C110" s="3"/>
      <c r="D110" s="3"/>
      <c r="E110" s="3"/>
      <c r="F110" s="3"/>
      <c r="G110" s="3"/>
    </row>
    <row r="111" spans="2:7" x14ac:dyDescent="0.25">
      <c r="B111" s="2" t="s">
        <v>317</v>
      </c>
      <c r="C111" s="3">
        <v>-173000</v>
      </c>
      <c r="D111" s="3">
        <v>-484000</v>
      </c>
      <c r="E111" s="3">
        <v>-136000</v>
      </c>
      <c r="F111" s="3">
        <v>-928000</v>
      </c>
      <c r="G111" s="3">
        <v>-746000</v>
      </c>
    </row>
    <row r="112" spans="2:7" x14ac:dyDescent="0.25">
      <c r="B112" s="4" t="s">
        <v>318</v>
      </c>
      <c r="C112" s="5">
        <v>-173000</v>
      </c>
      <c r="D112" s="5">
        <v>-484000</v>
      </c>
      <c r="E112" s="5">
        <v>-136000</v>
      </c>
      <c r="F112" s="5">
        <v>-928000</v>
      </c>
      <c r="G112" s="5">
        <v>-746000</v>
      </c>
    </row>
    <row r="113" spans="2:7" x14ac:dyDescent="0.25">
      <c r="B113" s="2" t="s">
        <v>319</v>
      </c>
      <c r="C113" s="3"/>
      <c r="D113" s="3"/>
      <c r="E113" s="3"/>
      <c r="F113" s="3"/>
      <c r="G113" s="3"/>
    </row>
    <row r="114" spans="2:7" x14ac:dyDescent="0.25">
      <c r="B114" s="4" t="s">
        <v>320</v>
      </c>
      <c r="C114" s="5">
        <v>16885000</v>
      </c>
      <c r="D114" s="5">
        <v>20019000</v>
      </c>
      <c r="E114" s="5">
        <v>21727000</v>
      </c>
      <c r="F114" s="5">
        <v>20274000</v>
      </c>
      <c r="G114" s="5">
        <v>21051000</v>
      </c>
    </row>
    <row r="115" spans="2:7" x14ac:dyDescent="0.25">
      <c r="B115" s="2" t="s">
        <v>321</v>
      </c>
      <c r="C115" s="3">
        <v>44000</v>
      </c>
      <c r="D115" s="3">
        <v>44000</v>
      </c>
      <c r="E115" s="3"/>
      <c r="F115" s="3"/>
      <c r="G115" s="3"/>
    </row>
    <row r="116" spans="2:7" x14ac:dyDescent="0.25">
      <c r="B116" s="59" t="s">
        <v>322</v>
      </c>
      <c r="C116" s="58">
        <v>16929000</v>
      </c>
      <c r="D116" s="58">
        <v>20063000</v>
      </c>
      <c r="E116" s="58">
        <v>21727000</v>
      </c>
      <c r="F116" s="58">
        <v>20274000</v>
      </c>
      <c r="G116" s="58">
        <v>21051000</v>
      </c>
    </row>
    <row r="117" spans="2:7" x14ac:dyDescent="0.25">
      <c r="B117" s="23" t="s">
        <v>323</v>
      </c>
      <c r="C117" s="62"/>
      <c r="D117" s="62"/>
      <c r="E117" s="62"/>
      <c r="F117" s="62"/>
      <c r="G117" s="62"/>
    </row>
    <row r="118" spans="2:7" x14ac:dyDescent="0.25">
      <c r="B118" s="2" t="s">
        <v>324</v>
      </c>
      <c r="C118" s="3"/>
      <c r="D118" s="3"/>
      <c r="E118" s="3"/>
      <c r="F118" s="3"/>
      <c r="G118" s="3"/>
    </row>
    <row r="119" spans="2:7" x14ac:dyDescent="0.25">
      <c r="B119" s="2" t="s">
        <v>325</v>
      </c>
      <c r="C119" s="3">
        <v>1173000000</v>
      </c>
      <c r="D119" s="3">
        <v>1171691809</v>
      </c>
      <c r="E119" s="3">
        <v>1168000000</v>
      </c>
      <c r="F119" s="3">
        <v>1136000000</v>
      </c>
      <c r="G119" s="3">
        <v>1072000000</v>
      </c>
    </row>
    <row r="120" spans="2:7" x14ac:dyDescent="0.25">
      <c r="B120" s="2" t="s">
        <v>326</v>
      </c>
      <c r="C120" s="3">
        <v>105000000</v>
      </c>
      <c r="D120" s="3">
        <v>117000000</v>
      </c>
      <c r="E120" s="3">
        <v>132000000</v>
      </c>
      <c r="F120" s="3">
        <v>173000000</v>
      </c>
      <c r="G120" s="3">
        <v>245000000</v>
      </c>
    </row>
    <row r="121" spans="2:7" x14ac:dyDescent="0.25">
      <c r="B121" s="4" t="s">
        <v>327</v>
      </c>
      <c r="C121" s="5">
        <v>1278000000</v>
      </c>
      <c r="D121" s="5">
        <v>1288691809</v>
      </c>
      <c r="E121" s="5">
        <v>1300000000</v>
      </c>
      <c r="F121" s="5">
        <v>1309000000</v>
      </c>
      <c r="G121" s="5">
        <v>1317000000</v>
      </c>
    </row>
    <row r="122" spans="2:7" x14ac:dyDescent="0.25">
      <c r="B122" s="23" t="s">
        <v>328</v>
      </c>
      <c r="C122" s="62"/>
      <c r="D122" s="62"/>
      <c r="E122" s="62"/>
      <c r="F122" s="62"/>
      <c r="G122" s="62"/>
    </row>
    <row r="123" spans="2:7" x14ac:dyDescent="0.25">
      <c r="B123" s="2" t="s">
        <v>329</v>
      </c>
      <c r="C123" s="3"/>
      <c r="D123" s="3"/>
      <c r="E123" s="3"/>
      <c r="F123" s="3"/>
      <c r="G123" s="3"/>
    </row>
    <row r="124" spans="2:7" x14ac:dyDescent="0.25">
      <c r="B124" s="2" t="s">
        <v>330</v>
      </c>
      <c r="C124" s="3">
        <v>129000</v>
      </c>
      <c r="D124" s="3"/>
      <c r="E124" s="3">
        <v>1000000</v>
      </c>
      <c r="F124" s="3"/>
      <c r="G124" s="3">
        <v>1250000</v>
      </c>
    </row>
    <row r="125" spans="2:7" x14ac:dyDescent="0.25">
      <c r="B125" s="2" t="s">
        <v>331</v>
      </c>
      <c r="C125" s="3">
        <v>128000</v>
      </c>
      <c r="D125" s="3">
        <v>1000000</v>
      </c>
      <c r="E125" s="3">
        <v>1000000</v>
      </c>
      <c r="F125" s="3"/>
      <c r="G125" s="3">
        <v>1213000</v>
      </c>
    </row>
    <row r="126" spans="2:7" x14ac:dyDescent="0.25">
      <c r="B126" s="2" t="s">
        <v>332</v>
      </c>
      <c r="C126" s="3">
        <v>1128000</v>
      </c>
      <c r="D126" s="3">
        <v>1000000</v>
      </c>
      <c r="E126" s="3">
        <v>1250000</v>
      </c>
      <c r="F126" s="3"/>
      <c r="G126" s="3">
        <v>1413000</v>
      </c>
    </row>
    <row r="127" spans="2:7" x14ac:dyDescent="0.25">
      <c r="B127" s="2" t="s">
        <v>333</v>
      </c>
      <c r="C127" s="3">
        <v>106000</v>
      </c>
      <c r="D127" s="3">
        <v>1250000</v>
      </c>
      <c r="E127" s="3">
        <v>1000000</v>
      </c>
      <c r="F127" s="3"/>
      <c r="G127" s="3">
        <v>500000</v>
      </c>
    </row>
    <row r="128" spans="2:7" x14ac:dyDescent="0.25">
      <c r="B128" s="2" t="s">
        <v>334</v>
      </c>
      <c r="C128" s="3">
        <v>1356000</v>
      </c>
      <c r="D128" s="3">
        <v>1000000</v>
      </c>
      <c r="E128" s="3">
        <v>1250000</v>
      </c>
      <c r="F128" s="3"/>
      <c r="G128" s="3">
        <v>262000</v>
      </c>
    </row>
    <row r="129" spans="2:7" x14ac:dyDescent="0.25">
      <c r="B129" s="2" t="s">
        <v>335</v>
      </c>
      <c r="C129" s="3">
        <v>3030000</v>
      </c>
      <c r="D129" s="3">
        <v>4750000</v>
      </c>
      <c r="E129" s="3">
        <v>3500000</v>
      </c>
      <c r="F129" s="3"/>
      <c r="G129" s="3">
        <v>6000000</v>
      </c>
    </row>
    <row r="130" spans="2:7" x14ac:dyDescent="0.25">
      <c r="B130" s="2" t="s">
        <v>336</v>
      </c>
      <c r="C130" s="3">
        <v>-912000</v>
      </c>
      <c r="D130" s="3">
        <v>-61000</v>
      </c>
      <c r="E130" s="3">
        <v>-50000</v>
      </c>
      <c r="F130" s="3"/>
      <c r="G130" s="3">
        <v>-962000</v>
      </c>
    </row>
    <row r="131" spans="2:7" x14ac:dyDescent="0.25">
      <c r="B131" s="4" t="s">
        <v>337</v>
      </c>
      <c r="C131" s="5">
        <v>4965000</v>
      </c>
      <c r="D131" s="5">
        <v>8939000</v>
      </c>
      <c r="E131" s="5">
        <v>8950000</v>
      </c>
      <c r="F131" s="5"/>
      <c r="G131" s="5">
        <v>9676000</v>
      </c>
    </row>
    <row r="132" spans="2:7" x14ac:dyDescent="0.25">
      <c r="B132" s="2" t="s">
        <v>338</v>
      </c>
      <c r="C132" s="3"/>
      <c r="D132" s="3"/>
      <c r="E132" s="3"/>
      <c r="F132" s="3"/>
      <c r="G132" s="3"/>
    </row>
    <row r="133" spans="2:7" x14ac:dyDescent="0.25">
      <c r="B133" s="2" t="s">
        <v>339</v>
      </c>
      <c r="C133" s="3">
        <v>125000</v>
      </c>
      <c r="D133" s="3">
        <v>165000</v>
      </c>
      <c r="E133" s="3">
        <v>160000</v>
      </c>
      <c r="F133" s="3"/>
      <c r="G133" s="3">
        <v>161000</v>
      </c>
    </row>
    <row r="134" spans="2:7" x14ac:dyDescent="0.25">
      <c r="B134" s="2" t="s">
        <v>340</v>
      </c>
      <c r="C134" s="3">
        <v>111000</v>
      </c>
      <c r="D134" s="3">
        <v>132000</v>
      </c>
      <c r="E134" s="3">
        <v>154000</v>
      </c>
      <c r="F134" s="3"/>
      <c r="G134" s="3">
        <v>122000</v>
      </c>
    </row>
    <row r="135" spans="2:7" x14ac:dyDescent="0.25">
      <c r="B135" s="2" t="s">
        <v>341</v>
      </c>
      <c r="C135" s="3">
        <v>77000</v>
      </c>
      <c r="D135" s="3">
        <v>116000</v>
      </c>
      <c r="E135" s="3">
        <v>136000</v>
      </c>
      <c r="F135" s="3"/>
      <c r="G135" s="3">
        <v>108000</v>
      </c>
    </row>
    <row r="136" spans="2:7" x14ac:dyDescent="0.25">
      <c r="B136" s="2" t="s">
        <v>342</v>
      </c>
      <c r="C136" s="3">
        <v>58000</v>
      </c>
      <c r="D136" s="3">
        <v>106000</v>
      </c>
      <c r="E136" s="3">
        <v>105000</v>
      </c>
      <c r="F136" s="3"/>
      <c r="G136" s="3">
        <v>87000</v>
      </c>
    </row>
    <row r="137" spans="2:7" x14ac:dyDescent="0.25">
      <c r="B137" s="2" t="s">
        <v>343</v>
      </c>
      <c r="C137" s="3">
        <v>51000</v>
      </c>
      <c r="D137" s="3">
        <v>94000</v>
      </c>
      <c r="E137" s="3">
        <v>89000</v>
      </c>
      <c r="F137" s="3"/>
      <c r="G137" s="3">
        <v>57000</v>
      </c>
    </row>
    <row r="138" spans="2:7" x14ac:dyDescent="0.25">
      <c r="B138" s="2" t="s">
        <v>344</v>
      </c>
      <c r="C138" s="3">
        <v>163000</v>
      </c>
      <c r="D138" s="3">
        <v>266000</v>
      </c>
      <c r="E138" s="3">
        <v>190000</v>
      </c>
      <c r="F138" s="3"/>
      <c r="G138" s="3">
        <v>80000</v>
      </c>
    </row>
    <row r="139" spans="2:7" x14ac:dyDescent="0.25">
      <c r="B139" s="2" t="s">
        <v>345</v>
      </c>
      <c r="C139" s="3">
        <v>-78000</v>
      </c>
      <c r="D139" s="3">
        <v>-93000</v>
      </c>
      <c r="E139" s="3">
        <v>-72000</v>
      </c>
      <c r="F139" s="3"/>
      <c r="G139" s="3">
        <v>-55000</v>
      </c>
    </row>
    <row r="140" spans="2:7" x14ac:dyDescent="0.25">
      <c r="B140" s="4" t="s">
        <v>346</v>
      </c>
      <c r="C140" s="5">
        <v>507000</v>
      </c>
      <c r="D140" s="5">
        <v>786000</v>
      </c>
      <c r="E140" s="5">
        <v>762000</v>
      </c>
      <c r="F140" s="5"/>
      <c r="G140" s="5">
        <v>560000</v>
      </c>
    </row>
    <row r="141" spans="2:7" x14ac:dyDescent="0.25">
      <c r="B141" s="2" t="s">
        <v>347</v>
      </c>
      <c r="C141" s="3"/>
      <c r="D141" s="3"/>
      <c r="E141" s="3"/>
      <c r="F141" s="3"/>
      <c r="G141" s="3"/>
    </row>
    <row r="142" spans="2:7" x14ac:dyDescent="0.25">
      <c r="B142" s="2" t="s">
        <v>348</v>
      </c>
      <c r="C142" s="3">
        <v>370000</v>
      </c>
      <c r="D142" s="3">
        <v>523000</v>
      </c>
      <c r="E142" s="3">
        <v>676000</v>
      </c>
      <c r="F142" s="3"/>
      <c r="G142" s="3">
        <v>1220000</v>
      </c>
    </row>
    <row r="143" spans="2:7" x14ac:dyDescent="0.25">
      <c r="B143" s="2" t="s">
        <v>349</v>
      </c>
      <c r="C143" s="3">
        <v>174000</v>
      </c>
      <c r="D143" s="3">
        <v>353000</v>
      </c>
      <c r="E143" s="3">
        <v>481000</v>
      </c>
      <c r="F143" s="3"/>
      <c r="G143" s="3">
        <v>831000</v>
      </c>
    </row>
    <row r="144" spans="2:7" x14ac:dyDescent="0.25">
      <c r="B144" s="2" t="s">
        <v>350</v>
      </c>
      <c r="C144" s="3">
        <v>132000</v>
      </c>
      <c r="D144" s="3">
        <v>341000</v>
      </c>
      <c r="E144" s="3">
        <v>611000</v>
      </c>
      <c r="F144" s="3"/>
      <c r="G144" s="3">
        <v>348000</v>
      </c>
    </row>
    <row r="145" spans="2:7" x14ac:dyDescent="0.25">
      <c r="B145" s="2" t="s">
        <v>351</v>
      </c>
      <c r="C145" s="3">
        <v>214000</v>
      </c>
      <c r="D145" s="3">
        <v>418000</v>
      </c>
      <c r="E145" s="3">
        <v>418000</v>
      </c>
      <c r="F145" s="3"/>
      <c r="G145" s="3"/>
    </row>
    <row r="146" spans="2:7" x14ac:dyDescent="0.25">
      <c r="B146" s="2" t="s">
        <v>352</v>
      </c>
      <c r="C146" s="3">
        <v>286000</v>
      </c>
      <c r="D146" s="3">
        <v>414000</v>
      </c>
      <c r="E146" s="3">
        <v>52000</v>
      </c>
      <c r="F146" s="3"/>
      <c r="G146" s="3"/>
    </row>
    <row r="147" spans="2:7" x14ac:dyDescent="0.25">
      <c r="B147" s="2" t="s">
        <v>353</v>
      </c>
      <c r="C147" s="3">
        <v>368000</v>
      </c>
      <c r="D147" s="3">
        <v>52000</v>
      </c>
      <c r="E147" s="3"/>
      <c r="F147" s="3"/>
      <c r="G147" s="3"/>
    </row>
    <row r="148" spans="2:7" x14ac:dyDescent="0.25">
      <c r="B148" s="4" t="s">
        <v>354</v>
      </c>
      <c r="C148" s="5">
        <v>1544000</v>
      </c>
      <c r="D148" s="5">
        <v>2101000</v>
      </c>
      <c r="E148" s="5">
        <v>2238000</v>
      </c>
      <c r="F148" s="5"/>
      <c r="G148" s="5">
        <v>2399000</v>
      </c>
    </row>
    <row r="149" spans="2:7" x14ac:dyDescent="0.25">
      <c r="B149" s="2" t="s">
        <v>355</v>
      </c>
      <c r="C149" s="3"/>
      <c r="D149" s="3"/>
      <c r="E149" s="3"/>
      <c r="F149" s="3"/>
      <c r="G149" s="3"/>
    </row>
    <row r="150" spans="2:7" x14ac:dyDescent="0.25">
      <c r="B150" s="2" t="s">
        <v>356</v>
      </c>
      <c r="C150" s="3">
        <v>125000</v>
      </c>
      <c r="D150" s="3">
        <v>165000</v>
      </c>
      <c r="E150" s="3">
        <v>160000</v>
      </c>
      <c r="F150" s="3"/>
      <c r="G150" s="3">
        <v>161000</v>
      </c>
    </row>
    <row r="151" spans="2:7" x14ac:dyDescent="0.25">
      <c r="B151" s="2" t="s">
        <v>357</v>
      </c>
      <c r="C151" s="3">
        <v>111000</v>
      </c>
      <c r="D151" s="3">
        <v>132000</v>
      </c>
      <c r="E151" s="3">
        <v>154000</v>
      </c>
      <c r="F151" s="3"/>
      <c r="G151" s="3">
        <v>122000</v>
      </c>
    </row>
    <row r="152" spans="2:7" x14ac:dyDescent="0.25">
      <c r="B152" s="2" t="s">
        <v>358</v>
      </c>
      <c r="C152" s="3">
        <v>77000</v>
      </c>
      <c r="D152" s="3">
        <v>116000</v>
      </c>
      <c r="E152" s="3">
        <v>136000</v>
      </c>
      <c r="F152" s="3"/>
      <c r="G152" s="3">
        <v>108000</v>
      </c>
    </row>
    <row r="153" spans="2:7" x14ac:dyDescent="0.25">
      <c r="B153" s="2" t="s">
        <v>359</v>
      </c>
      <c r="C153" s="3">
        <v>58000</v>
      </c>
      <c r="D153" s="3">
        <v>106000</v>
      </c>
      <c r="E153" s="3">
        <v>105000</v>
      </c>
      <c r="F153" s="3"/>
      <c r="G153" s="3">
        <v>87000</v>
      </c>
    </row>
    <row r="154" spans="2:7" x14ac:dyDescent="0.25">
      <c r="B154" s="2" t="s">
        <v>360</v>
      </c>
      <c r="C154" s="3">
        <v>51000</v>
      </c>
      <c r="D154" s="3">
        <v>94000</v>
      </c>
      <c r="E154" s="3">
        <v>89000</v>
      </c>
      <c r="F154" s="3"/>
      <c r="G154" s="3">
        <v>57000</v>
      </c>
    </row>
    <row r="155" spans="2:7" x14ac:dyDescent="0.25">
      <c r="B155" s="2" t="s">
        <v>361</v>
      </c>
      <c r="C155" s="3">
        <v>163000</v>
      </c>
      <c r="D155" s="3">
        <v>266000</v>
      </c>
      <c r="E155" s="3">
        <v>190000</v>
      </c>
      <c r="F155" s="3"/>
      <c r="G155" s="3">
        <v>80000</v>
      </c>
    </row>
    <row r="156" spans="2:7" x14ac:dyDescent="0.25">
      <c r="B156" s="2" t="s">
        <v>362</v>
      </c>
      <c r="C156" s="3">
        <v>-78000</v>
      </c>
      <c r="D156" s="3">
        <v>-93000</v>
      </c>
      <c r="E156" s="3">
        <v>-72000</v>
      </c>
      <c r="F156" s="3"/>
      <c r="G156" s="3">
        <v>-55000</v>
      </c>
    </row>
    <row r="157" spans="2:7" x14ac:dyDescent="0.25">
      <c r="B157" s="4" t="s">
        <v>363</v>
      </c>
      <c r="C157" s="5">
        <v>507000</v>
      </c>
      <c r="D157" s="5">
        <v>786000</v>
      </c>
      <c r="E157" s="5">
        <v>762000</v>
      </c>
      <c r="F157" s="5"/>
      <c r="G157" s="5">
        <v>560000</v>
      </c>
    </row>
    <row r="158" spans="2:7" x14ac:dyDescent="0.25">
      <c r="B158" s="2" t="s">
        <v>364</v>
      </c>
      <c r="C158" s="3"/>
      <c r="D158" s="3"/>
      <c r="E158" s="3"/>
      <c r="F158" s="3"/>
      <c r="G158" s="3"/>
    </row>
    <row r="159" spans="2:7" x14ac:dyDescent="0.25">
      <c r="B159" s="2" t="s">
        <v>365</v>
      </c>
      <c r="C159" s="3">
        <v>624000</v>
      </c>
      <c r="D159" s="3">
        <v>688000</v>
      </c>
      <c r="E159" s="3">
        <v>836000</v>
      </c>
      <c r="F159" s="3"/>
      <c r="G159" s="3">
        <v>2631000</v>
      </c>
    </row>
    <row r="160" spans="2:7" x14ac:dyDescent="0.25">
      <c r="B160" s="2" t="s">
        <v>366</v>
      </c>
      <c r="C160" s="3">
        <v>413000</v>
      </c>
      <c r="D160" s="3">
        <v>1485000</v>
      </c>
      <c r="E160" s="3">
        <v>635000</v>
      </c>
      <c r="F160" s="3"/>
      <c r="G160" s="3">
        <v>2166000</v>
      </c>
    </row>
    <row r="161" spans="2:7" x14ac:dyDescent="0.25">
      <c r="B161" s="2" t="s">
        <v>367</v>
      </c>
      <c r="C161" s="3">
        <v>1337000</v>
      </c>
      <c r="D161" s="3">
        <v>1457000</v>
      </c>
      <c r="E161" s="3">
        <v>747000</v>
      </c>
      <c r="F161" s="3"/>
      <c r="G161" s="3">
        <v>1869000</v>
      </c>
    </row>
    <row r="162" spans="2:7" x14ac:dyDescent="0.25">
      <c r="B162" s="2" t="s">
        <v>368</v>
      </c>
      <c r="C162" s="3">
        <v>378000</v>
      </c>
      <c r="D162" s="3">
        <v>1774000</v>
      </c>
      <c r="E162" s="3">
        <v>523000</v>
      </c>
      <c r="F162" s="3"/>
      <c r="G162" s="3">
        <v>587000</v>
      </c>
    </row>
    <row r="163" spans="2:7" x14ac:dyDescent="0.25">
      <c r="B163" s="2" t="s">
        <v>369</v>
      </c>
      <c r="C163" s="3">
        <v>1693000</v>
      </c>
      <c r="D163" s="3">
        <v>1508000</v>
      </c>
      <c r="E163" s="3">
        <v>141000</v>
      </c>
      <c r="F163" s="3"/>
      <c r="G163" s="3">
        <v>319000</v>
      </c>
    </row>
    <row r="164" spans="2:7" x14ac:dyDescent="0.25">
      <c r="B164" s="2" t="s">
        <v>370</v>
      </c>
      <c r="C164" s="3">
        <v>3561000</v>
      </c>
      <c r="D164" s="3">
        <v>5068000</v>
      </c>
      <c r="E164" s="3">
        <v>190000</v>
      </c>
      <c r="F164" s="3"/>
      <c r="G164" s="3">
        <v>6080000</v>
      </c>
    </row>
    <row r="165" spans="2:7" x14ac:dyDescent="0.25">
      <c r="B165" s="2" t="s">
        <v>371</v>
      </c>
      <c r="C165" s="3">
        <v>-990000</v>
      </c>
      <c r="D165" s="3">
        <v>-154000</v>
      </c>
      <c r="E165" s="3">
        <v>-72000</v>
      </c>
      <c r="F165" s="3"/>
      <c r="G165" s="3">
        <v>-1017000</v>
      </c>
    </row>
    <row r="166" spans="2:7" x14ac:dyDescent="0.25">
      <c r="B166" s="4" t="s">
        <v>372</v>
      </c>
      <c r="C166" s="5">
        <v>7016000</v>
      </c>
      <c r="D166" s="5">
        <v>11826000</v>
      </c>
      <c r="E166" s="5">
        <v>3000000</v>
      </c>
      <c r="F166" s="5"/>
      <c r="G166" s="5">
        <v>12635000</v>
      </c>
    </row>
    <row r="167" spans="2:7" x14ac:dyDescent="0.25">
      <c r="B167" s="23" t="s">
        <v>373</v>
      </c>
      <c r="C167" s="62"/>
      <c r="D167" s="62"/>
      <c r="E167" s="62"/>
      <c r="F167" s="62"/>
      <c r="G167" s="62"/>
    </row>
    <row r="168" spans="2:7" x14ac:dyDescent="0.25">
      <c r="B168" s="2" t="s">
        <v>374</v>
      </c>
      <c r="C168" s="3">
        <v>4965000</v>
      </c>
      <c r="D168" s="3">
        <v>8939000</v>
      </c>
      <c r="E168" s="3">
        <v>8049000</v>
      </c>
      <c r="F168" s="3">
        <v>10417000</v>
      </c>
      <c r="G168" s="3">
        <v>9676000</v>
      </c>
    </row>
    <row r="169" spans="2:7" x14ac:dyDescent="0.25">
      <c r="B169" s="2" t="s">
        <v>375</v>
      </c>
      <c r="C169" s="3">
        <v>-5796000</v>
      </c>
      <c r="D169" s="3">
        <v>-4144000</v>
      </c>
      <c r="E169" s="3">
        <v>-1342000</v>
      </c>
      <c r="F169" s="3">
        <v>-434000</v>
      </c>
      <c r="G169" s="3">
        <v>-4381000</v>
      </c>
    </row>
    <row r="170" spans="2:7" x14ac:dyDescent="0.25">
      <c r="B170" s="2" t="s">
        <v>376</v>
      </c>
      <c r="C170" s="3">
        <v>16885000</v>
      </c>
      <c r="D170" s="3">
        <v>20019000</v>
      </c>
      <c r="E170" s="3">
        <v>21727000</v>
      </c>
      <c r="F170" s="3">
        <v>20274000</v>
      </c>
      <c r="G170" s="3">
        <v>21051000</v>
      </c>
    </row>
    <row r="171" spans="2:7" x14ac:dyDescent="0.25">
      <c r="B171" s="2" t="s">
        <v>377</v>
      </c>
      <c r="C171" s="3">
        <v>51333000</v>
      </c>
      <c r="D171" s="3">
        <v>70379000</v>
      </c>
      <c r="E171" s="3">
        <v>75803000</v>
      </c>
      <c r="F171" s="3">
        <v>78624000</v>
      </c>
      <c r="G171" s="3">
        <v>82166000</v>
      </c>
    </row>
    <row r="172" spans="2:7" x14ac:dyDescent="0.25">
      <c r="B172" s="2" t="s">
        <v>378</v>
      </c>
      <c r="C172" s="3">
        <v>44343000</v>
      </c>
      <c r="D172" s="3">
        <v>60196000</v>
      </c>
      <c r="E172" s="3">
        <v>63017000</v>
      </c>
      <c r="F172" s="3">
        <v>66627000</v>
      </c>
      <c r="G172" s="3">
        <v>70603000</v>
      </c>
    </row>
    <row r="173" spans="2:7" x14ac:dyDescent="0.25">
      <c r="B173" s="2" t="s">
        <v>379</v>
      </c>
      <c r="C173" s="3">
        <v>9939000</v>
      </c>
      <c r="D173" s="3">
        <v>9880000</v>
      </c>
      <c r="E173" s="3">
        <v>8941000</v>
      </c>
      <c r="F173" s="3">
        <v>8277000</v>
      </c>
      <c r="G173" s="3">
        <v>9488000</v>
      </c>
    </row>
    <row r="174" spans="2:7" x14ac:dyDescent="0.25">
      <c r="B174" s="2" t="s">
        <v>380</v>
      </c>
      <c r="C174" s="3">
        <v>11576000</v>
      </c>
      <c r="D174" s="3">
        <v>12548000</v>
      </c>
      <c r="E174" s="3">
        <v>9545000</v>
      </c>
      <c r="F174" s="3">
        <v>12416000</v>
      </c>
      <c r="G174" s="3">
        <v>14103000</v>
      </c>
    </row>
    <row r="175" spans="2:7" x14ac:dyDescent="0.25">
      <c r="B175" s="2" t="s">
        <v>381</v>
      </c>
      <c r="C175" s="3">
        <v>21894000</v>
      </c>
      <c r="D175" s="3">
        <v>29002000</v>
      </c>
      <c r="E175" s="3">
        <v>29776000</v>
      </c>
      <c r="F175" s="3">
        <v>30691000</v>
      </c>
      <c r="G175" s="3">
        <v>30727000</v>
      </c>
    </row>
    <row r="176" spans="2:7" x14ac:dyDescent="0.25">
      <c r="B176" s="2" t="s">
        <v>382</v>
      </c>
      <c r="C176" s="3">
        <v>1173000000</v>
      </c>
      <c r="D176" s="3">
        <v>1171691809</v>
      </c>
      <c r="E176" s="3">
        <v>1168000000</v>
      </c>
      <c r="F176" s="3">
        <v>1140027732</v>
      </c>
      <c r="G176" s="3">
        <v>1078140224</v>
      </c>
    </row>
    <row r="177" spans="2:7" x14ac:dyDescent="0.25">
      <c r="B177" s="2" t="s">
        <v>383</v>
      </c>
      <c r="C177" s="3">
        <v>23200</v>
      </c>
      <c r="D177" s="3">
        <v>26500</v>
      </c>
      <c r="E177" s="3">
        <v>30900</v>
      </c>
      <c r="F177" s="3">
        <v>30900</v>
      </c>
      <c r="G177" s="3">
        <v>29900</v>
      </c>
    </row>
    <row r="178" spans="2:7" x14ac:dyDescent="0.25">
      <c r="B178" s="23" t="s">
        <v>152</v>
      </c>
      <c r="C178" s="62"/>
      <c r="D178" s="62"/>
      <c r="E178" s="62"/>
      <c r="F178" s="62"/>
      <c r="G178" s="62"/>
    </row>
    <row r="179" spans="2:7" x14ac:dyDescent="0.25">
      <c r="B179" s="2" t="s">
        <v>384</v>
      </c>
      <c r="C179" s="7">
        <v>14.394714407502132</v>
      </c>
      <c r="D179" s="7">
        <v>17.085550864339957</v>
      </c>
      <c r="E179" s="7">
        <v>18.601883561643834</v>
      </c>
      <c r="F179" s="7">
        <v>17.846830985915492</v>
      </c>
      <c r="G179" s="7">
        <v>19.637126865671643</v>
      </c>
    </row>
    <row r="180" spans="2:7" x14ac:dyDescent="0.25">
      <c r="B180" s="2" t="s">
        <v>385</v>
      </c>
      <c r="C180" s="7">
        <v>6.2651321398124464</v>
      </c>
      <c r="D180" s="7">
        <v>4.0915195985636528</v>
      </c>
      <c r="E180" s="7">
        <v>4.4494863013698627</v>
      </c>
      <c r="F180" s="7">
        <v>6.845070422535211</v>
      </c>
      <c r="G180" s="7">
        <v>8.4710820895522385</v>
      </c>
    </row>
    <row r="181" spans="2:7" x14ac:dyDescent="0.25">
      <c r="B181" s="2" t="s">
        <v>386</v>
      </c>
      <c r="C181" s="7">
        <v>9.1739130434782616</v>
      </c>
      <c r="D181" s="7">
        <v>11.165905487694674</v>
      </c>
      <c r="E181" s="7">
        <v>8.0402397260273979</v>
      </c>
      <c r="F181" s="7">
        <v>9.55193661971831</v>
      </c>
      <c r="G181" s="7">
        <v>13.112873134328359</v>
      </c>
    </row>
    <row r="182" spans="2:7" x14ac:dyDescent="0.25">
      <c r="B182" s="2" t="s">
        <v>387</v>
      </c>
      <c r="C182" s="7">
        <v>5.9590792838874682</v>
      </c>
      <c r="D182" s="7">
        <v>8.690851913261092</v>
      </c>
      <c r="E182" s="7">
        <v>10.946917808219178</v>
      </c>
      <c r="F182" s="7">
        <v>10.560739436619718</v>
      </c>
      <c r="G182" s="7">
        <v>10.786380597014926</v>
      </c>
    </row>
    <row r="183" spans="2:7" x14ac:dyDescent="0.25">
      <c r="B183" s="2" t="s">
        <v>388</v>
      </c>
      <c r="C183" s="7">
        <v>43.76214833759591</v>
      </c>
      <c r="D183" s="7">
        <v>60.066136384503821</v>
      </c>
      <c r="E183" s="7">
        <v>64.899828767123282</v>
      </c>
      <c r="F183" s="7">
        <v>69.211267605633807</v>
      </c>
      <c r="G183" s="7">
        <v>76.647388059701498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9B8D7C-C596-7A43-B6EA-F40A979EDE99}">
  <dimension ref="B2:L100"/>
  <sheetViews>
    <sheetView topLeftCell="A28" zoomScale="75" workbookViewId="0">
      <selection activeCell="J18" sqref="J18"/>
    </sheetView>
  </sheetViews>
  <sheetFormatPr baseColWidth="10" defaultRowHeight="16" x14ac:dyDescent="0.2"/>
  <cols>
    <col min="2" max="2" width="82.6640625" bestFit="1" customWidth="1"/>
    <col min="3" max="7" width="14.83203125" bestFit="1" customWidth="1"/>
  </cols>
  <sheetData>
    <row r="2" spans="2:7" ht="19" x14ac:dyDescent="0.25">
      <c r="B2" s="23" t="s">
        <v>73</v>
      </c>
      <c r="C2" s="24">
        <v>2019</v>
      </c>
      <c r="D2" s="24">
        <v>2020</v>
      </c>
      <c r="E2" s="24">
        <v>2021</v>
      </c>
      <c r="F2" s="24">
        <v>2022</v>
      </c>
      <c r="G2" s="24">
        <v>2023</v>
      </c>
    </row>
    <row r="3" spans="2:7" ht="19" x14ac:dyDescent="0.25">
      <c r="B3" s="2" t="s">
        <v>74</v>
      </c>
      <c r="C3" s="3"/>
      <c r="D3" s="3"/>
      <c r="E3" s="3"/>
      <c r="F3" s="3"/>
      <c r="G3" s="3"/>
    </row>
    <row r="4" spans="2:7" ht="19" x14ac:dyDescent="0.25">
      <c r="B4" s="2" t="s">
        <v>75</v>
      </c>
      <c r="C4" s="3"/>
      <c r="D4" s="3"/>
      <c r="E4" s="3"/>
      <c r="F4" s="3"/>
      <c r="G4" s="3"/>
    </row>
    <row r="5" spans="2:7" ht="19" x14ac:dyDescent="0.25">
      <c r="B5" s="2" t="s">
        <v>76</v>
      </c>
      <c r="C5" s="3">
        <v>2459000</v>
      </c>
      <c r="D5" s="3">
        <v>4202000</v>
      </c>
      <c r="E5" s="3">
        <v>4169000</v>
      </c>
      <c r="F5" s="3">
        <v>2419000</v>
      </c>
      <c r="G5" s="3">
        <v>4246000</v>
      </c>
    </row>
    <row r="6" spans="2:7" ht="19" x14ac:dyDescent="0.25">
      <c r="B6" s="2" t="s">
        <v>77</v>
      </c>
      <c r="C6" s="3"/>
      <c r="D6" s="3"/>
      <c r="E6" s="3"/>
      <c r="F6" s="3"/>
      <c r="G6" s="3"/>
    </row>
    <row r="7" spans="2:7" ht="19" x14ac:dyDescent="0.25">
      <c r="B7" s="2" t="s">
        <v>78</v>
      </c>
      <c r="C7" s="3"/>
      <c r="D7" s="3"/>
      <c r="E7" s="3">
        <v>822000</v>
      </c>
      <c r="F7" s="3">
        <v>846000</v>
      </c>
      <c r="G7" s="3">
        <v>846000</v>
      </c>
    </row>
    <row r="8" spans="2:7" ht="19" x14ac:dyDescent="0.25">
      <c r="B8" s="2" t="s">
        <v>79</v>
      </c>
      <c r="C8" s="3"/>
      <c r="D8" s="3"/>
      <c r="E8" s="3">
        <v>443000</v>
      </c>
      <c r="F8" s="3">
        <v>471000</v>
      </c>
      <c r="G8" s="3">
        <v>226000</v>
      </c>
    </row>
    <row r="9" spans="2:7" ht="19" x14ac:dyDescent="0.25">
      <c r="B9" s="4" t="s">
        <v>80</v>
      </c>
      <c r="C9" s="5">
        <v>912000</v>
      </c>
      <c r="D9" s="5">
        <v>1189000</v>
      </c>
      <c r="E9" s="5">
        <v>1265000</v>
      </c>
      <c r="F9" s="5">
        <v>1317000</v>
      </c>
      <c r="G9" s="5">
        <v>1072000</v>
      </c>
    </row>
    <row r="10" spans="2:7" ht="19" x14ac:dyDescent="0.25">
      <c r="B10" s="2" t="s">
        <v>178</v>
      </c>
      <c r="C10" s="16"/>
      <c r="D10" s="16"/>
      <c r="E10" s="3">
        <v>73000</v>
      </c>
      <c r="F10" s="3">
        <v>-70000</v>
      </c>
      <c r="G10" s="3">
        <v>-367000</v>
      </c>
    </row>
    <row r="11" spans="2:7" ht="19" x14ac:dyDescent="0.25">
      <c r="B11" s="2" t="s">
        <v>81</v>
      </c>
      <c r="C11" s="3">
        <v>1021000</v>
      </c>
      <c r="D11" s="3">
        <v>1376000</v>
      </c>
      <c r="E11" s="3">
        <v>1376000</v>
      </c>
      <c r="F11" s="3">
        <v>1261000</v>
      </c>
      <c r="G11" s="3">
        <v>1475000</v>
      </c>
    </row>
    <row r="12" spans="2:7" ht="19" x14ac:dyDescent="0.25">
      <c r="B12" s="2" t="s">
        <v>82</v>
      </c>
      <c r="C12" s="3">
        <v>-269000</v>
      </c>
      <c r="D12" s="3">
        <v>165000</v>
      </c>
      <c r="E12" s="3">
        <v>-482000</v>
      </c>
      <c r="F12" s="3">
        <v>-811000</v>
      </c>
      <c r="G12" s="3">
        <v>-668000</v>
      </c>
    </row>
    <row r="13" spans="2:7" ht="19" x14ac:dyDescent="0.25">
      <c r="B13" s="2" t="s">
        <v>180</v>
      </c>
      <c r="C13" s="3">
        <v>-208000</v>
      </c>
      <c r="D13" s="3">
        <v>-1914000</v>
      </c>
      <c r="E13" s="3">
        <v>-46000</v>
      </c>
      <c r="F13" s="3">
        <v>304000</v>
      </c>
      <c r="G13" s="3">
        <v>-201000</v>
      </c>
    </row>
    <row r="14" spans="2:7" ht="19" x14ac:dyDescent="0.25">
      <c r="B14" s="4" t="s">
        <v>181</v>
      </c>
      <c r="C14" s="42">
        <v>-208000</v>
      </c>
      <c r="D14" s="41">
        <v>-1914000</v>
      </c>
      <c r="E14" s="41">
        <v>-46000</v>
      </c>
      <c r="F14" s="41">
        <v>304000</v>
      </c>
      <c r="G14" s="41">
        <v>-201000</v>
      </c>
    </row>
    <row r="15" spans="2:7" ht="19" x14ac:dyDescent="0.25">
      <c r="B15" s="4" t="s">
        <v>179</v>
      </c>
      <c r="C15" s="5"/>
      <c r="D15" s="5"/>
      <c r="E15" s="5">
        <v>0</v>
      </c>
      <c r="F15" s="5">
        <v>0</v>
      </c>
      <c r="G15" s="5">
        <v>-356000</v>
      </c>
    </row>
    <row r="16" spans="2:7" ht="19" x14ac:dyDescent="0.25">
      <c r="B16" s="2" t="s">
        <v>83</v>
      </c>
      <c r="C16" s="3">
        <v>1231000</v>
      </c>
      <c r="D16" s="3">
        <v>1788000</v>
      </c>
      <c r="E16" s="3">
        <v>1087000</v>
      </c>
      <c r="F16" s="3">
        <v>1847000</v>
      </c>
      <c r="G16" s="3">
        <v>-9839000</v>
      </c>
    </row>
    <row r="17" spans="2:8" ht="19" x14ac:dyDescent="0.25">
      <c r="B17" s="4" t="s">
        <v>84</v>
      </c>
      <c r="C17" s="5">
        <v>2687000</v>
      </c>
      <c r="D17" s="5">
        <v>2604000</v>
      </c>
      <c r="E17" s="5">
        <v>3273000</v>
      </c>
      <c r="F17" s="5">
        <v>3848000</v>
      </c>
      <c r="G17" s="5">
        <v>-8884000</v>
      </c>
      <c r="H17" s="80"/>
    </row>
    <row r="18" spans="2:8" ht="19" x14ac:dyDescent="0.25">
      <c r="B18" s="2" t="s">
        <v>85</v>
      </c>
      <c r="C18" s="3"/>
      <c r="D18" s="3"/>
      <c r="E18" s="3"/>
      <c r="F18" s="3"/>
      <c r="G18" s="3"/>
    </row>
    <row r="19" spans="2:8" ht="19" x14ac:dyDescent="0.25">
      <c r="B19" s="2" t="s">
        <v>86</v>
      </c>
      <c r="C19" s="3"/>
      <c r="D19" s="3"/>
      <c r="E19" s="3"/>
      <c r="F19" s="3"/>
      <c r="G19" s="3"/>
    </row>
    <row r="20" spans="2:8" ht="19" x14ac:dyDescent="0.25">
      <c r="B20" s="2" t="s">
        <v>87</v>
      </c>
      <c r="C20" s="3">
        <v>-120000</v>
      </c>
      <c r="D20" s="3">
        <v>-100000</v>
      </c>
      <c r="E20" s="3">
        <v>-222000</v>
      </c>
      <c r="F20" s="3">
        <v>-163000</v>
      </c>
      <c r="G20" s="3">
        <v>-114000</v>
      </c>
    </row>
    <row r="21" spans="2:8" ht="19" x14ac:dyDescent="0.25">
      <c r="B21" s="2" t="s">
        <v>182</v>
      </c>
      <c r="C21" s="3">
        <v>4000</v>
      </c>
      <c r="D21" s="3"/>
      <c r="E21" s="3"/>
      <c r="F21" s="3"/>
      <c r="G21" s="3"/>
    </row>
    <row r="22" spans="2:8" ht="19" x14ac:dyDescent="0.25">
      <c r="B22" s="4" t="s">
        <v>88</v>
      </c>
      <c r="C22" s="5">
        <v>-116000</v>
      </c>
      <c r="D22" s="5">
        <v>-100000</v>
      </c>
      <c r="E22" s="5">
        <v>-222000</v>
      </c>
      <c r="F22" s="5">
        <v>-163000</v>
      </c>
      <c r="G22" s="5">
        <v>-114000</v>
      </c>
    </row>
    <row r="23" spans="2:8" ht="19" x14ac:dyDescent="0.25">
      <c r="B23" s="2" t="s">
        <v>89</v>
      </c>
      <c r="C23" s="3">
        <v>-566000</v>
      </c>
      <c r="D23" s="3">
        <v>-171000</v>
      </c>
      <c r="E23" s="3">
        <v>-486000</v>
      </c>
      <c r="F23" s="3">
        <v>118000</v>
      </c>
      <c r="G23" s="3">
        <v>203000</v>
      </c>
    </row>
    <row r="24" spans="2:8" ht="19" x14ac:dyDescent="0.25">
      <c r="B24" s="2" t="s">
        <v>90</v>
      </c>
      <c r="C24" s="3"/>
      <c r="D24" s="3"/>
      <c r="E24" s="3"/>
      <c r="F24" s="3"/>
      <c r="G24" s="3"/>
    </row>
    <row r="25" spans="2:8" ht="19" x14ac:dyDescent="0.25">
      <c r="B25" s="2" t="s">
        <v>91</v>
      </c>
      <c r="C25" s="3"/>
      <c r="D25" s="3"/>
      <c r="E25" s="3"/>
      <c r="F25" s="3"/>
      <c r="G25" s="3"/>
    </row>
    <row r="26" spans="2:8" ht="19" x14ac:dyDescent="0.25">
      <c r="B26" s="2" t="s">
        <v>92</v>
      </c>
      <c r="C26" s="3">
        <v>4000</v>
      </c>
      <c r="D26" s="3">
        <v>-4000</v>
      </c>
      <c r="E26" s="3">
        <v>-31000</v>
      </c>
      <c r="F26" s="3">
        <v>-35000</v>
      </c>
      <c r="G26" s="3">
        <v>7000</v>
      </c>
    </row>
    <row r="27" spans="2:8" ht="19" x14ac:dyDescent="0.25">
      <c r="B27" s="17" t="s">
        <v>183</v>
      </c>
      <c r="C27" s="3">
        <v>-40000</v>
      </c>
      <c r="D27" s="3">
        <v>-230000</v>
      </c>
      <c r="E27" s="3"/>
      <c r="F27" s="3"/>
      <c r="G27" s="3"/>
    </row>
    <row r="28" spans="2:8" ht="19" x14ac:dyDescent="0.25">
      <c r="B28" s="4" t="s">
        <v>93</v>
      </c>
      <c r="C28" s="5">
        <v>-36000</v>
      </c>
      <c r="D28" s="5">
        <v>-234000</v>
      </c>
      <c r="E28" s="5">
        <v>-31000</v>
      </c>
      <c r="F28" s="5">
        <v>-35000</v>
      </c>
      <c r="G28" s="5">
        <v>7000</v>
      </c>
    </row>
    <row r="29" spans="2:8" ht="19" x14ac:dyDescent="0.25">
      <c r="B29" s="4" t="s">
        <v>94</v>
      </c>
      <c r="C29" s="5">
        <v>-36000</v>
      </c>
      <c r="D29" s="5">
        <v>-234000</v>
      </c>
      <c r="E29" s="5">
        <v>-31000</v>
      </c>
      <c r="F29" s="5">
        <v>-35000</v>
      </c>
      <c r="G29" s="5">
        <v>7000</v>
      </c>
    </row>
    <row r="30" spans="2:8" ht="19" x14ac:dyDescent="0.25">
      <c r="B30" s="2" t="s">
        <v>95</v>
      </c>
      <c r="C30" s="3">
        <v>722000</v>
      </c>
      <c r="D30" s="3">
        <v>1038000</v>
      </c>
      <c r="E30" s="3">
        <v>272000</v>
      </c>
      <c r="F30" s="3">
        <v>856000</v>
      </c>
      <c r="G30" s="3">
        <v>-222000</v>
      </c>
    </row>
    <row r="31" spans="2:8" ht="19" x14ac:dyDescent="0.25">
      <c r="B31" s="2" t="s">
        <v>184</v>
      </c>
      <c r="C31" s="3">
        <v>-1079000</v>
      </c>
      <c r="D31" s="3">
        <v>-1120000</v>
      </c>
      <c r="E31" s="3">
        <v>-1178000</v>
      </c>
      <c r="F31" s="3">
        <v>-1230000</v>
      </c>
      <c r="G31" s="3">
        <v>-1188000</v>
      </c>
    </row>
    <row r="32" spans="2:8" ht="19" x14ac:dyDescent="0.25">
      <c r="B32" s="4" t="s">
        <v>96</v>
      </c>
      <c r="C32" s="5">
        <v>-1075000</v>
      </c>
      <c r="D32" s="5">
        <v>-587000</v>
      </c>
      <c r="E32" s="5">
        <v>-1645000</v>
      </c>
      <c r="F32" s="5">
        <v>-454000</v>
      </c>
      <c r="G32" s="5">
        <v>-1314000</v>
      </c>
    </row>
    <row r="33" spans="2:12" ht="19" x14ac:dyDescent="0.25">
      <c r="B33" s="4" t="s">
        <v>97</v>
      </c>
      <c r="C33" s="5">
        <v>4071000</v>
      </c>
      <c r="D33" s="5">
        <v>6219000</v>
      </c>
      <c r="E33" s="5">
        <v>5797000</v>
      </c>
      <c r="F33" s="5">
        <v>5813000</v>
      </c>
      <c r="G33" s="5">
        <v>-5952000</v>
      </c>
      <c r="H33" s="80"/>
      <c r="I33" s="80"/>
      <c r="J33" s="80"/>
      <c r="K33" s="80"/>
      <c r="L33" s="80"/>
    </row>
    <row r="34" spans="2:12" ht="19" x14ac:dyDescent="0.25">
      <c r="B34" s="2" t="s">
        <v>185</v>
      </c>
      <c r="C34" s="43"/>
      <c r="D34" s="43"/>
      <c r="E34" s="43">
        <v>0</v>
      </c>
      <c r="F34" s="43">
        <v>0</v>
      </c>
      <c r="G34" s="44">
        <v>10795000</v>
      </c>
    </row>
    <row r="35" spans="2:12" ht="19" x14ac:dyDescent="0.25">
      <c r="B35" s="4" t="s">
        <v>98</v>
      </c>
      <c r="C35" s="16">
        <v>4071000</v>
      </c>
      <c r="D35" s="16">
        <v>6219000</v>
      </c>
      <c r="E35" s="16">
        <v>5797000</v>
      </c>
      <c r="F35" s="16">
        <v>5813000</v>
      </c>
      <c r="G35" s="16">
        <v>4843000</v>
      </c>
    </row>
    <row r="36" spans="2:12" ht="19" x14ac:dyDescent="0.25">
      <c r="B36" s="4" t="s">
        <v>99</v>
      </c>
      <c r="C36" s="5">
        <v>4071000</v>
      </c>
      <c r="D36" s="5">
        <v>6219000</v>
      </c>
      <c r="E36" s="5">
        <v>5797000</v>
      </c>
      <c r="F36" s="5">
        <v>5813000</v>
      </c>
      <c r="G36" s="5">
        <v>4843000</v>
      </c>
    </row>
    <row r="37" spans="2:12" ht="19" x14ac:dyDescent="0.25">
      <c r="B37" s="23" t="s">
        <v>100</v>
      </c>
      <c r="C37" s="25"/>
      <c r="D37" s="25"/>
      <c r="E37" s="25"/>
      <c r="F37" s="25"/>
      <c r="G37" s="25"/>
    </row>
    <row r="38" spans="2:12" ht="19" x14ac:dyDescent="0.25">
      <c r="B38" s="2" t="s">
        <v>101</v>
      </c>
      <c r="C38" s="3"/>
      <c r="D38" s="3"/>
      <c r="E38" s="3"/>
      <c r="F38" s="3"/>
      <c r="G38" s="3"/>
    </row>
    <row r="39" spans="2:12" ht="19" x14ac:dyDescent="0.25">
      <c r="B39" s="2" t="s">
        <v>186</v>
      </c>
      <c r="C39" s="3"/>
      <c r="D39" s="3">
        <v>-6098000</v>
      </c>
      <c r="E39" s="3">
        <v>-13420000</v>
      </c>
      <c r="F39" s="3">
        <v>-28170000</v>
      </c>
      <c r="G39" s="3">
        <v>-25198000</v>
      </c>
    </row>
    <row r="40" spans="2:12" ht="19" x14ac:dyDescent="0.25">
      <c r="B40" s="2" t="s">
        <v>187</v>
      </c>
      <c r="C40" s="3"/>
      <c r="D40" s="3">
        <v>6392000</v>
      </c>
      <c r="E40" s="3">
        <v>11826000</v>
      </c>
      <c r="F40" s="3">
        <v>24903000</v>
      </c>
      <c r="G40" s="3">
        <v>26660000</v>
      </c>
    </row>
    <row r="41" spans="2:12" ht="19" x14ac:dyDescent="0.25">
      <c r="B41" s="18" t="s">
        <v>188</v>
      </c>
      <c r="C41" s="5">
        <v>-1631000</v>
      </c>
      <c r="D41" s="41">
        <v>294000</v>
      </c>
      <c r="E41" s="41">
        <v>-1594000</v>
      </c>
      <c r="F41" s="41">
        <v>-3267000</v>
      </c>
      <c r="G41" s="41">
        <v>1462000</v>
      </c>
    </row>
    <row r="42" spans="2:12" ht="19" x14ac:dyDescent="0.25">
      <c r="B42" s="2" t="s">
        <v>102</v>
      </c>
      <c r="C42" s="3"/>
      <c r="D42" s="3"/>
      <c r="E42" s="3"/>
      <c r="F42" s="3"/>
      <c r="G42" s="3"/>
    </row>
    <row r="43" spans="2:12" ht="19" x14ac:dyDescent="0.25">
      <c r="B43" s="2" t="s">
        <v>103</v>
      </c>
      <c r="C43" s="3">
        <v>-704000</v>
      </c>
      <c r="D43" s="3">
        <v>-866000</v>
      </c>
      <c r="E43" s="3">
        <v>-908000</v>
      </c>
      <c r="F43" s="3">
        <v>-706000</v>
      </c>
      <c r="G43" s="3">
        <v>-623000</v>
      </c>
    </row>
    <row r="44" spans="2:12" ht="19" x14ac:dyDescent="0.25">
      <c r="B44" s="2" t="s">
        <v>189</v>
      </c>
      <c r="C44" s="3">
        <v>17000</v>
      </c>
      <c r="D44" s="3">
        <v>120000</v>
      </c>
      <c r="E44" s="3">
        <v>5000</v>
      </c>
      <c r="F44" s="3">
        <v>5000</v>
      </c>
      <c r="G44" s="3">
        <v>45000</v>
      </c>
    </row>
    <row r="45" spans="2:12" ht="19" x14ac:dyDescent="0.25">
      <c r="B45" s="4" t="s">
        <v>104</v>
      </c>
      <c r="C45" s="5">
        <v>-687000</v>
      </c>
      <c r="D45" s="5">
        <v>-746000</v>
      </c>
      <c r="E45" s="5">
        <v>-903000</v>
      </c>
      <c r="F45" s="5">
        <v>-701000</v>
      </c>
      <c r="G45" s="5">
        <v>-578000</v>
      </c>
    </row>
    <row r="46" spans="2:12" ht="19" x14ac:dyDescent="0.25">
      <c r="B46" s="2" t="s">
        <v>105</v>
      </c>
      <c r="C46" s="3"/>
      <c r="D46" s="3"/>
      <c r="E46" s="3"/>
      <c r="F46" s="3"/>
      <c r="G46" s="3"/>
    </row>
    <row r="47" spans="2:12" ht="19" x14ac:dyDescent="0.25">
      <c r="B47" s="2" t="s">
        <v>106</v>
      </c>
      <c r="C47" s="3"/>
      <c r="D47" s="3"/>
      <c r="E47" s="3">
        <v>-2763000</v>
      </c>
      <c r="F47" s="3">
        <v>0</v>
      </c>
      <c r="G47" s="3">
        <v>0</v>
      </c>
    </row>
    <row r="48" spans="2:12" ht="19" x14ac:dyDescent="0.25">
      <c r="B48" s="2" t="s">
        <v>190</v>
      </c>
      <c r="C48" s="3"/>
      <c r="D48" s="3"/>
      <c r="E48" s="3">
        <v>0</v>
      </c>
      <c r="F48" s="3">
        <v>0</v>
      </c>
      <c r="G48" s="3">
        <v>466000</v>
      </c>
    </row>
    <row r="49" spans="2:7" ht="19" x14ac:dyDescent="0.25">
      <c r="B49" s="4" t="s">
        <v>107</v>
      </c>
      <c r="C49" s="5">
        <v>-70000</v>
      </c>
      <c r="D49" s="5">
        <v>-3609000</v>
      </c>
      <c r="E49" s="5">
        <v>-2763000</v>
      </c>
      <c r="F49" s="5">
        <v>0</v>
      </c>
      <c r="G49" s="5">
        <v>466000</v>
      </c>
    </row>
    <row r="50" spans="2:7" ht="19" x14ac:dyDescent="0.25">
      <c r="B50" s="2" t="s">
        <v>108</v>
      </c>
      <c r="C50" s="3"/>
      <c r="D50" s="3"/>
      <c r="E50" s="3"/>
      <c r="F50" s="3"/>
      <c r="G50" s="3"/>
    </row>
    <row r="51" spans="2:7" ht="19" x14ac:dyDescent="0.25">
      <c r="B51" s="2" t="s">
        <v>109</v>
      </c>
      <c r="C51" s="3">
        <v>-27881000</v>
      </c>
      <c r="D51" s="3">
        <v>-41513000</v>
      </c>
      <c r="E51" s="3">
        <v>-40116000</v>
      </c>
      <c r="F51" s="3">
        <v>-20219000</v>
      </c>
      <c r="G51" s="3">
        <v>-21980000</v>
      </c>
    </row>
    <row r="52" spans="2:7" ht="19" x14ac:dyDescent="0.25">
      <c r="B52" s="2" t="s">
        <v>110</v>
      </c>
      <c r="C52" s="3">
        <v>24878000</v>
      </c>
      <c r="D52" s="3">
        <v>30908000</v>
      </c>
      <c r="E52" s="3">
        <v>39698000</v>
      </c>
      <c r="F52" s="3">
        <v>23411000</v>
      </c>
      <c r="G52" s="3">
        <v>24295000</v>
      </c>
    </row>
    <row r="53" spans="2:7" ht="19" x14ac:dyDescent="0.25">
      <c r="B53" s="4" t="s">
        <v>111</v>
      </c>
      <c r="C53" s="5">
        <v>-3003000</v>
      </c>
      <c r="D53" s="5">
        <v>-10605000</v>
      </c>
      <c r="E53" s="5">
        <v>-418000</v>
      </c>
      <c r="F53" s="5">
        <v>3192000</v>
      </c>
      <c r="G53" s="5">
        <v>2315000</v>
      </c>
    </row>
    <row r="54" spans="2:7" ht="19" x14ac:dyDescent="0.25">
      <c r="B54" s="2" t="s">
        <v>191</v>
      </c>
      <c r="C54" s="16"/>
      <c r="D54" s="16"/>
      <c r="E54" s="16"/>
      <c r="F54" s="16"/>
      <c r="G54" s="16"/>
    </row>
    <row r="55" spans="2:7" ht="19" x14ac:dyDescent="0.25">
      <c r="B55" s="2" t="s">
        <v>192</v>
      </c>
      <c r="C55" s="3"/>
      <c r="D55" s="16"/>
      <c r="E55" s="16"/>
      <c r="F55" s="3">
        <v>-2720000</v>
      </c>
      <c r="G55" s="3">
        <v>-2943000</v>
      </c>
    </row>
    <row r="56" spans="2:7" ht="19" x14ac:dyDescent="0.25">
      <c r="B56" s="4" t="s">
        <v>193</v>
      </c>
      <c r="C56" s="5">
        <v>-351000</v>
      </c>
      <c r="D56" s="5">
        <v>-1552000</v>
      </c>
      <c r="E56" s="5">
        <v>193000</v>
      </c>
      <c r="F56" s="5">
        <v>-2720000</v>
      </c>
      <c r="G56" s="5">
        <v>-2943000</v>
      </c>
    </row>
    <row r="57" spans="2:7" ht="19" x14ac:dyDescent="0.25">
      <c r="B57" s="2" t="s">
        <v>194</v>
      </c>
      <c r="C57" s="16"/>
      <c r="D57" s="3">
        <v>-327000</v>
      </c>
      <c r="E57" s="3">
        <v>336000</v>
      </c>
      <c r="F57" s="3">
        <v>-19000</v>
      </c>
      <c r="G57" s="3">
        <v>-56000</v>
      </c>
    </row>
    <row r="58" spans="2:7" ht="19" x14ac:dyDescent="0.25">
      <c r="B58" s="2" t="s">
        <v>112</v>
      </c>
      <c r="C58" s="3"/>
      <c r="D58" s="3">
        <v>0</v>
      </c>
      <c r="E58" s="3">
        <v>0</v>
      </c>
      <c r="F58" s="3">
        <v>187000</v>
      </c>
      <c r="G58" s="3">
        <v>86000</v>
      </c>
    </row>
    <row r="59" spans="2:7" ht="19" x14ac:dyDescent="0.25">
      <c r="B59" s="4" t="s">
        <v>113</v>
      </c>
      <c r="C59" s="5">
        <v>-5742000</v>
      </c>
      <c r="D59" s="5">
        <v>-16545000</v>
      </c>
      <c r="E59" s="5">
        <v>-5149000</v>
      </c>
      <c r="F59" s="5">
        <v>-3328000</v>
      </c>
      <c r="G59" s="5">
        <v>752000</v>
      </c>
    </row>
    <row r="60" spans="2:7" ht="19" x14ac:dyDescent="0.25">
      <c r="B60" s="4" t="s">
        <v>114</v>
      </c>
      <c r="C60" s="5">
        <v>-5742000</v>
      </c>
      <c r="D60" s="5">
        <v>-16545000</v>
      </c>
      <c r="E60" s="5">
        <v>-5149000</v>
      </c>
      <c r="F60" s="5">
        <v>-3328000</v>
      </c>
      <c r="G60" s="5">
        <v>752000</v>
      </c>
    </row>
    <row r="61" spans="2:7" ht="19" x14ac:dyDescent="0.25">
      <c r="B61" s="51" t="s">
        <v>115</v>
      </c>
      <c r="C61" s="52"/>
      <c r="D61" s="52"/>
      <c r="E61" s="52"/>
      <c r="F61" s="52"/>
      <c r="G61" s="52"/>
    </row>
    <row r="62" spans="2:7" ht="19" x14ac:dyDescent="0.25">
      <c r="B62" s="2" t="s">
        <v>116</v>
      </c>
      <c r="C62" s="3"/>
      <c r="D62" s="3"/>
      <c r="E62" s="3"/>
      <c r="F62" s="3"/>
      <c r="G62" s="3"/>
    </row>
    <row r="63" spans="2:7" ht="19" x14ac:dyDescent="0.25">
      <c r="B63" s="2" t="s">
        <v>117</v>
      </c>
      <c r="C63" s="3"/>
      <c r="D63" s="3"/>
      <c r="E63" s="3"/>
      <c r="F63" s="3"/>
      <c r="G63" s="3"/>
    </row>
    <row r="64" spans="2:7" ht="19" x14ac:dyDescent="0.25">
      <c r="B64" s="2" t="s">
        <v>118</v>
      </c>
      <c r="C64" s="3">
        <v>138000</v>
      </c>
      <c r="D64" s="3">
        <v>137000</v>
      </c>
      <c r="E64" s="3">
        <v>162000</v>
      </c>
      <c r="F64" s="3">
        <v>143000</v>
      </c>
      <c r="G64" s="3">
        <v>127000</v>
      </c>
    </row>
    <row r="65" spans="2:7" ht="19" x14ac:dyDescent="0.25">
      <c r="B65" s="2" t="s">
        <v>119</v>
      </c>
      <c r="C65" s="3">
        <v>-1411000</v>
      </c>
      <c r="D65" s="3">
        <v>-1635000</v>
      </c>
      <c r="E65" s="3">
        <v>-3373000</v>
      </c>
      <c r="F65" s="3">
        <v>-4199000</v>
      </c>
      <c r="G65" s="3">
        <v>-5002000</v>
      </c>
    </row>
    <row r="66" spans="2:7" ht="19" x14ac:dyDescent="0.25">
      <c r="B66" s="4" t="s">
        <v>120</v>
      </c>
      <c r="C66" s="5">
        <v>-1273000</v>
      </c>
      <c r="D66" s="5">
        <v>-1498000</v>
      </c>
      <c r="E66" s="5">
        <v>-3211000</v>
      </c>
      <c r="F66" s="5">
        <v>-4056000</v>
      </c>
      <c r="G66" s="5">
        <v>-4875000</v>
      </c>
    </row>
    <row r="67" spans="2:7" ht="19" x14ac:dyDescent="0.25">
      <c r="B67" s="2" t="s">
        <v>121</v>
      </c>
      <c r="C67" s="3"/>
      <c r="D67" s="3"/>
      <c r="E67" s="3"/>
      <c r="F67" s="3"/>
      <c r="G67" s="3"/>
    </row>
    <row r="68" spans="2:7" ht="19" x14ac:dyDescent="0.25">
      <c r="B68" s="2" t="s">
        <v>122</v>
      </c>
      <c r="C68" s="3"/>
      <c r="D68" s="3"/>
      <c r="E68" s="3"/>
      <c r="F68" s="3"/>
      <c r="G68" s="3"/>
    </row>
    <row r="69" spans="2:7" ht="19" x14ac:dyDescent="0.25">
      <c r="B69" s="2" t="s">
        <v>123</v>
      </c>
      <c r="C69" s="3"/>
      <c r="D69" s="3"/>
      <c r="E69" s="3"/>
      <c r="F69" s="3"/>
      <c r="G69" s="3"/>
    </row>
    <row r="70" spans="2:7" ht="19" x14ac:dyDescent="0.25">
      <c r="B70" s="2" t="s">
        <v>124</v>
      </c>
      <c r="C70" s="3">
        <v>5471000</v>
      </c>
      <c r="D70" s="3">
        <v>6966000</v>
      </c>
      <c r="E70" s="3">
        <v>272000</v>
      </c>
      <c r="F70" s="3">
        <v>3475000</v>
      </c>
      <c r="G70" s="3">
        <v>1528000</v>
      </c>
    </row>
    <row r="71" spans="2:7" ht="19" x14ac:dyDescent="0.25">
      <c r="B71" s="2" t="s">
        <v>125</v>
      </c>
      <c r="C71" s="3">
        <v>-2516000</v>
      </c>
      <c r="D71" s="3">
        <v>-3000000</v>
      </c>
      <c r="E71" s="3">
        <v>-361000</v>
      </c>
      <c r="F71" s="3">
        <v>-1686000</v>
      </c>
      <c r="G71" s="3">
        <v>-1053000</v>
      </c>
    </row>
    <row r="72" spans="2:7" ht="19" x14ac:dyDescent="0.25">
      <c r="B72" s="4" t="s">
        <v>126</v>
      </c>
      <c r="C72" s="5">
        <v>2955000</v>
      </c>
      <c r="D72" s="5">
        <v>3966000</v>
      </c>
      <c r="E72" s="5">
        <v>-89000</v>
      </c>
      <c r="F72" s="5">
        <v>1789000</v>
      </c>
      <c r="G72" s="5">
        <v>475000</v>
      </c>
    </row>
    <row r="73" spans="2:7" ht="19" x14ac:dyDescent="0.25">
      <c r="B73" s="4" t="s">
        <v>127</v>
      </c>
      <c r="C73" s="5">
        <v>2955000</v>
      </c>
      <c r="D73" s="5">
        <v>3966000</v>
      </c>
      <c r="E73" s="5">
        <v>-89000</v>
      </c>
      <c r="F73" s="5">
        <v>1789000</v>
      </c>
      <c r="G73" s="5">
        <v>475000</v>
      </c>
    </row>
    <row r="74" spans="2:7" ht="19" x14ac:dyDescent="0.25">
      <c r="B74" s="2" t="s">
        <v>128</v>
      </c>
      <c r="C74" s="3"/>
      <c r="D74" s="3"/>
      <c r="E74" s="3"/>
      <c r="F74" s="3"/>
      <c r="G74" s="3"/>
    </row>
    <row r="75" spans="2:7" ht="19" x14ac:dyDescent="0.25">
      <c r="B75" s="2" t="s">
        <v>129</v>
      </c>
      <c r="C75" s="3"/>
      <c r="D75" s="3"/>
      <c r="E75" s="3"/>
      <c r="F75" s="3"/>
      <c r="G75" s="3"/>
    </row>
    <row r="76" spans="2:7" ht="19" x14ac:dyDescent="0.25">
      <c r="B76" s="2" t="s">
        <v>130</v>
      </c>
      <c r="C76" s="45" t="s">
        <v>174</v>
      </c>
      <c r="D76" s="45" t="s">
        <v>174</v>
      </c>
      <c r="E76" s="45" t="s">
        <v>174</v>
      </c>
      <c r="F76" s="45" t="s">
        <v>174</v>
      </c>
      <c r="G76" s="45" t="s">
        <v>174</v>
      </c>
    </row>
    <row r="77" spans="2:7" ht="19" x14ac:dyDescent="0.25">
      <c r="B77" s="4" t="s">
        <v>131</v>
      </c>
      <c r="C77" s="46" t="s">
        <v>174</v>
      </c>
      <c r="D77" s="46" t="s">
        <v>174</v>
      </c>
      <c r="E77" s="46" t="s">
        <v>174</v>
      </c>
      <c r="F77" s="46" t="s">
        <v>174</v>
      </c>
      <c r="G77" s="46" t="s">
        <v>174</v>
      </c>
    </row>
    <row r="78" spans="2:7" ht="19" x14ac:dyDescent="0.25">
      <c r="B78" s="4" t="s">
        <v>132</v>
      </c>
      <c r="C78" s="46" t="s">
        <v>174</v>
      </c>
      <c r="D78" s="46" t="s">
        <v>174</v>
      </c>
      <c r="E78" s="46" t="s">
        <v>174</v>
      </c>
      <c r="F78" s="46" t="s">
        <v>174</v>
      </c>
      <c r="G78" s="46" t="s">
        <v>174</v>
      </c>
    </row>
    <row r="79" spans="2:7" ht="19" x14ac:dyDescent="0.25">
      <c r="B79" s="2" t="s">
        <v>133</v>
      </c>
      <c r="C79" s="3">
        <v>2505000</v>
      </c>
      <c r="D79" s="3">
        <v>9986000</v>
      </c>
      <c r="E79" s="3">
        <v>2743000</v>
      </c>
      <c r="F79" s="3">
        <v>1064000</v>
      </c>
      <c r="G79" s="3">
        <v>1407000</v>
      </c>
    </row>
    <row r="80" spans="2:7" ht="19" x14ac:dyDescent="0.25">
      <c r="B80" s="4" t="s">
        <v>134</v>
      </c>
      <c r="C80" s="5">
        <v>4187000</v>
      </c>
      <c r="D80" s="5">
        <v>12454000</v>
      </c>
      <c r="E80" s="5">
        <v>-557000</v>
      </c>
      <c r="F80" s="5">
        <v>-1203000</v>
      </c>
      <c r="G80" s="5">
        <v>-2993000</v>
      </c>
    </row>
    <row r="81" spans="2:7" ht="19" x14ac:dyDescent="0.25">
      <c r="B81" s="4" t="s">
        <v>135</v>
      </c>
      <c r="C81" s="5">
        <v>4187000</v>
      </c>
      <c r="D81" s="5">
        <v>12454000</v>
      </c>
      <c r="E81" s="5">
        <v>-557000</v>
      </c>
      <c r="F81" s="5">
        <v>-1203000</v>
      </c>
      <c r="G81" s="5">
        <v>-2993000</v>
      </c>
    </row>
    <row r="82" spans="2:7" ht="19" x14ac:dyDescent="0.25">
      <c r="B82" s="23" t="s">
        <v>136</v>
      </c>
      <c r="C82" s="53"/>
      <c r="D82" s="53"/>
      <c r="E82" s="53"/>
      <c r="F82" s="53"/>
      <c r="G82" s="53"/>
    </row>
    <row r="83" spans="2:7" ht="19" x14ac:dyDescent="0.25">
      <c r="B83" s="2" t="s">
        <v>137</v>
      </c>
      <c r="C83" s="3">
        <v>-3860002</v>
      </c>
      <c r="D83" s="3">
        <v>-3860001</v>
      </c>
      <c r="E83" s="3">
        <v>-3860000</v>
      </c>
      <c r="F83" s="3">
        <v>-10952000</v>
      </c>
      <c r="G83" s="3">
        <v>5760000</v>
      </c>
    </row>
    <row r="84" spans="2:7" ht="19" x14ac:dyDescent="0.25">
      <c r="B84" s="2" t="s">
        <v>138</v>
      </c>
      <c r="C84" s="3">
        <v>39788998</v>
      </c>
      <c r="D84" s="3">
        <v>39788999</v>
      </c>
      <c r="E84" s="3">
        <v>39789000</v>
      </c>
      <c r="F84" s="3">
        <v>35929000</v>
      </c>
      <c r="G84" s="3">
        <v>24977000</v>
      </c>
    </row>
    <row r="85" spans="2:7" ht="19" x14ac:dyDescent="0.25">
      <c r="B85" s="4" t="s">
        <v>139</v>
      </c>
      <c r="C85" s="5">
        <v>35928998</v>
      </c>
      <c r="D85" s="5">
        <v>35928999</v>
      </c>
      <c r="E85" s="5">
        <v>35929000</v>
      </c>
      <c r="F85" s="5">
        <v>24977000</v>
      </c>
      <c r="G85" s="5">
        <v>30737000</v>
      </c>
    </row>
    <row r="86" spans="2:7" ht="19" x14ac:dyDescent="0.25">
      <c r="B86" s="23" t="s">
        <v>140</v>
      </c>
      <c r="C86" s="27"/>
      <c r="D86" s="27"/>
      <c r="E86" s="27"/>
      <c r="F86" s="27"/>
      <c r="G86" s="27"/>
    </row>
    <row r="87" spans="2:7" ht="19" x14ac:dyDescent="0.25">
      <c r="B87" s="2" t="s">
        <v>141</v>
      </c>
      <c r="C87" s="3">
        <v>-3860002</v>
      </c>
      <c r="D87" s="3">
        <v>-3860001</v>
      </c>
      <c r="E87" s="3">
        <v>-3860000</v>
      </c>
      <c r="F87" s="3">
        <v>-10952000</v>
      </c>
      <c r="G87" s="3">
        <v>5760000</v>
      </c>
    </row>
    <row r="88" spans="2:7" ht="19" x14ac:dyDescent="0.25">
      <c r="B88" s="2" t="s">
        <v>142</v>
      </c>
      <c r="C88" s="3">
        <v>-25385002</v>
      </c>
      <c r="D88" s="3">
        <v>-25385001</v>
      </c>
      <c r="E88" s="3">
        <v>-25385000</v>
      </c>
      <c r="F88" s="3">
        <v>-19573000</v>
      </c>
      <c r="G88" s="3">
        <v>-18679000</v>
      </c>
    </row>
    <row r="89" spans="2:7" ht="19" x14ac:dyDescent="0.25">
      <c r="B89" s="2" t="s">
        <v>143</v>
      </c>
      <c r="C89" s="3">
        <v>-2687002</v>
      </c>
      <c r="D89" s="3">
        <v>-2687001</v>
      </c>
      <c r="E89" s="3">
        <v>-2687000</v>
      </c>
      <c r="F89" s="3">
        <v>-2865000</v>
      </c>
      <c r="G89" s="3">
        <v>-3803000</v>
      </c>
    </row>
    <row r="90" spans="2:7" ht="19" x14ac:dyDescent="0.25">
      <c r="B90" s="23" t="s">
        <v>144</v>
      </c>
      <c r="C90" s="27"/>
      <c r="D90" s="27"/>
      <c r="E90" s="27"/>
      <c r="F90" s="27"/>
      <c r="G90" s="27"/>
    </row>
    <row r="91" spans="2:7" ht="19" x14ac:dyDescent="0.25">
      <c r="B91" s="2" t="s">
        <v>145</v>
      </c>
      <c r="C91" s="3">
        <v>100157213</v>
      </c>
      <c r="D91" s="3">
        <v>100157214</v>
      </c>
      <c r="E91" s="3">
        <v>100157215</v>
      </c>
      <c r="F91" s="3">
        <v>112699178</v>
      </c>
      <c r="G91" s="3">
        <v>109515849</v>
      </c>
    </row>
    <row r="92" spans="2:7" ht="19" x14ac:dyDescent="0.25">
      <c r="B92" s="2" t="s">
        <v>146</v>
      </c>
      <c r="C92" s="3">
        <v>97863998</v>
      </c>
      <c r="D92" s="3">
        <v>97863999</v>
      </c>
      <c r="E92" s="3">
        <v>97864000</v>
      </c>
      <c r="F92" s="3">
        <v>110243000</v>
      </c>
      <c r="G92" s="3">
        <v>106161000</v>
      </c>
    </row>
    <row r="93" spans="2:7" ht="19" x14ac:dyDescent="0.25">
      <c r="B93" s="2" t="s">
        <v>147</v>
      </c>
      <c r="C93" s="3">
        <v>-2</v>
      </c>
      <c r="D93" s="3">
        <v>-1</v>
      </c>
      <c r="E93" s="3">
        <v>0</v>
      </c>
      <c r="F93" s="3">
        <v>0</v>
      </c>
      <c r="G93" s="3">
        <v>0</v>
      </c>
    </row>
    <row r="94" spans="2:7" ht="19" x14ac:dyDescent="0.25">
      <c r="B94" s="2" t="s">
        <v>148</v>
      </c>
      <c r="C94" s="3">
        <v>21414998</v>
      </c>
      <c r="D94" s="3">
        <v>21414999</v>
      </c>
      <c r="E94" s="3">
        <v>21415000</v>
      </c>
      <c r="F94" s="3">
        <v>9420000</v>
      </c>
      <c r="G94" s="3">
        <v>5228000</v>
      </c>
    </row>
    <row r="95" spans="2:7" ht="19" x14ac:dyDescent="0.25">
      <c r="B95" s="2" t="s">
        <v>149</v>
      </c>
      <c r="C95" s="3">
        <v>-8750002</v>
      </c>
      <c r="D95" s="3">
        <v>-8750001</v>
      </c>
      <c r="E95" s="3">
        <v>-8750000</v>
      </c>
      <c r="F95" s="3">
        <v>-9543000</v>
      </c>
      <c r="G95" s="3">
        <v>-15129000</v>
      </c>
    </row>
    <row r="96" spans="2:7" ht="19" x14ac:dyDescent="0.25">
      <c r="B96" s="2" t="s">
        <v>150</v>
      </c>
      <c r="C96" s="3">
        <v>-85971002</v>
      </c>
      <c r="D96" s="3">
        <v>-85971001</v>
      </c>
      <c r="E96" s="3">
        <v>-85971000</v>
      </c>
      <c r="F96" s="3">
        <v>-89402000</v>
      </c>
      <c r="G96" s="3">
        <v>-77550000</v>
      </c>
    </row>
    <row r="97" spans="2:7" ht="19" x14ac:dyDescent="0.25">
      <c r="B97" s="2" t="s">
        <v>151</v>
      </c>
      <c r="C97" s="10">
        <v>-1.1017448530964</v>
      </c>
      <c r="D97" s="10">
        <v>-0.10174485309640301</v>
      </c>
      <c r="E97" s="10">
        <v>0.89825514690359709</v>
      </c>
      <c r="F97" s="10">
        <v>0.91146828054336049</v>
      </c>
      <c r="G97" s="10">
        <v>0.90642930327868854</v>
      </c>
    </row>
    <row r="98" spans="2:7" ht="19" x14ac:dyDescent="0.25">
      <c r="B98" s="23" t="s">
        <v>152</v>
      </c>
      <c r="C98" s="27"/>
      <c r="D98" s="27"/>
      <c r="E98" s="27"/>
      <c r="F98" s="27"/>
      <c r="G98" s="27"/>
    </row>
    <row r="99" spans="2:7" ht="19" x14ac:dyDescent="0.25">
      <c r="B99" s="2" t="s">
        <v>153</v>
      </c>
      <c r="C99" s="7">
        <v>3.8028147066700999</v>
      </c>
      <c r="D99" s="7">
        <v>4.8028147066700999</v>
      </c>
      <c r="E99" s="7">
        <v>5.8028147066700999</v>
      </c>
      <c r="F99" s="7">
        <v>6.7526780739146988</v>
      </c>
      <c r="G99" s="7">
        <v>6.7137191750323337</v>
      </c>
    </row>
    <row r="100" spans="2:7" ht="19" x14ac:dyDescent="0.25">
      <c r="B100" s="2" t="s">
        <v>154</v>
      </c>
      <c r="C100" s="7">
        <v>4.4600962506846296</v>
      </c>
      <c r="D100" s="7">
        <v>5.4600962506846296</v>
      </c>
      <c r="E100" s="7">
        <v>6.4600962506846313</v>
      </c>
      <c r="F100" s="7">
        <v>7.4085716618565964</v>
      </c>
      <c r="G100" s="7">
        <v>7.4067764035736934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D66AFC-109C-3848-A9BF-2157D53723EF}">
  <dimension ref="B1:O196"/>
  <sheetViews>
    <sheetView zoomScale="90" workbookViewId="0">
      <pane xSplit="2" ySplit="2" topLeftCell="F26" activePane="bottomRight" state="frozen"/>
      <selection pane="topRight" activeCell="C1" sqref="C1"/>
      <selection pane="bottomLeft" activeCell="A3" sqref="A3"/>
      <selection pane="bottomRight" activeCell="H182" sqref="H182"/>
    </sheetView>
  </sheetViews>
  <sheetFormatPr baseColWidth="10" defaultRowHeight="16" x14ac:dyDescent="0.2"/>
  <cols>
    <col min="1" max="1" width="0" hidden="1" customWidth="1"/>
    <col min="2" max="2" width="81.5" customWidth="1"/>
    <col min="3" max="3" width="20" bestFit="1" customWidth="1"/>
    <col min="4" max="5" width="19.33203125" bestFit="1" customWidth="1"/>
    <col min="6" max="7" width="19.83203125" bestFit="1" customWidth="1"/>
    <col min="8" max="8" width="22.6640625" bestFit="1" customWidth="1"/>
    <col min="9" max="13" width="19.83203125" bestFit="1" customWidth="1"/>
  </cols>
  <sheetData>
    <row r="1" spans="2:13" x14ac:dyDescent="0.2">
      <c r="B1" s="1" t="s">
        <v>0</v>
      </c>
    </row>
    <row r="2" spans="2:13" ht="19" x14ac:dyDescent="0.25">
      <c r="B2" s="23" t="s">
        <v>1</v>
      </c>
      <c r="C2" s="24">
        <v>2019</v>
      </c>
      <c r="D2" s="24">
        <v>2020</v>
      </c>
      <c r="E2" s="24">
        <v>2021</v>
      </c>
      <c r="F2" s="24">
        <v>2022</v>
      </c>
      <c r="G2" s="24">
        <v>2023</v>
      </c>
      <c r="H2" s="24">
        <v>2024</v>
      </c>
      <c r="I2" s="24">
        <v>2025</v>
      </c>
      <c r="J2" s="24">
        <v>2026</v>
      </c>
      <c r="K2" s="24">
        <v>2027</v>
      </c>
      <c r="L2" s="24">
        <v>2028</v>
      </c>
      <c r="M2" s="24">
        <v>2029</v>
      </c>
    </row>
    <row r="3" spans="2:13" ht="19" x14ac:dyDescent="0.25">
      <c r="B3" s="2" t="s">
        <v>2</v>
      </c>
      <c r="C3" s="3"/>
      <c r="D3" s="3"/>
      <c r="E3" s="3"/>
      <c r="F3" s="3"/>
      <c r="G3" s="3"/>
      <c r="H3" s="30"/>
      <c r="I3" s="30"/>
      <c r="J3" s="30"/>
      <c r="K3" s="30"/>
      <c r="L3" s="30"/>
      <c r="M3" s="30"/>
    </row>
    <row r="4" spans="2:13" ht="19" x14ac:dyDescent="0.25">
      <c r="B4" s="2" t="s">
        <v>3</v>
      </c>
      <c r="C4" s="3">
        <v>17772000</v>
      </c>
      <c r="D4" s="3">
        <v>21454000</v>
      </c>
      <c r="E4" s="3">
        <v>25371000</v>
      </c>
      <c r="F4" s="3">
        <v>27518000</v>
      </c>
      <c r="G4" s="3">
        <v>29771000</v>
      </c>
      <c r="H4" s="30">
        <f>G4*(1+Assumptions!$F$7)</f>
        <v>32208461.407079004</v>
      </c>
      <c r="I4" s="30">
        <f>H4*(1+Assumptions!$F$7)</f>
        <v>34845486.755946979</v>
      </c>
      <c r="J4" s="30">
        <f>I4*(1+Assumptions!$F$7)</f>
        <v>37698415.081448413</v>
      </c>
      <c r="K4" s="30">
        <f>J4*(1+Assumptions!$F$7)</f>
        <v>40784923.155381955</v>
      </c>
      <c r="L4" s="30">
        <f>K4*(1+Assumptions!$F$7)</f>
        <v>44124135.011951312</v>
      </c>
      <c r="M4" s="30">
        <f>L4*(1+Assumptions!$F$7)</f>
        <v>47736740.440468147</v>
      </c>
    </row>
    <row r="5" spans="2:13" ht="19" x14ac:dyDescent="0.25">
      <c r="B5" s="4" t="s">
        <v>4</v>
      </c>
      <c r="C5" s="5">
        <v>17772000</v>
      </c>
      <c r="D5" s="5">
        <v>21454000</v>
      </c>
      <c r="E5" s="5">
        <v>25371000</v>
      </c>
      <c r="F5" s="5">
        <v>27518000</v>
      </c>
      <c r="G5" s="5">
        <v>29771000</v>
      </c>
      <c r="H5" s="31">
        <f t="shared" ref="H5:M5" si="0">H4</f>
        <v>32208461.407079004</v>
      </c>
      <c r="I5" s="31">
        <f t="shared" si="0"/>
        <v>34845486.755946979</v>
      </c>
      <c r="J5" s="31">
        <f t="shared" si="0"/>
        <v>37698415.081448413</v>
      </c>
      <c r="K5" s="31">
        <f t="shared" si="0"/>
        <v>40784923.155381955</v>
      </c>
      <c r="L5" s="31">
        <f t="shared" si="0"/>
        <v>44124135.011951312</v>
      </c>
      <c r="M5" s="31">
        <f t="shared" si="0"/>
        <v>47736740.440468147</v>
      </c>
    </row>
    <row r="6" spans="2:13" ht="19" x14ac:dyDescent="0.25">
      <c r="B6" s="2" t="s">
        <v>5</v>
      </c>
      <c r="C6" s="3"/>
      <c r="D6" s="3"/>
      <c r="E6" s="3"/>
      <c r="F6" s="3"/>
      <c r="G6" s="3"/>
      <c r="H6" s="30"/>
      <c r="I6" s="30"/>
      <c r="J6" s="30"/>
      <c r="K6" s="30"/>
      <c r="L6" s="30"/>
      <c r="M6" s="30"/>
    </row>
    <row r="7" spans="2:13" ht="19" x14ac:dyDescent="0.25">
      <c r="B7" s="2" t="s">
        <v>6</v>
      </c>
      <c r="C7" s="3">
        <v>8170000</v>
      </c>
      <c r="D7" s="3">
        <v>9675000</v>
      </c>
      <c r="E7" s="3">
        <v>11375000</v>
      </c>
      <c r="F7" s="3">
        <v>13745000</v>
      </c>
      <c r="G7" s="3">
        <v>16067000</v>
      </c>
      <c r="H7" s="30">
        <f>H4*Assumptions!$F$8</f>
        <v>17382464.459626429</v>
      </c>
      <c r="I7" s="30">
        <f>I4*Assumptions!$F$8</f>
        <v>18805630.838997688</v>
      </c>
      <c r="J7" s="30">
        <f>J4*Assumptions!$F$8</f>
        <v>20345317.090915039</v>
      </c>
      <c r="K7" s="30">
        <f>K4*Assumptions!$F$8</f>
        <v>22011063.126449294</v>
      </c>
      <c r="L7" s="30">
        <f>L4*Assumptions!$F$8</f>
        <v>23813189.92432306</v>
      </c>
      <c r="M7" s="30">
        <f>M4*Assumptions!$F$8</f>
        <v>25762863.479795832</v>
      </c>
    </row>
    <row r="8" spans="2:13" ht="19" x14ac:dyDescent="0.25">
      <c r="B8" s="4" t="s">
        <v>7</v>
      </c>
      <c r="C8" s="5">
        <v>8170000</v>
      </c>
      <c r="D8" s="5">
        <v>9675000</v>
      </c>
      <c r="E8" s="5">
        <v>11375000</v>
      </c>
      <c r="F8" s="5">
        <v>13745000</v>
      </c>
      <c r="G8" s="5">
        <v>16067000</v>
      </c>
      <c r="H8" s="31">
        <f t="shared" ref="H8:M8" si="1">H7</f>
        <v>17382464.459626429</v>
      </c>
      <c r="I8" s="31">
        <f t="shared" si="1"/>
        <v>18805630.838997688</v>
      </c>
      <c r="J8" s="31">
        <f t="shared" si="1"/>
        <v>20345317.090915039</v>
      </c>
      <c r="K8" s="31">
        <f t="shared" si="1"/>
        <v>22011063.126449294</v>
      </c>
      <c r="L8" s="31">
        <f t="shared" si="1"/>
        <v>23813189.92432306</v>
      </c>
      <c r="M8" s="31">
        <f t="shared" si="1"/>
        <v>25762863.479795832</v>
      </c>
    </row>
    <row r="9" spans="2:13" ht="19" x14ac:dyDescent="0.25">
      <c r="B9" s="4" t="s">
        <v>8</v>
      </c>
      <c r="C9" s="5">
        <v>9602000</v>
      </c>
      <c r="D9" s="5">
        <v>11779000</v>
      </c>
      <c r="E9" s="5">
        <v>13996000</v>
      </c>
      <c r="F9" s="5">
        <v>13773000</v>
      </c>
      <c r="G9" s="5">
        <v>13704000</v>
      </c>
      <c r="H9" s="31">
        <f t="shared" ref="H9:M9" si="2">H5-H8</f>
        <v>14825996.947452575</v>
      </c>
      <c r="I9" s="31">
        <f t="shared" si="2"/>
        <v>16039855.916949291</v>
      </c>
      <c r="J9" s="31">
        <f t="shared" si="2"/>
        <v>17353097.990533374</v>
      </c>
      <c r="K9" s="31">
        <f t="shared" si="2"/>
        <v>18773860.028932661</v>
      </c>
      <c r="L9" s="31">
        <f t="shared" si="2"/>
        <v>20310945.087628253</v>
      </c>
      <c r="M9" s="31">
        <f t="shared" si="2"/>
        <v>21973876.960672315</v>
      </c>
    </row>
    <row r="10" spans="2:13" ht="19" x14ac:dyDescent="0.25">
      <c r="B10" s="23" t="s">
        <v>9</v>
      </c>
      <c r="C10" s="25"/>
      <c r="D10" s="25"/>
      <c r="E10" s="25"/>
      <c r="F10" s="25"/>
      <c r="G10" s="25"/>
      <c r="H10" s="25"/>
      <c r="I10" s="25"/>
      <c r="J10" s="25"/>
      <c r="K10" s="25"/>
      <c r="L10" s="25"/>
      <c r="M10" s="25"/>
    </row>
    <row r="11" spans="2:13" ht="19" x14ac:dyDescent="0.25">
      <c r="B11" s="2" t="s">
        <v>10</v>
      </c>
      <c r="C11" s="15"/>
      <c r="D11" s="15"/>
      <c r="E11" s="15"/>
      <c r="F11" s="15"/>
      <c r="G11" s="15"/>
      <c r="H11" s="30"/>
      <c r="I11" s="30"/>
      <c r="J11" s="30"/>
      <c r="K11" s="30"/>
      <c r="L11" s="30"/>
      <c r="M11" s="30"/>
    </row>
    <row r="12" spans="2:13" ht="19" x14ac:dyDescent="0.25">
      <c r="B12" s="2" t="s">
        <v>159</v>
      </c>
      <c r="C12" s="3">
        <v>1711000</v>
      </c>
      <c r="D12" s="3">
        <v>2070000</v>
      </c>
      <c r="E12" s="3">
        <v>2114000</v>
      </c>
      <c r="F12" s="3">
        <v>2099000</v>
      </c>
      <c r="G12" s="3">
        <v>2059000</v>
      </c>
      <c r="H12" s="30">
        <f>H5*Assumptions!$F$9</f>
        <v>2227577.912639</v>
      </c>
      <c r="I12" s="30">
        <f>I5*Assumptions!$F$9</f>
        <v>2409957.9198043342</v>
      </c>
      <c r="J12" s="30">
        <f>J5*Assumptions!$F$9</f>
        <v>2607270.0498035769</v>
      </c>
      <c r="K12" s="30">
        <f>K5*Assumptions!$F$9</f>
        <v>2820736.8505233768</v>
      </c>
      <c r="L12" s="30">
        <f>L5*Assumptions!$F$9</f>
        <v>3051680.964348116</v>
      </c>
      <c r="M12" s="30">
        <f>M5*Assumptions!$F$9</f>
        <v>3301533.3232650538</v>
      </c>
    </row>
    <row r="13" spans="2:13" ht="19" x14ac:dyDescent="0.25">
      <c r="B13" s="2" t="s">
        <v>160</v>
      </c>
      <c r="C13" s="3">
        <v>1401000</v>
      </c>
      <c r="D13" s="3">
        <v>1861000</v>
      </c>
      <c r="E13" s="3">
        <v>2445000</v>
      </c>
      <c r="F13" s="3">
        <v>2257000</v>
      </c>
      <c r="G13" s="3">
        <v>1809000</v>
      </c>
      <c r="H13" s="30">
        <f>H5*Assumptions!$F$10</f>
        <v>1957109.491968893</v>
      </c>
      <c r="I13" s="30">
        <f>I5*Assumptions!$F$10</f>
        <v>2117345.2534852065</v>
      </c>
      <c r="J13" s="30">
        <f>J5*Assumptions!$F$10</f>
        <v>2290700.1068939632</v>
      </c>
      <c r="K13" s="30">
        <f>K5*Assumptions!$F$10</f>
        <v>2478248.1605618205</v>
      </c>
      <c r="L13" s="30">
        <f>L5*Assumptions!$F$10</f>
        <v>2681151.4640630116</v>
      </c>
      <c r="M13" s="30">
        <f>M5*Assumptions!$F$10</f>
        <v>2900667.2082498698</v>
      </c>
    </row>
    <row r="14" spans="2:13" ht="19" x14ac:dyDescent="0.25">
      <c r="B14" s="4" t="s">
        <v>161</v>
      </c>
      <c r="C14" s="5">
        <v>3112000</v>
      </c>
      <c r="D14" s="5">
        <v>3931000</v>
      </c>
      <c r="E14" s="5">
        <v>4559000</v>
      </c>
      <c r="F14" s="5">
        <v>4356000</v>
      </c>
      <c r="G14" s="5">
        <v>3868000</v>
      </c>
      <c r="H14" s="31">
        <f t="shared" ref="H14:M14" si="3">SUM(H12:H13)</f>
        <v>4184687.404607893</v>
      </c>
      <c r="I14" s="31">
        <f t="shared" si="3"/>
        <v>4527303.1732895412</v>
      </c>
      <c r="J14" s="31">
        <f t="shared" si="3"/>
        <v>4897970.1566975396</v>
      </c>
      <c r="K14" s="31">
        <f t="shared" si="3"/>
        <v>5298985.0110851973</v>
      </c>
      <c r="L14" s="31">
        <f t="shared" si="3"/>
        <v>5732832.428411128</v>
      </c>
      <c r="M14" s="31">
        <f t="shared" si="3"/>
        <v>6202200.531514924</v>
      </c>
    </row>
    <row r="15" spans="2:13" ht="19" x14ac:dyDescent="0.25">
      <c r="B15" s="2" t="s">
        <v>11</v>
      </c>
      <c r="C15" s="3">
        <v>2085000</v>
      </c>
      <c r="D15" s="3">
        <v>2642000</v>
      </c>
      <c r="E15" s="3">
        <v>3038000</v>
      </c>
      <c r="F15" s="3">
        <v>3253000</v>
      </c>
      <c r="G15" s="3">
        <v>2973000</v>
      </c>
      <c r="H15" s="33">
        <f>H5*Assumptions!$F$11</f>
        <v>3216410.4586089109</v>
      </c>
      <c r="I15" s="33">
        <f>I5*Assumptions!$F$11</f>
        <v>3479749.8278670642</v>
      </c>
      <c r="J15" s="33">
        <f>J5*Assumptions!$F$11</f>
        <v>3764649.7610811237</v>
      </c>
      <c r="K15" s="33">
        <f>K5*Assumptions!$F$11</f>
        <v>4072875.5010228259</v>
      </c>
      <c r="L15" s="33">
        <f>L5*Assumptions!$F$11</f>
        <v>4406336.8173904559</v>
      </c>
      <c r="M15" s="33">
        <f>M5*Assumptions!$F$11</f>
        <v>4767099.8397605661</v>
      </c>
    </row>
    <row r="16" spans="2:13" ht="19" x14ac:dyDescent="0.25">
      <c r="B16" s="2" t="s">
        <v>162</v>
      </c>
      <c r="C16" s="15"/>
      <c r="D16" s="15"/>
      <c r="E16" s="15"/>
      <c r="F16" s="15"/>
      <c r="G16" s="15"/>
      <c r="H16" s="32"/>
      <c r="I16" s="32"/>
      <c r="J16" s="32"/>
      <c r="K16" s="32"/>
      <c r="L16" s="32"/>
      <c r="M16" s="32"/>
    </row>
    <row r="17" spans="2:13" ht="19" x14ac:dyDescent="0.25">
      <c r="B17" s="2" t="s">
        <v>163</v>
      </c>
      <c r="C17" s="15"/>
      <c r="D17" s="15"/>
      <c r="E17" s="15"/>
      <c r="F17" s="15"/>
      <c r="G17" s="15"/>
      <c r="H17" s="32"/>
      <c r="I17" s="32"/>
      <c r="J17" s="32"/>
      <c r="K17" s="32"/>
      <c r="L17" s="32"/>
      <c r="M17" s="32"/>
    </row>
    <row r="18" spans="2:13" ht="19" x14ac:dyDescent="0.25">
      <c r="B18" s="4" t="s">
        <v>164</v>
      </c>
      <c r="C18" s="16">
        <f>C15+C16+C17</f>
        <v>2085000</v>
      </c>
      <c r="D18" s="16">
        <f t="shared" ref="D18:M18" si="4">D15+D16+D17</f>
        <v>2642000</v>
      </c>
      <c r="E18" s="16">
        <f t="shared" si="4"/>
        <v>3038000</v>
      </c>
      <c r="F18" s="16">
        <f t="shared" si="4"/>
        <v>3253000</v>
      </c>
      <c r="G18" s="16">
        <f t="shared" si="4"/>
        <v>2973000</v>
      </c>
      <c r="H18" s="32">
        <f t="shared" si="4"/>
        <v>3216410.4586089109</v>
      </c>
      <c r="I18" s="32">
        <f t="shared" si="4"/>
        <v>3479749.8278670642</v>
      </c>
      <c r="J18" s="32">
        <f t="shared" si="4"/>
        <v>3764649.7610811237</v>
      </c>
      <c r="K18" s="32">
        <f t="shared" si="4"/>
        <v>4072875.5010228259</v>
      </c>
      <c r="L18" s="32">
        <f t="shared" si="4"/>
        <v>4406336.8173904559</v>
      </c>
      <c r="M18" s="32">
        <f t="shared" si="4"/>
        <v>4767099.8397605661</v>
      </c>
    </row>
    <row r="19" spans="2:13" ht="19" x14ac:dyDescent="0.25">
      <c r="B19" s="2" t="s">
        <v>165</v>
      </c>
      <c r="C19" s="3"/>
      <c r="D19" s="3"/>
      <c r="E19" s="3"/>
      <c r="F19" s="3"/>
      <c r="G19" s="3"/>
      <c r="H19" s="32"/>
      <c r="I19" s="32"/>
      <c r="J19" s="32"/>
      <c r="K19" s="32"/>
      <c r="L19" s="32"/>
      <c r="M19" s="32"/>
    </row>
    <row r="20" spans="2:13" ht="19" x14ac:dyDescent="0.25">
      <c r="B20" s="2" t="s">
        <v>166</v>
      </c>
      <c r="C20" s="3">
        <v>1615000</v>
      </c>
      <c r="D20" s="3">
        <v>1778000</v>
      </c>
      <c r="E20" s="3">
        <v>2075000</v>
      </c>
      <c r="F20" s="3">
        <v>2120000</v>
      </c>
      <c r="G20" s="3">
        <v>1919000</v>
      </c>
      <c r="H20" s="30">
        <f>H5*Assumptions!$F$12</f>
        <v>2076115.5970637402</v>
      </c>
      <c r="I20" s="30">
        <f>I5*Assumptions!$F$12</f>
        <v>2246094.8266656231</v>
      </c>
      <c r="J20" s="30">
        <f>J5*Assumptions!$F$12</f>
        <v>2429990.8817741936</v>
      </c>
      <c r="K20" s="30">
        <f>K5*Assumptions!$F$12</f>
        <v>2628943.1841449053</v>
      </c>
      <c r="L20" s="30">
        <f>L5*Assumptions!$F$12</f>
        <v>2844184.4441884579</v>
      </c>
      <c r="M20" s="30">
        <f>M5*Assumptions!$F$12</f>
        <v>3077048.2988565513</v>
      </c>
    </row>
    <row r="21" spans="2:13" ht="19" x14ac:dyDescent="0.25">
      <c r="B21" s="4" t="s">
        <v>167</v>
      </c>
      <c r="C21" s="5">
        <v>1615000</v>
      </c>
      <c r="D21" s="5">
        <v>1778000</v>
      </c>
      <c r="E21" s="5">
        <v>2075000</v>
      </c>
      <c r="F21" s="5">
        <v>2120000</v>
      </c>
      <c r="G21" s="5">
        <v>1919000</v>
      </c>
      <c r="H21" s="31">
        <f t="shared" ref="H21:M21" si="5">SUM(H19:H20)</f>
        <v>2076115.5970637402</v>
      </c>
      <c r="I21" s="31">
        <f t="shared" si="5"/>
        <v>2246094.8266656231</v>
      </c>
      <c r="J21" s="31">
        <f t="shared" si="5"/>
        <v>2429990.8817741936</v>
      </c>
      <c r="K21" s="31">
        <f t="shared" si="5"/>
        <v>2628943.1841449053</v>
      </c>
      <c r="L21" s="31">
        <f t="shared" si="5"/>
        <v>2844184.4441884579</v>
      </c>
      <c r="M21" s="31">
        <f t="shared" si="5"/>
        <v>3077048.2988565513</v>
      </c>
    </row>
    <row r="22" spans="2:13" ht="19" x14ac:dyDescent="0.25">
      <c r="B22" s="4" t="s">
        <v>12</v>
      </c>
      <c r="C22" s="5">
        <v>6812000</v>
      </c>
      <c r="D22" s="5">
        <v>8351000</v>
      </c>
      <c r="E22" s="5">
        <v>9672000</v>
      </c>
      <c r="F22" s="5">
        <v>9729000</v>
      </c>
      <c r="G22" s="5">
        <v>8760000</v>
      </c>
      <c r="H22" s="31">
        <f t="shared" ref="H22:M22" si="6">H14+H18+H21</f>
        <v>9477213.4602805451</v>
      </c>
      <c r="I22" s="31">
        <f t="shared" si="6"/>
        <v>10253147.827822229</v>
      </c>
      <c r="J22" s="31">
        <f t="shared" si="6"/>
        <v>11092610.799552858</v>
      </c>
      <c r="K22" s="31">
        <f t="shared" si="6"/>
        <v>12000803.696252929</v>
      </c>
      <c r="L22" s="31">
        <f t="shared" si="6"/>
        <v>12983353.68999004</v>
      </c>
      <c r="M22" s="31">
        <f t="shared" si="6"/>
        <v>14046348.670132041</v>
      </c>
    </row>
    <row r="23" spans="2:13" ht="19" x14ac:dyDescent="0.25">
      <c r="B23" s="4" t="s">
        <v>13</v>
      </c>
      <c r="C23" s="16">
        <v>2790000</v>
      </c>
      <c r="D23" s="16">
        <v>3428000</v>
      </c>
      <c r="E23" s="16">
        <v>4324000</v>
      </c>
      <c r="F23" s="16">
        <v>4044000</v>
      </c>
      <c r="G23" s="16">
        <v>4944000</v>
      </c>
      <c r="H23" s="32">
        <f>H9-H12-H13-H18-H21</f>
        <v>5348783.4871720318</v>
      </c>
      <c r="I23" s="32">
        <f>I9-I22</f>
        <v>5786708.0891270619</v>
      </c>
      <c r="J23" s="32">
        <f>J9-J22</f>
        <v>6260487.1909805164</v>
      </c>
      <c r="K23" s="32">
        <f>K9-K22</f>
        <v>6773056.3326797318</v>
      </c>
      <c r="L23" s="32">
        <f>L9-L22</f>
        <v>7327591.3976382129</v>
      </c>
      <c r="M23" s="32">
        <f>M9-M22</f>
        <v>7927528.2905402742</v>
      </c>
    </row>
    <row r="24" spans="2:13" ht="19" x14ac:dyDescent="0.25">
      <c r="B24" s="23" t="s">
        <v>14</v>
      </c>
      <c r="C24" s="25"/>
      <c r="D24" s="25"/>
      <c r="E24" s="25"/>
      <c r="F24" s="25"/>
      <c r="G24" s="25"/>
      <c r="H24" s="25"/>
      <c r="I24" s="25"/>
      <c r="J24" s="25"/>
      <c r="K24" s="25"/>
      <c r="L24" s="25"/>
      <c r="M24" s="25"/>
    </row>
    <row r="25" spans="2:13" ht="19" x14ac:dyDescent="0.25">
      <c r="B25" s="2" t="s">
        <v>15</v>
      </c>
      <c r="C25" s="3"/>
      <c r="D25" s="3"/>
      <c r="E25" s="3"/>
      <c r="F25" s="3"/>
      <c r="G25" s="3"/>
      <c r="H25" s="30"/>
      <c r="I25" s="30"/>
      <c r="J25" s="30"/>
      <c r="K25" s="30"/>
      <c r="L25" s="30"/>
      <c r="M25" s="30"/>
    </row>
    <row r="26" spans="2:13" ht="19" x14ac:dyDescent="0.25">
      <c r="B26" s="2" t="s">
        <v>16</v>
      </c>
      <c r="C26" s="3"/>
      <c r="D26" s="3"/>
      <c r="E26" s="3"/>
      <c r="F26" s="3"/>
      <c r="G26" s="3"/>
      <c r="H26" s="30"/>
      <c r="I26" s="30"/>
      <c r="J26" s="30"/>
      <c r="K26" s="30"/>
      <c r="L26" s="30"/>
      <c r="M26" s="30"/>
    </row>
    <row r="27" spans="2:13" ht="19" x14ac:dyDescent="0.25">
      <c r="B27" s="2" t="s">
        <v>17</v>
      </c>
      <c r="C27" s="3">
        <v>115000</v>
      </c>
      <c r="D27" s="3">
        <v>209000</v>
      </c>
      <c r="E27" s="3">
        <v>232000</v>
      </c>
      <c r="F27" s="3">
        <v>304000</v>
      </c>
      <c r="G27" s="3">
        <v>347000</v>
      </c>
      <c r="H27" s="30">
        <f>'Balance Sheet'!$G$90*Assumptions!$F$14</f>
        <v>387040</v>
      </c>
      <c r="I27" s="30">
        <f>'Balance Sheet'!$G$90*Assumptions!$F$14</f>
        <v>387040</v>
      </c>
      <c r="J27" s="30">
        <f>'Balance Sheet'!$G$90*Assumptions!$F$14</f>
        <v>387040</v>
      </c>
      <c r="K27" s="30">
        <f>'Balance Sheet'!$G$90*Assumptions!$F$14</f>
        <v>387040</v>
      </c>
      <c r="L27" s="30">
        <f>'Balance Sheet'!$G$90*Assumptions!$F$14</f>
        <v>387040</v>
      </c>
      <c r="M27" s="30">
        <f>'Balance Sheet'!$G$90*Assumptions!$F$14</f>
        <v>387040</v>
      </c>
    </row>
    <row r="28" spans="2:13" ht="19" x14ac:dyDescent="0.25">
      <c r="B28" s="2" t="s">
        <v>18</v>
      </c>
      <c r="C28" s="3">
        <v>197000</v>
      </c>
      <c r="D28" s="3">
        <v>88000</v>
      </c>
      <c r="E28" s="3">
        <v>57000</v>
      </c>
      <c r="F28" s="3">
        <v>174000</v>
      </c>
      <c r="G28" s="3">
        <v>480000</v>
      </c>
      <c r="H28" s="30">
        <f>('Balance Sheet'!G5+'Balance Sheet'!G62)*Assumptions!F15</f>
        <v>247080</v>
      </c>
      <c r="I28" s="30">
        <f>I9*Assumptions!$F$15</f>
        <v>320797.11833898583</v>
      </c>
      <c r="J28" s="30">
        <f>J9*Assumptions!$F$15</f>
        <v>347061.9598106675</v>
      </c>
      <c r="K28" s="30">
        <f>K9*Assumptions!$F$15</f>
        <v>375477.2005786532</v>
      </c>
      <c r="L28" s="30">
        <f>L9*Assumptions!$F$15</f>
        <v>406218.90175256506</v>
      </c>
      <c r="M28" s="30">
        <f>M9*Assumptions!$F$15</f>
        <v>439477.53921344632</v>
      </c>
    </row>
    <row r="29" spans="2:13" ht="19" x14ac:dyDescent="0.25">
      <c r="B29" s="4" t="s">
        <v>19</v>
      </c>
      <c r="C29" s="5">
        <v>-82000</v>
      </c>
      <c r="D29" s="5">
        <v>121000</v>
      </c>
      <c r="E29" s="5">
        <v>175000</v>
      </c>
      <c r="F29" s="5">
        <v>130000</v>
      </c>
      <c r="G29" s="5">
        <v>-133000</v>
      </c>
      <c r="H29" s="31">
        <f t="shared" ref="H29:M29" si="7">H27-H28</f>
        <v>139960</v>
      </c>
      <c r="I29" s="31">
        <f t="shared" si="7"/>
        <v>66242.881661014166</v>
      </c>
      <c r="J29" s="31">
        <f t="shared" si="7"/>
        <v>39978.040189332503</v>
      </c>
      <c r="K29" s="31">
        <f t="shared" si="7"/>
        <v>11562.799421346805</v>
      </c>
      <c r="L29" s="31">
        <f t="shared" si="7"/>
        <v>-19178.901752565056</v>
      </c>
      <c r="M29" s="31">
        <f t="shared" si="7"/>
        <v>-52437.539213446318</v>
      </c>
    </row>
    <row r="30" spans="2:13" ht="19" x14ac:dyDescent="0.25">
      <c r="B30" s="4" t="s">
        <v>20</v>
      </c>
      <c r="C30" s="5">
        <v>-82000</v>
      </c>
      <c r="D30" s="5">
        <v>121000</v>
      </c>
      <c r="E30" s="5">
        <v>175000</v>
      </c>
      <c r="F30" s="5">
        <v>130000</v>
      </c>
      <c r="G30" s="5">
        <v>-133000</v>
      </c>
      <c r="H30" s="31">
        <f t="shared" ref="H30:M30" si="8">H29</f>
        <v>139960</v>
      </c>
      <c r="I30" s="31">
        <f t="shared" si="8"/>
        <v>66242.881661014166</v>
      </c>
      <c r="J30" s="31">
        <f t="shared" si="8"/>
        <v>39978.040189332503</v>
      </c>
      <c r="K30" s="31">
        <f t="shared" si="8"/>
        <v>11562.799421346805</v>
      </c>
      <c r="L30" s="31">
        <f t="shared" si="8"/>
        <v>-19178.901752565056</v>
      </c>
      <c r="M30" s="31">
        <f t="shared" si="8"/>
        <v>-52437.539213446318</v>
      </c>
    </row>
    <row r="31" spans="2:13" ht="19" x14ac:dyDescent="0.25">
      <c r="B31" s="2" t="s">
        <v>168</v>
      </c>
      <c r="C31" s="16"/>
      <c r="D31" s="16"/>
      <c r="E31" s="16"/>
      <c r="F31" s="16"/>
      <c r="G31" s="16"/>
      <c r="H31" s="32"/>
      <c r="I31" s="32"/>
      <c r="J31" s="32"/>
      <c r="K31" s="32"/>
      <c r="L31" s="32"/>
      <c r="M31" s="32"/>
    </row>
    <row r="32" spans="2:13" ht="19" x14ac:dyDescent="0.25">
      <c r="B32" s="2" t="s">
        <v>169</v>
      </c>
      <c r="C32" s="3">
        <v>208000</v>
      </c>
      <c r="D32" s="3">
        <v>1914000</v>
      </c>
      <c r="E32" s="3">
        <v>46000</v>
      </c>
      <c r="F32" s="3">
        <v>-304000</v>
      </c>
      <c r="G32" s="3">
        <v>201000</v>
      </c>
      <c r="H32" s="30">
        <f>H9*Assumptions!$F$16</f>
        <v>217456.61021876585</v>
      </c>
      <c r="I32" s="30">
        <f>I9*Assumptions!$F$16</f>
        <v>235260.58372057846</v>
      </c>
      <c r="J32" s="30">
        <f>J9*Assumptions!$F$16</f>
        <v>254522.23409932925</v>
      </c>
      <c r="K32" s="30">
        <f>K9*Assumptions!$F$16</f>
        <v>275360.90672909113</v>
      </c>
      <c r="L32" s="30">
        <f>L9*Assumptions!$F$16</f>
        <v>297905.71822922351</v>
      </c>
      <c r="M32" s="30">
        <f>M9*Assumptions!$F$16</f>
        <v>322296.35647220776</v>
      </c>
    </row>
    <row r="33" spans="2:13" ht="19" x14ac:dyDescent="0.25">
      <c r="B33" s="4" t="s">
        <v>170</v>
      </c>
      <c r="C33" s="5">
        <v>208000</v>
      </c>
      <c r="D33" s="5">
        <v>1914000</v>
      </c>
      <c r="E33" s="5">
        <v>46000</v>
      </c>
      <c r="F33" s="5">
        <v>-304000</v>
      </c>
      <c r="G33" s="5">
        <v>201000</v>
      </c>
      <c r="H33" s="31">
        <f t="shared" ref="H33:M33" si="9">H32</f>
        <v>217456.61021876585</v>
      </c>
      <c r="I33" s="31">
        <f t="shared" si="9"/>
        <v>235260.58372057846</v>
      </c>
      <c r="J33" s="31">
        <f t="shared" si="9"/>
        <v>254522.23409932925</v>
      </c>
      <c r="K33" s="31">
        <f t="shared" si="9"/>
        <v>275360.90672909113</v>
      </c>
      <c r="L33" s="31">
        <f t="shared" si="9"/>
        <v>297905.71822922351</v>
      </c>
      <c r="M33" s="31">
        <f t="shared" si="9"/>
        <v>322296.35647220776</v>
      </c>
    </row>
    <row r="34" spans="2:13" ht="19" x14ac:dyDescent="0.25">
      <c r="B34" s="2" t="s">
        <v>171</v>
      </c>
      <c r="C34" s="16"/>
      <c r="D34" s="16"/>
      <c r="E34" s="16"/>
      <c r="F34" s="16"/>
      <c r="G34" s="16">
        <f>G32+G35+G37</f>
        <v>166000</v>
      </c>
      <c r="H34" s="32"/>
      <c r="I34" s="32"/>
      <c r="J34" s="32"/>
      <c r="K34" s="32"/>
      <c r="L34" s="32"/>
      <c r="M34" s="32"/>
    </row>
    <row r="35" spans="2:13" ht="19" x14ac:dyDescent="0.25">
      <c r="B35" s="2" t="s">
        <v>172</v>
      </c>
      <c r="C35" s="3">
        <v>71000</v>
      </c>
      <c r="D35" s="3">
        <v>139000</v>
      </c>
      <c r="E35" s="3">
        <v>62000</v>
      </c>
      <c r="F35" s="3">
        <v>207000</v>
      </c>
      <c r="G35" s="3">
        <v>-84000</v>
      </c>
      <c r="H35" s="30">
        <f>H5*Assumptions!$F$17</f>
        <v>197424.89478945098</v>
      </c>
      <c r="I35" s="30">
        <f>I5*Assumptions!$F$17</f>
        <v>213588.79797865925</v>
      </c>
      <c r="J35" s="30">
        <f>J5*Assumptions!$F$17</f>
        <v>231076.09944845788</v>
      </c>
      <c r="K35" s="30">
        <f>K5*Assumptions!$F$17</f>
        <v>249995.15068973179</v>
      </c>
      <c r="L35" s="30">
        <f>L5*Assumptions!$F$17</f>
        <v>270463.17432894849</v>
      </c>
      <c r="M35" s="30">
        <f>M5*Assumptions!$F$17</f>
        <v>292606.99044069793</v>
      </c>
    </row>
    <row r="36" spans="2:13" ht="19" x14ac:dyDescent="0.25">
      <c r="B36" s="4" t="s">
        <v>173</v>
      </c>
      <c r="C36" s="5">
        <v>71000</v>
      </c>
      <c r="D36" s="5">
        <v>139000</v>
      </c>
      <c r="E36" s="5">
        <v>62000</v>
      </c>
      <c r="F36" s="5">
        <v>207000</v>
      </c>
      <c r="G36" s="5">
        <v>-84000</v>
      </c>
      <c r="H36" s="31">
        <f t="shared" ref="H36:M36" si="10">H35</f>
        <v>197424.89478945098</v>
      </c>
      <c r="I36" s="31">
        <f t="shared" si="10"/>
        <v>213588.79797865925</v>
      </c>
      <c r="J36" s="31">
        <f t="shared" si="10"/>
        <v>231076.09944845788</v>
      </c>
      <c r="K36" s="31">
        <f t="shared" si="10"/>
        <v>249995.15068973179</v>
      </c>
      <c r="L36" s="31">
        <f t="shared" si="10"/>
        <v>270463.17432894849</v>
      </c>
      <c r="M36" s="31">
        <f t="shared" si="10"/>
        <v>292606.99044069793</v>
      </c>
    </row>
    <row r="37" spans="2:13" ht="19" x14ac:dyDescent="0.25">
      <c r="B37" s="17" t="s">
        <v>21</v>
      </c>
      <c r="C37" s="3">
        <v>-11000</v>
      </c>
      <c r="D37" s="3">
        <v>-17000</v>
      </c>
      <c r="E37" s="3">
        <v>-34000</v>
      </c>
      <c r="F37" s="3">
        <v>-37000</v>
      </c>
      <c r="G37" s="3">
        <v>49000</v>
      </c>
      <c r="H37" s="30">
        <f>H9*Assumptions!$F$18</f>
        <v>53011.810451340934</v>
      </c>
      <c r="I37" s="30">
        <f>I9*Assumptions!$F$18</f>
        <v>57352.082598548979</v>
      </c>
      <c r="J37" s="30">
        <f>J9*Assumptions!$F$18</f>
        <v>62047.708810284246</v>
      </c>
      <c r="K37" s="30">
        <f>K9*Assumptions!$F$18</f>
        <v>67127.783232465008</v>
      </c>
      <c r="L37" s="30">
        <f>L9*Assumptions!$F$18</f>
        <v>72623.782055880351</v>
      </c>
      <c r="M37" s="30">
        <f>M9*Assumptions!$F$18</f>
        <v>78569.758542976022</v>
      </c>
    </row>
    <row r="38" spans="2:13" ht="19" x14ac:dyDescent="0.25">
      <c r="B38" s="18" t="s">
        <v>22</v>
      </c>
      <c r="C38" s="5">
        <v>208000</v>
      </c>
      <c r="D38" s="5">
        <v>1637000</v>
      </c>
      <c r="E38" s="5">
        <v>-225000</v>
      </c>
      <c r="F38" s="5">
        <v>-678000</v>
      </c>
      <c r="G38" s="5">
        <v>467000</v>
      </c>
      <c r="H38" s="31">
        <f t="shared" ref="H38:M38" si="11">H37+H33-H30-H36</f>
        <v>-66916.474119344202</v>
      </c>
      <c r="I38" s="31">
        <f t="shared" si="11"/>
        <v>12780.986679454014</v>
      </c>
      <c r="J38" s="31">
        <f t="shared" si="11"/>
        <v>45515.803271823097</v>
      </c>
      <c r="K38" s="31">
        <f t="shared" si="11"/>
        <v>80930.739850477519</v>
      </c>
      <c r="L38" s="31">
        <f t="shared" si="11"/>
        <v>119245.22770872043</v>
      </c>
      <c r="M38" s="31">
        <f t="shared" si="11"/>
        <v>160696.66378793219</v>
      </c>
    </row>
    <row r="39" spans="2:13" ht="19" x14ac:dyDescent="0.25">
      <c r="B39" s="4" t="s">
        <v>23</v>
      </c>
      <c r="C39" s="20">
        <v>2998000</v>
      </c>
      <c r="D39" s="20">
        <v>5065000</v>
      </c>
      <c r="E39" s="20">
        <v>4099000</v>
      </c>
      <c r="F39" s="20">
        <v>3366000</v>
      </c>
      <c r="G39" s="20">
        <v>5411000</v>
      </c>
      <c r="H39" s="32">
        <f t="shared" ref="H39:M39" si="12">H23+H38</f>
        <v>5281867.013052688</v>
      </c>
      <c r="I39" s="32">
        <f t="shared" si="12"/>
        <v>5799489.0758065162</v>
      </c>
      <c r="J39" s="32">
        <f t="shared" si="12"/>
        <v>6306002.994252339</v>
      </c>
      <c r="K39" s="32">
        <f t="shared" si="12"/>
        <v>6853987.0725302091</v>
      </c>
      <c r="L39" s="32">
        <f t="shared" si="12"/>
        <v>7446836.6253469335</v>
      </c>
      <c r="M39" s="32">
        <f t="shared" si="12"/>
        <v>8088224.9543282064</v>
      </c>
    </row>
    <row r="40" spans="2:13" ht="19" x14ac:dyDescent="0.25">
      <c r="B40" s="6" t="s">
        <v>24</v>
      </c>
      <c r="C40" s="21">
        <v>539000</v>
      </c>
      <c r="D40" s="21">
        <v>863000</v>
      </c>
      <c r="E40" s="21">
        <v>-70000</v>
      </c>
      <c r="F40" s="21">
        <v>947000</v>
      </c>
      <c r="G40" s="21">
        <v>1165000</v>
      </c>
      <c r="H40" s="40">
        <f>Assumptions!$F$19*H23</f>
        <v>1123244.5323061266</v>
      </c>
      <c r="I40" s="40">
        <f>Assumptions!$F$19*I23</f>
        <v>1215208.6987166828</v>
      </c>
      <c r="J40" s="40">
        <f>Assumptions!$F$19*J23</f>
        <v>1314702.3101059084</v>
      </c>
      <c r="K40" s="40">
        <f>Assumptions!$F$19*K23</f>
        <v>1422341.8298627436</v>
      </c>
      <c r="L40" s="40">
        <f>Assumptions!$F$19*L23</f>
        <v>1538794.1935040248</v>
      </c>
      <c r="M40" s="40">
        <f>Assumptions!$F$19*M23</f>
        <v>1664780.9410134575</v>
      </c>
    </row>
    <row r="41" spans="2:13" ht="19" x14ac:dyDescent="0.25">
      <c r="B41" s="4" t="s">
        <v>25</v>
      </c>
      <c r="C41" s="16">
        <v>2459000</v>
      </c>
      <c r="D41" s="16">
        <v>4202000</v>
      </c>
      <c r="E41" s="16">
        <v>4169000</v>
      </c>
      <c r="F41" s="16">
        <v>2419000</v>
      </c>
      <c r="G41" s="16">
        <v>4246000</v>
      </c>
      <c r="H41" s="32">
        <f t="shared" ref="H41:M41" si="13">H39-H40</f>
        <v>4158622.4807465617</v>
      </c>
      <c r="I41" s="32">
        <f t="shared" si="13"/>
        <v>4584280.3770898338</v>
      </c>
      <c r="J41" s="32">
        <f t="shared" si="13"/>
        <v>4991300.6841464303</v>
      </c>
      <c r="K41" s="32">
        <f t="shared" si="13"/>
        <v>5431645.2426674655</v>
      </c>
      <c r="L41" s="32">
        <f t="shared" si="13"/>
        <v>5908042.4318429083</v>
      </c>
      <c r="M41" s="32">
        <f t="shared" si="13"/>
        <v>6423444.0133147491</v>
      </c>
    </row>
    <row r="42" spans="2:13" ht="19" x14ac:dyDescent="0.25">
      <c r="B42" s="23" t="s">
        <v>26</v>
      </c>
      <c r="C42" s="26"/>
      <c r="D42" s="26"/>
      <c r="E42" s="26"/>
      <c r="F42" s="26"/>
      <c r="G42" s="26"/>
      <c r="H42" s="26"/>
      <c r="I42" s="26"/>
      <c r="J42" s="26"/>
      <c r="K42" s="26"/>
      <c r="L42" s="26"/>
      <c r="M42" s="26"/>
    </row>
    <row r="43" spans="2:13" ht="19" x14ac:dyDescent="0.25">
      <c r="B43" s="2" t="s">
        <v>27</v>
      </c>
      <c r="C43" s="7">
        <v>2.09</v>
      </c>
      <c r="D43" s="7">
        <v>3.58</v>
      </c>
      <c r="E43" s="7">
        <v>3.55</v>
      </c>
      <c r="F43" s="7">
        <v>2.1</v>
      </c>
      <c r="G43" s="7">
        <v>3.85</v>
      </c>
      <c r="H43" s="34">
        <f t="shared" ref="H43:M43" si="14">H41/H48</f>
        <v>3.9493090985247501</v>
      </c>
      <c r="I43" s="34">
        <f t="shared" si="14"/>
        <v>4.5705686710766038</v>
      </c>
      <c r="J43" s="34">
        <f t="shared" si="14"/>
        <v>5.2374613684642499</v>
      </c>
      <c r="K43" s="34">
        <f t="shared" si="14"/>
        <v>6.015111010705942</v>
      </c>
      <c r="L43" s="34">
        <f t="shared" si="14"/>
        <v>6.9261927688662466</v>
      </c>
      <c r="M43" s="34">
        <f t="shared" si="14"/>
        <v>7.9993076130943326</v>
      </c>
    </row>
    <row r="44" spans="2:13" ht="19" x14ac:dyDescent="0.25">
      <c r="B44" s="4" t="s">
        <v>28</v>
      </c>
      <c r="C44" s="22">
        <v>2.09</v>
      </c>
      <c r="D44" s="22">
        <v>3.58</v>
      </c>
      <c r="E44" s="22">
        <v>3.55</v>
      </c>
      <c r="F44" s="22">
        <v>2.1</v>
      </c>
      <c r="G44" s="22">
        <v>3.85</v>
      </c>
      <c r="H44" s="35">
        <f t="shared" ref="H44:M44" si="15">H43</f>
        <v>3.9493090985247501</v>
      </c>
      <c r="I44" s="35">
        <f t="shared" si="15"/>
        <v>4.5705686710766038</v>
      </c>
      <c r="J44" s="35">
        <f t="shared" si="15"/>
        <v>5.2374613684642499</v>
      </c>
      <c r="K44" s="35">
        <f t="shared" si="15"/>
        <v>6.015111010705942</v>
      </c>
      <c r="L44" s="35">
        <f t="shared" si="15"/>
        <v>6.9261927688662466</v>
      </c>
      <c r="M44" s="35">
        <f t="shared" si="15"/>
        <v>7.9993076130943326</v>
      </c>
    </row>
    <row r="45" spans="2:13" ht="19" x14ac:dyDescent="0.25">
      <c r="B45" s="23" t="s">
        <v>29</v>
      </c>
      <c r="C45" s="26"/>
      <c r="D45" s="26"/>
      <c r="E45" s="26"/>
      <c r="F45" s="26"/>
      <c r="G45" s="26"/>
      <c r="H45" s="26"/>
      <c r="I45" s="26"/>
      <c r="J45" s="26"/>
      <c r="K45" s="26"/>
      <c r="L45" s="26"/>
      <c r="M45" s="26"/>
    </row>
    <row r="46" spans="2:13" ht="19" x14ac:dyDescent="0.25">
      <c r="B46" s="2" t="s">
        <v>30</v>
      </c>
      <c r="C46" s="7">
        <v>2.0699999999999998</v>
      </c>
      <c r="D46" s="7">
        <v>3.54</v>
      </c>
      <c r="E46" s="7">
        <v>3.52</v>
      </c>
      <c r="F46" s="7">
        <v>2.09</v>
      </c>
      <c r="G46" s="7">
        <v>3.84</v>
      </c>
      <c r="H46" s="34">
        <f t="shared" ref="H46:M46" si="16">H41/H49</f>
        <v>3.9343637471585255</v>
      </c>
      <c r="I46" s="34">
        <f t="shared" si="16"/>
        <v>4.5524134827108576</v>
      </c>
      <c r="J46" s="34">
        <f t="shared" si="16"/>
        <v>5.2155702028698334</v>
      </c>
      <c r="K46" s="34">
        <f t="shared" si="16"/>
        <v>5.9885835090049238</v>
      </c>
      <c r="L46" s="34">
        <f t="shared" si="16"/>
        <v>6.8938651480080608</v>
      </c>
      <c r="M46" s="34">
        <f t="shared" si="16"/>
        <v>7.9596580090641256</v>
      </c>
    </row>
    <row r="47" spans="2:13" ht="19" x14ac:dyDescent="0.25">
      <c r="B47" s="4" t="s">
        <v>31</v>
      </c>
      <c r="C47" s="335">
        <v>2.0699999999999998</v>
      </c>
      <c r="D47" s="335">
        <v>3.54</v>
      </c>
      <c r="E47" s="335">
        <v>3.52</v>
      </c>
      <c r="F47" s="335">
        <v>2.09</v>
      </c>
      <c r="G47" s="335">
        <v>3.84</v>
      </c>
      <c r="H47" s="35">
        <f t="shared" ref="H47:M47" si="17">H46</f>
        <v>3.9343637471585255</v>
      </c>
      <c r="I47" s="35">
        <f t="shared" si="17"/>
        <v>4.5524134827108576</v>
      </c>
      <c r="J47" s="35">
        <f t="shared" si="17"/>
        <v>5.2155702028698334</v>
      </c>
      <c r="K47" s="35">
        <f t="shared" si="17"/>
        <v>5.9885835090049238</v>
      </c>
      <c r="L47" s="35">
        <f t="shared" si="17"/>
        <v>6.8938651480080608</v>
      </c>
      <c r="M47" s="35">
        <f t="shared" si="17"/>
        <v>7.9596580090641256</v>
      </c>
    </row>
    <row r="48" spans="2:13" ht="19" x14ac:dyDescent="0.25">
      <c r="B48" s="4" t="s">
        <v>32</v>
      </c>
      <c r="C48" s="16">
        <f>1174000000/1000</f>
        <v>1174000</v>
      </c>
      <c r="D48" s="16">
        <v>1173000</v>
      </c>
      <c r="E48" s="16">
        <v>1174000</v>
      </c>
      <c r="F48" s="16">
        <v>1154000</v>
      </c>
      <c r="G48" s="16">
        <v>1103000</v>
      </c>
      <c r="H48" s="32">
        <f>G48+Assumptions!$F$20</f>
        <v>1053000</v>
      </c>
      <c r="I48" s="32">
        <f>H48+Assumptions!$F$20</f>
        <v>1003000</v>
      </c>
      <c r="J48" s="32">
        <f>I48+Assumptions!$F$20</f>
        <v>953000</v>
      </c>
      <c r="K48" s="32">
        <f>J48+Assumptions!$F$20</f>
        <v>903000</v>
      </c>
      <c r="L48" s="32">
        <f>K48+Assumptions!$F$20</f>
        <v>853000</v>
      </c>
      <c r="M48" s="32">
        <f>L48+Assumptions!$F$20</f>
        <v>803000</v>
      </c>
    </row>
    <row r="49" spans="2:13" ht="19" x14ac:dyDescent="0.25">
      <c r="B49" s="4" t="s">
        <v>33</v>
      </c>
      <c r="C49" s="16">
        <v>1188000</v>
      </c>
      <c r="D49" s="16">
        <v>1187000</v>
      </c>
      <c r="E49" s="16">
        <v>1186000</v>
      </c>
      <c r="F49" s="16">
        <v>1158000</v>
      </c>
      <c r="G49" s="16">
        <v>1107000</v>
      </c>
      <c r="H49" s="32">
        <f t="shared" ref="H49:M49" si="18">H48+4000</f>
        <v>1057000</v>
      </c>
      <c r="I49" s="32">
        <f t="shared" si="18"/>
        <v>1007000</v>
      </c>
      <c r="J49" s="32">
        <f t="shared" si="18"/>
        <v>957000</v>
      </c>
      <c r="K49" s="32">
        <f t="shared" si="18"/>
        <v>907000</v>
      </c>
      <c r="L49" s="32">
        <f t="shared" si="18"/>
        <v>857000</v>
      </c>
      <c r="M49" s="32">
        <f t="shared" si="18"/>
        <v>807000</v>
      </c>
    </row>
    <row r="50" spans="2:13" ht="19" x14ac:dyDescent="0.25">
      <c r="B50" s="23" t="s">
        <v>34</v>
      </c>
      <c r="C50" s="27"/>
      <c r="D50" s="27"/>
      <c r="E50" s="27"/>
      <c r="F50" s="27"/>
      <c r="G50" s="27"/>
      <c r="H50" s="26"/>
      <c r="I50" s="26"/>
      <c r="J50" s="26"/>
      <c r="K50" s="26"/>
      <c r="L50" s="26"/>
      <c r="M50" s="26"/>
    </row>
    <row r="51" spans="2:13" ht="19" x14ac:dyDescent="0.25">
      <c r="B51" s="29" t="s">
        <v>35</v>
      </c>
      <c r="C51" s="8"/>
      <c r="D51" s="8"/>
      <c r="E51" s="8"/>
      <c r="F51" s="8"/>
      <c r="G51" s="8"/>
      <c r="H51" s="36"/>
      <c r="I51" s="36"/>
      <c r="J51" s="36"/>
      <c r="K51" s="36"/>
      <c r="L51" s="36"/>
      <c r="M51" s="36"/>
    </row>
    <row r="52" spans="2:13" ht="19" x14ac:dyDescent="0.25">
      <c r="B52" s="2" t="s">
        <v>36</v>
      </c>
      <c r="C52" s="28" t="s">
        <v>174</v>
      </c>
      <c r="D52" s="28" t="s">
        <v>174</v>
      </c>
      <c r="E52" s="28" t="s">
        <v>174</v>
      </c>
      <c r="F52" s="28" t="s">
        <v>174</v>
      </c>
      <c r="G52" s="28" t="s">
        <v>174</v>
      </c>
      <c r="H52" s="37" t="s">
        <v>174</v>
      </c>
      <c r="I52" s="37" t="s">
        <v>174</v>
      </c>
      <c r="J52" s="37" t="s">
        <v>174</v>
      </c>
      <c r="K52" s="37" t="s">
        <v>174</v>
      </c>
      <c r="L52" s="37" t="s">
        <v>174</v>
      </c>
      <c r="M52" s="37" t="s">
        <v>174</v>
      </c>
    </row>
    <row r="53" spans="2:13" ht="19" x14ac:dyDescent="0.25">
      <c r="B53" s="2" t="s">
        <v>37</v>
      </c>
      <c r="C53" s="7">
        <v>3.2222222222222223</v>
      </c>
      <c r="D53" s="7">
        <v>5.3706823925863523</v>
      </c>
      <c r="E53" s="7">
        <v>4.6703204047217541</v>
      </c>
      <c r="F53" s="7">
        <v>4.1563039723661497</v>
      </c>
      <c r="G53" s="7">
        <v>5.7362240289069604</v>
      </c>
      <c r="H53" s="34">
        <f t="shared" ref="H53:M53" si="19">H71/H49</f>
        <v>5.9262522447679027</v>
      </c>
      <c r="I53" s="34">
        <f t="shared" si="19"/>
        <v>6.7298007467239218</v>
      </c>
      <c r="J53" s="34">
        <f t="shared" si="19"/>
        <v>7.661191094865881</v>
      </c>
      <c r="K53" s="34">
        <f t="shared" si="19"/>
        <v>8.7453561846853773</v>
      </c>
      <c r="L53" s="34">
        <f t="shared" si="19"/>
        <v>10.013375993702457</v>
      </c>
      <c r="M53" s="34">
        <f t="shared" si="19"/>
        <v>11.504410438353974</v>
      </c>
    </row>
    <row r="54" spans="2:13" ht="19" x14ac:dyDescent="0.25">
      <c r="B54" s="2" t="s">
        <v>38</v>
      </c>
      <c r="C54" s="7">
        <v>3.2222222222222223</v>
      </c>
      <c r="D54" s="7">
        <v>5.3706823925863523</v>
      </c>
      <c r="E54" s="7">
        <v>4.6703204047217541</v>
      </c>
      <c r="F54" s="7">
        <v>4.1563039723661488</v>
      </c>
      <c r="G54" s="7">
        <v>5.7362240289069559</v>
      </c>
      <c r="H54" s="34">
        <f t="shared" ref="H54:M54" si="20">H53</f>
        <v>5.9262522447679027</v>
      </c>
      <c r="I54" s="34">
        <f t="shared" si="20"/>
        <v>6.7298007467239218</v>
      </c>
      <c r="J54" s="34">
        <f t="shared" si="20"/>
        <v>7.661191094865881</v>
      </c>
      <c r="K54" s="34">
        <f t="shared" si="20"/>
        <v>8.7453561846853773</v>
      </c>
      <c r="L54" s="34">
        <f t="shared" si="20"/>
        <v>10.013375993702457</v>
      </c>
      <c r="M54" s="34">
        <f t="shared" si="20"/>
        <v>11.504410438353974</v>
      </c>
    </row>
    <row r="55" spans="2:13" ht="19" x14ac:dyDescent="0.25">
      <c r="B55" s="2" t="s">
        <v>39</v>
      </c>
      <c r="C55" s="7">
        <v>3.1379897785349233</v>
      </c>
      <c r="D55" s="7">
        <v>3.2976726342711</v>
      </c>
      <c r="E55" s="7">
        <v>4.4155536626916518</v>
      </c>
      <c r="F55" s="7">
        <v>3.2040450606585789</v>
      </c>
      <c r="G55" s="7">
        <v>4.4435539437896647</v>
      </c>
      <c r="H55" s="34">
        <f t="shared" ref="H55:M55" si="21">H86/H48</f>
        <v>4.6107325485927291</v>
      </c>
      <c r="I55" s="34">
        <f t="shared" si="21"/>
        <v>5.2368957157698448</v>
      </c>
      <c r="J55" s="34">
        <f t="shared" si="21"/>
        <v>5.9629135706136172</v>
      </c>
      <c r="K55" s="34">
        <f t="shared" si="21"/>
        <v>6.8083240960465554</v>
      </c>
      <c r="L55" s="34">
        <f t="shared" si="21"/>
        <v>7.7975020356302673</v>
      </c>
      <c r="M55" s="34">
        <f t="shared" si="21"/>
        <v>8.9611869779266708</v>
      </c>
    </row>
    <row r="56" spans="2:13" ht="19" x14ac:dyDescent="0.25">
      <c r="B56" s="2" t="s">
        <v>40</v>
      </c>
      <c r="C56" s="7">
        <v>3.1</v>
      </c>
      <c r="D56" s="7">
        <v>3.2610025273799494</v>
      </c>
      <c r="E56" s="7">
        <v>4.3767959527824623</v>
      </c>
      <c r="F56" s="7">
        <v>3.1902314335060447</v>
      </c>
      <c r="G56" s="7">
        <v>4.4314092140921408</v>
      </c>
      <c r="H56" s="34">
        <f t="shared" ref="H56:M56" si="22">H86/H49</f>
        <v>4.5932841756557652</v>
      </c>
      <c r="I56" s="34">
        <f t="shared" si="22"/>
        <v>5.2160937466903219</v>
      </c>
      <c r="J56" s="34">
        <f t="shared" si="22"/>
        <v>5.9379902119067678</v>
      </c>
      <c r="K56" s="34">
        <f t="shared" si="22"/>
        <v>6.7782984109482243</v>
      </c>
      <c r="L56" s="34">
        <f t="shared" si="22"/>
        <v>7.7611076270625645</v>
      </c>
      <c r="M56" s="34">
        <f t="shared" si="22"/>
        <v>8.9167696942690409</v>
      </c>
    </row>
    <row r="57" spans="2:13" ht="19" x14ac:dyDescent="0.25">
      <c r="B57" s="2" t="s">
        <v>41</v>
      </c>
      <c r="C57" s="7">
        <v>3.9663299663299663</v>
      </c>
      <c r="D57" s="7">
        <v>5.0345408593091827</v>
      </c>
      <c r="E57" s="7">
        <v>5.8440134907251267</v>
      </c>
      <c r="F57" s="7">
        <v>5.6865284974093262</v>
      </c>
      <c r="G57" s="7">
        <v>6.4896115627822946</v>
      </c>
      <c r="H57" s="34">
        <f t="shared" ref="H57:M57" si="23">H83/H48</f>
        <v>6.7300748042048193</v>
      </c>
      <c r="I57" s="34">
        <f t="shared" si="23"/>
        <v>7.6440564568656351</v>
      </c>
      <c r="J57" s="34">
        <f t="shared" si="23"/>
        <v>8.7037914167210353</v>
      </c>
      <c r="K57" s="34">
        <f t="shared" si="23"/>
        <v>9.9377983812244004</v>
      </c>
      <c r="L57" s="34">
        <f t="shared" si="23"/>
        <v>11.381656045468985</v>
      </c>
      <c r="M57" s="34">
        <f t="shared" si="23"/>
        <v>13.080233576835864</v>
      </c>
    </row>
    <row r="58" spans="2:13" ht="19" x14ac:dyDescent="0.25">
      <c r="B58" s="2" t="s">
        <v>42</v>
      </c>
      <c r="C58" s="7">
        <v>3.9663299663299663</v>
      </c>
      <c r="D58" s="7">
        <v>5.0345408593091827</v>
      </c>
      <c r="E58" s="7">
        <v>5.8440134907251267</v>
      </c>
      <c r="F58" s="7">
        <v>5.6865284974093262</v>
      </c>
      <c r="G58" s="7">
        <v>6.4896115627822946</v>
      </c>
      <c r="H58" s="34">
        <f t="shared" ref="H58:M58" si="24">H83/H49</f>
        <v>6.704606214595719</v>
      </c>
      <c r="I58" s="34">
        <f t="shared" si="24"/>
        <v>7.6136927767986418</v>
      </c>
      <c r="J58" s="34">
        <f t="shared" si="24"/>
        <v>8.6674119332655657</v>
      </c>
      <c r="K58" s="34">
        <f t="shared" si="24"/>
        <v>9.8939712659819552</v>
      </c>
      <c r="L58" s="34">
        <f t="shared" si="24"/>
        <v>11.328532796715338</v>
      </c>
      <c r="M58" s="34">
        <f t="shared" si="24"/>
        <v>13.015399705327384</v>
      </c>
    </row>
    <row r="59" spans="2:13" ht="19" x14ac:dyDescent="0.25">
      <c r="B59" s="2" t="s">
        <v>43</v>
      </c>
      <c r="C59" s="7">
        <v>3.1379897785349233</v>
      </c>
      <c r="D59" s="7">
        <v>3.2976726342711</v>
      </c>
      <c r="E59" s="7">
        <v>4.4155536626916518</v>
      </c>
      <c r="F59" s="7">
        <v>3.2040450606585789</v>
      </c>
      <c r="G59" s="7">
        <v>4.4435539437896647</v>
      </c>
      <c r="H59" s="34">
        <f t="shared" ref="H59:M59" si="25">H85/H48</f>
        <v>6.7300748042048193</v>
      </c>
      <c r="I59" s="34">
        <f t="shared" si="25"/>
        <v>7.6440564568656351</v>
      </c>
      <c r="J59" s="34">
        <f t="shared" si="25"/>
        <v>8.7037914167210353</v>
      </c>
      <c r="K59" s="34">
        <f t="shared" si="25"/>
        <v>9.9377983812244004</v>
      </c>
      <c r="L59" s="34">
        <f t="shared" si="25"/>
        <v>11.381656045468985</v>
      </c>
      <c r="M59" s="34">
        <f t="shared" si="25"/>
        <v>13.080233576835864</v>
      </c>
    </row>
    <row r="60" spans="2:13" ht="19" x14ac:dyDescent="0.25">
      <c r="B60" s="2" t="s">
        <v>44</v>
      </c>
      <c r="C60" s="7">
        <v>3.1</v>
      </c>
      <c r="D60" s="7">
        <v>3.2610025273799494</v>
      </c>
      <c r="E60" s="7">
        <v>4.3767959527824623</v>
      </c>
      <c r="F60" s="7">
        <v>3.1902314335060447</v>
      </c>
      <c r="G60" s="7">
        <v>4.4314092140921408</v>
      </c>
      <c r="H60" s="34">
        <f t="shared" ref="H60:M60" si="26">H85/H49</f>
        <v>6.704606214595719</v>
      </c>
      <c r="I60" s="34">
        <f t="shared" si="26"/>
        <v>7.6136927767986418</v>
      </c>
      <c r="J60" s="34">
        <f t="shared" si="26"/>
        <v>8.6674119332655657</v>
      </c>
      <c r="K60" s="34">
        <f t="shared" si="26"/>
        <v>9.8939712659819552</v>
      </c>
      <c r="L60" s="34">
        <f t="shared" si="26"/>
        <v>11.328532796715338</v>
      </c>
      <c r="M60" s="34">
        <f t="shared" si="26"/>
        <v>13.015399705327384</v>
      </c>
    </row>
    <row r="61" spans="2:13" ht="19" x14ac:dyDescent="0.25">
      <c r="B61" s="2" t="s">
        <v>45</v>
      </c>
      <c r="C61" s="7">
        <v>14.95959595959596</v>
      </c>
      <c r="D61" s="7">
        <v>18.074136478517271</v>
      </c>
      <c r="E61" s="7">
        <v>21.392074198988194</v>
      </c>
      <c r="F61" s="7">
        <v>23.763385146804836</v>
      </c>
      <c r="G61" s="7">
        <v>26.893405600722673</v>
      </c>
      <c r="H61" s="34">
        <f t="shared" ref="H61:M61" si="27">H5/H49</f>
        <v>30.471581274436144</v>
      </c>
      <c r="I61" s="34">
        <f t="shared" si="27"/>
        <v>34.603263908586868</v>
      </c>
      <c r="J61" s="34">
        <f t="shared" si="27"/>
        <v>39.392283261701579</v>
      </c>
      <c r="K61" s="34">
        <f t="shared" si="27"/>
        <v>44.966839201082642</v>
      </c>
      <c r="L61" s="34">
        <f t="shared" si="27"/>
        <v>51.48673863704937</v>
      </c>
      <c r="M61" s="34">
        <f t="shared" si="27"/>
        <v>59.153333879142686</v>
      </c>
    </row>
    <row r="62" spans="2:13" ht="19" x14ac:dyDescent="0.25">
      <c r="B62" s="29" t="s">
        <v>46</v>
      </c>
      <c r="C62" s="8"/>
      <c r="D62" s="8"/>
      <c r="E62" s="8"/>
      <c r="F62" s="8"/>
      <c r="G62" s="8"/>
      <c r="H62" s="36"/>
      <c r="I62" s="36"/>
      <c r="J62" s="36"/>
      <c r="K62" s="36"/>
      <c r="L62" s="36"/>
      <c r="M62" s="36"/>
    </row>
    <row r="63" spans="2:13" ht="19" x14ac:dyDescent="0.25">
      <c r="B63" s="2" t="s">
        <v>47</v>
      </c>
      <c r="C63" s="3">
        <v>17772000</v>
      </c>
      <c r="D63" s="3">
        <v>21454000</v>
      </c>
      <c r="E63" s="3">
        <v>25371000</v>
      </c>
      <c r="F63" s="3">
        <v>27518000</v>
      </c>
      <c r="G63" s="3">
        <v>29771000</v>
      </c>
      <c r="H63" s="30">
        <f t="shared" ref="H63:M63" si="28">H5</f>
        <v>32208461.407079004</v>
      </c>
      <c r="I63" s="30">
        <f t="shared" si="28"/>
        <v>34845486.755946979</v>
      </c>
      <c r="J63" s="30">
        <f t="shared" si="28"/>
        <v>37698415.081448413</v>
      </c>
      <c r="K63" s="30">
        <f t="shared" si="28"/>
        <v>40784923.155381955</v>
      </c>
      <c r="L63" s="30">
        <f t="shared" si="28"/>
        <v>44124135.011951312</v>
      </c>
      <c r="M63" s="30">
        <f t="shared" si="28"/>
        <v>47736740.440468147</v>
      </c>
    </row>
    <row r="64" spans="2:13" ht="19" x14ac:dyDescent="0.25">
      <c r="B64" s="2" t="s">
        <v>48</v>
      </c>
      <c r="C64" s="3">
        <v>-15053000</v>
      </c>
      <c r="D64" s="3">
        <v>-18165000</v>
      </c>
      <c r="E64" s="3">
        <v>-21109000</v>
      </c>
      <c r="F64" s="3">
        <v>-23681000</v>
      </c>
      <c r="G64" s="3">
        <v>-24743000</v>
      </c>
      <c r="H64" s="30">
        <f t="shared" ref="H64:M64" si="29">H65-H63</f>
        <v>-26859677.919906974</v>
      </c>
      <c r="I64" s="30">
        <f t="shared" si="29"/>
        <v>-29058778.666819915</v>
      </c>
      <c r="J64" s="30">
        <f t="shared" si="29"/>
        <v>-31437927.890467897</v>
      </c>
      <c r="K64" s="30">
        <f t="shared" si="29"/>
        <v>-34011866.822702222</v>
      </c>
      <c r="L64" s="30">
        <f t="shared" si="29"/>
        <v>-36796543.614313096</v>
      </c>
      <c r="M64" s="30">
        <f t="shared" si="29"/>
        <v>-39809212.149927869</v>
      </c>
    </row>
    <row r="65" spans="2:13" ht="19" x14ac:dyDescent="0.25">
      <c r="B65" s="2" t="s">
        <v>49</v>
      </c>
      <c r="C65" s="3">
        <v>2719000</v>
      </c>
      <c r="D65" s="3">
        <v>3289000</v>
      </c>
      <c r="E65" s="3">
        <v>4262000</v>
      </c>
      <c r="F65" s="3">
        <v>3837000</v>
      </c>
      <c r="G65" s="3">
        <v>5028000</v>
      </c>
      <c r="H65" s="30">
        <f t="shared" ref="H65:M65" si="30">H23</f>
        <v>5348783.4871720318</v>
      </c>
      <c r="I65" s="30">
        <f t="shared" si="30"/>
        <v>5786708.0891270619</v>
      </c>
      <c r="J65" s="30">
        <f t="shared" si="30"/>
        <v>6260487.1909805164</v>
      </c>
      <c r="K65" s="30">
        <f t="shared" si="30"/>
        <v>6773056.3326797318</v>
      </c>
      <c r="L65" s="30">
        <f t="shared" si="30"/>
        <v>7327591.3976382129</v>
      </c>
      <c r="M65" s="30">
        <f t="shared" si="30"/>
        <v>7927528.2905402742</v>
      </c>
    </row>
    <row r="66" spans="2:13" ht="19" x14ac:dyDescent="0.25">
      <c r="B66" s="2" t="s">
        <v>175</v>
      </c>
      <c r="C66" s="3">
        <v>3684000</v>
      </c>
      <c r="D66" s="28" t="s">
        <v>174</v>
      </c>
      <c r="E66" s="28" t="s">
        <v>174</v>
      </c>
      <c r="F66" s="28" t="s">
        <v>174</v>
      </c>
      <c r="G66" s="28" t="s">
        <v>174</v>
      </c>
      <c r="H66" s="37" t="s">
        <v>174</v>
      </c>
      <c r="I66" s="37" t="s">
        <v>174</v>
      </c>
      <c r="J66" s="37" t="s">
        <v>174</v>
      </c>
      <c r="K66" s="37" t="s">
        <v>174</v>
      </c>
      <c r="L66" s="37" t="s">
        <v>174</v>
      </c>
      <c r="M66" s="37" t="s">
        <v>174</v>
      </c>
    </row>
    <row r="67" spans="2:13" ht="19" x14ac:dyDescent="0.25">
      <c r="B67" s="2" t="s">
        <v>50</v>
      </c>
      <c r="C67" s="9">
        <v>0.18</v>
      </c>
      <c r="D67" s="9">
        <v>0.17</v>
      </c>
      <c r="E67" s="9">
        <v>1.7000000000000001E-2</v>
      </c>
      <c r="F67" s="9">
        <v>0.28100000000000003</v>
      </c>
      <c r="G67" s="9">
        <v>0.215</v>
      </c>
      <c r="H67" s="38">
        <f>Assumptions!F19</f>
        <v>0.21</v>
      </c>
      <c r="I67" s="38">
        <f>H67</f>
        <v>0.21</v>
      </c>
      <c r="J67" s="38">
        <f>I67</f>
        <v>0.21</v>
      </c>
      <c r="K67" s="38">
        <f>J67</f>
        <v>0.21</v>
      </c>
      <c r="L67" s="38">
        <f>K67</f>
        <v>0.21</v>
      </c>
      <c r="M67" s="38">
        <f>L67</f>
        <v>0.21</v>
      </c>
    </row>
    <row r="68" spans="2:13" ht="19" x14ac:dyDescent="0.25">
      <c r="B68" s="2" t="s">
        <v>176</v>
      </c>
      <c r="C68" s="3">
        <v>4131000</v>
      </c>
      <c r="D68" s="28" t="s">
        <v>174</v>
      </c>
      <c r="E68" s="28" t="s">
        <v>174</v>
      </c>
      <c r="F68" s="28" t="s">
        <v>174</v>
      </c>
      <c r="G68" s="28" t="s">
        <v>174</v>
      </c>
      <c r="H68" s="37" t="s">
        <v>174</v>
      </c>
      <c r="I68" s="37" t="s">
        <v>174</v>
      </c>
      <c r="J68" s="37" t="s">
        <v>174</v>
      </c>
      <c r="K68" s="37" t="s">
        <v>174</v>
      </c>
      <c r="L68" s="37" t="s">
        <v>174</v>
      </c>
      <c r="M68" s="37" t="s">
        <v>174</v>
      </c>
    </row>
    <row r="69" spans="2:13" ht="19" x14ac:dyDescent="0.25">
      <c r="B69" s="23" t="s">
        <v>51</v>
      </c>
      <c r="C69" s="27"/>
      <c r="D69" s="27"/>
      <c r="E69" s="27"/>
      <c r="F69" s="27"/>
      <c r="G69" s="27"/>
      <c r="H69" s="25"/>
      <c r="I69" s="25"/>
      <c r="J69" s="25"/>
      <c r="K69" s="25"/>
      <c r="L69" s="25"/>
      <c r="M69" s="25"/>
    </row>
    <row r="70" spans="2:13" ht="19" x14ac:dyDescent="0.25">
      <c r="B70" s="29" t="s">
        <v>52</v>
      </c>
      <c r="C70" s="8"/>
      <c r="D70" s="8"/>
      <c r="E70" s="8"/>
      <c r="F70" s="8"/>
      <c r="G70" s="8"/>
      <c r="H70" s="36"/>
      <c r="I70" s="36"/>
      <c r="J70" s="36"/>
      <c r="K70" s="36"/>
      <c r="L70" s="36"/>
      <c r="M70" s="36"/>
    </row>
    <row r="71" spans="2:13" ht="19" x14ac:dyDescent="0.25">
      <c r="B71" s="2" t="s">
        <v>53</v>
      </c>
      <c r="C71" s="3">
        <v>3828000</v>
      </c>
      <c r="D71" s="3">
        <v>6375000</v>
      </c>
      <c r="E71" s="3">
        <v>5539000</v>
      </c>
      <c r="F71" s="3">
        <v>4813000</v>
      </c>
      <c r="G71" s="3">
        <v>6350000</v>
      </c>
      <c r="H71" s="30">
        <f>H65+(H5*Assumptions!$F$21)</f>
        <v>6264048.6227196734</v>
      </c>
      <c r="I71" s="30">
        <f>I65+(I5*Assumptions!$F$21)</f>
        <v>6776909.3519509891</v>
      </c>
      <c r="J71" s="30">
        <f>J65+(J5*Assumptions!$F$21)</f>
        <v>7331759.8777866485</v>
      </c>
      <c r="K71" s="30">
        <f>K65+(K5*Assumptions!$F$21)</f>
        <v>7932038.0595096378</v>
      </c>
      <c r="L71" s="30">
        <f>L65+(L5*Assumptions!$F$21)</f>
        <v>8581463.2266030051</v>
      </c>
      <c r="M71" s="30">
        <f>M65+(M5*Assumptions!$F$21)</f>
        <v>9284059.2237516567</v>
      </c>
    </row>
    <row r="72" spans="2:13" ht="19" x14ac:dyDescent="0.25">
      <c r="B72" s="2" t="s">
        <v>177</v>
      </c>
      <c r="C72" s="28" t="s">
        <v>174</v>
      </c>
      <c r="D72" s="28" t="s">
        <v>174</v>
      </c>
      <c r="E72" s="3">
        <v>4717000</v>
      </c>
      <c r="F72" s="3">
        <v>3967000</v>
      </c>
      <c r="G72" s="3">
        <v>5504000</v>
      </c>
      <c r="H72" s="30">
        <f>H71-(H5*Assumptions!$F$21)</f>
        <v>5348783.4871720318</v>
      </c>
      <c r="I72" s="30">
        <f>I71-(I5*Assumptions!$F$21)</f>
        <v>5786708.0891270619</v>
      </c>
      <c r="J72" s="30">
        <f>J71-(J5*Assumptions!$F$21)</f>
        <v>6260487.1909805164</v>
      </c>
      <c r="K72" s="30">
        <f>K71-(K5*Assumptions!$F$21)</f>
        <v>6773056.3326797318</v>
      </c>
      <c r="L72" s="30">
        <f>L71-(L5*Assumptions!$F$21)</f>
        <v>7327591.3976382138</v>
      </c>
      <c r="M72" s="30">
        <f>M71-(M5*Assumptions!$F$21)</f>
        <v>7927528.2905402742</v>
      </c>
    </row>
    <row r="73" spans="2:13" ht="19" x14ac:dyDescent="0.25">
      <c r="B73" s="2" t="s">
        <v>54</v>
      </c>
      <c r="C73" s="3">
        <v>2916000</v>
      </c>
      <c r="D73" s="3">
        <v>5186000</v>
      </c>
      <c r="E73" s="3">
        <v>4274000</v>
      </c>
      <c r="F73" s="3">
        <v>3496000</v>
      </c>
      <c r="G73" s="3">
        <v>5278000</v>
      </c>
      <c r="H73" s="30">
        <f>H72-(H5*Assumptions!$F$22)</f>
        <v>5104280.0348862549</v>
      </c>
      <c r="I73" s="30">
        <f>I72-(I5*Assumptions!$F$22)</f>
        <v>5522186.2387745706</v>
      </c>
      <c r="J73" s="30">
        <f>J72-(J5*Assumptions!$F$22)</f>
        <v>5974307.962590226</v>
      </c>
      <c r="K73" s="30">
        <f>K72-(K5*Assumptions!$F$22)</f>
        <v>6463446.5569544854</v>
      </c>
      <c r="L73" s="30">
        <f>L72-(L5*Assumptions!$F$22)</f>
        <v>6992632.72938048</v>
      </c>
      <c r="M73" s="30">
        <f>M72-(M5*Assumptions!$F$22)</f>
        <v>7565145.3225665484</v>
      </c>
    </row>
    <row r="74" spans="2:13" ht="19" x14ac:dyDescent="0.25">
      <c r="B74" s="2" t="s">
        <v>55</v>
      </c>
      <c r="C74" s="3">
        <v>3828000</v>
      </c>
      <c r="D74" s="3">
        <v>6375000</v>
      </c>
      <c r="E74" s="3">
        <v>5539000</v>
      </c>
      <c r="F74" s="3">
        <v>4813000</v>
      </c>
      <c r="G74" s="3">
        <v>6350000</v>
      </c>
      <c r="H74" s="30">
        <f t="shared" ref="H74:M74" si="31">H71</f>
        <v>6264048.6227196734</v>
      </c>
      <c r="I74" s="30">
        <f t="shared" si="31"/>
        <v>6776909.3519509891</v>
      </c>
      <c r="J74" s="30">
        <f t="shared" si="31"/>
        <v>7331759.8777866485</v>
      </c>
      <c r="K74" s="30">
        <f t="shared" si="31"/>
        <v>7932038.0595096378</v>
      </c>
      <c r="L74" s="30">
        <f t="shared" si="31"/>
        <v>8581463.2266030051</v>
      </c>
      <c r="M74" s="30">
        <f t="shared" si="31"/>
        <v>9284059.2237516567</v>
      </c>
    </row>
    <row r="75" spans="2:13" ht="19" x14ac:dyDescent="0.25">
      <c r="B75" s="2" t="s">
        <v>56</v>
      </c>
      <c r="C75" s="3">
        <v>197000</v>
      </c>
      <c r="D75" s="3">
        <v>88000</v>
      </c>
      <c r="E75" s="3">
        <v>57000</v>
      </c>
      <c r="F75" s="3">
        <v>174000</v>
      </c>
      <c r="G75" s="3">
        <v>480000</v>
      </c>
      <c r="H75" s="30">
        <f t="shared" ref="H75:M75" si="32">H28</f>
        <v>247080</v>
      </c>
      <c r="I75" s="30">
        <f t="shared" si="32"/>
        <v>320797.11833898583</v>
      </c>
      <c r="J75" s="30">
        <f t="shared" si="32"/>
        <v>347061.9598106675</v>
      </c>
      <c r="K75" s="30">
        <f t="shared" si="32"/>
        <v>375477.2005786532</v>
      </c>
      <c r="L75" s="30">
        <f t="shared" si="32"/>
        <v>406218.90175256506</v>
      </c>
      <c r="M75" s="30">
        <f t="shared" si="32"/>
        <v>439477.53921344632</v>
      </c>
    </row>
    <row r="76" spans="2:13" ht="19" x14ac:dyDescent="0.25">
      <c r="B76" s="2" t="s">
        <v>57</v>
      </c>
      <c r="C76" s="3">
        <f t="shared" ref="C76:M76" si="33">C67*C77</f>
        <v>159120</v>
      </c>
      <c r="D76" s="3">
        <f t="shared" si="33"/>
        <v>-67830</v>
      </c>
      <c r="E76" s="3">
        <f t="shared" si="33"/>
        <v>23664</v>
      </c>
      <c r="F76" s="3">
        <f t="shared" si="33"/>
        <v>497932.00000000006</v>
      </c>
      <c r="G76" s="3">
        <f t="shared" si="33"/>
        <v>179310</v>
      </c>
      <c r="H76" s="30">
        <f t="shared" si="33"/>
        <v>172771.23068268041</v>
      </c>
      <c r="I76" s="30">
        <f t="shared" si="33"/>
        <v>186916.64759990101</v>
      </c>
      <c r="J76" s="30">
        <f t="shared" si="33"/>
        <v>202220.20189318468</v>
      </c>
      <c r="K76" s="30">
        <f t="shared" si="33"/>
        <v>218776.71453455914</v>
      </c>
      <c r="L76" s="30">
        <f t="shared" si="33"/>
        <v>236688.76983822812</v>
      </c>
      <c r="M76" s="30">
        <f t="shared" si="33"/>
        <v>256067.35107398394</v>
      </c>
    </row>
    <row r="77" spans="2:13" ht="19" x14ac:dyDescent="0.25">
      <c r="B77" s="2" t="s">
        <v>58</v>
      </c>
      <c r="C77" s="3">
        <v>884000</v>
      </c>
      <c r="D77" s="3">
        <v>-399000</v>
      </c>
      <c r="E77" s="3">
        <v>1392000</v>
      </c>
      <c r="F77" s="3">
        <v>1772000</v>
      </c>
      <c r="G77" s="3">
        <v>834000</v>
      </c>
      <c r="H77" s="30">
        <f t="shared" ref="H77:M77" si="34">H71*0.13134</f>
        <v>822720.14610800194</v>
      </c>
      <c r="I77" s="30">
        <f t="shared" si="34"/>
        <v>890079.27428524301</v>
      </c>
      <c r="J77" s="30">
        <f t="shared" si="34"/>
        <v>962953.34234849853</v>
      </c>
      <c r="K77" s="30">
        <f t="shared" si="34"/>
        <v>1041793.878735996</v>
      </c>
      <c r="L77" s="30">
        <f t="shared" si="34"/>
        <v>1127089.3801820388</v>
      </c>
      <c r="M77" s="30">
        <f t="shared" si="34"/>
        <v>1219368.3384475426</v>
      </c>
    </row>
    <row r="78" spans="2:13" ht="19" x14ac:dyDescent="0.25">
      <c r="B78" s="2" t="s">
        <v>59</v>
      </c>
      <c r="C78" s="3">
        <v>884000</v>
      </c>
      <c r="D78" s="3">
        <v>-399000</v>
      </c>
      <c r="E78" s="3">
        <v>1392000</v>
      </c>
      <c r="F78" s="3">
        <v>1772000</v>
      </c>
      <c r="G78" s="3">
        <v>834000</v>
      </c>
      <c r="H78" s="30">
        <f t="shared" ref="H78:M78" si="35">H77</f>
        <v>822720.14610800194</v>
      </c>
      <c r="I78" s="30">
        <f t="shared" si="35"/>
        <v>890079.27428524301</v>
      </c>
      <c r="J78" s="30">
        <f t="shared" si="35"/>
        <v>962953.34234849853</v>
      </c>
      <c r="K78" s="30">
        <f t="shared" si="35"/>
        <v>1041793.878735996</v>
      </c>
      <c r="L78" s="30">
        <f t="shared" si="35"/>
        <v>1127089.3801820388</v>
      </c>
      <c r="M78" s="30">
        <f t="shared" si="35"/>
        <v>1219368.3384475426</v>
      </c>
    </row>
    <row r="79" spans="2:13" ht="19" x14ac:dyDescent="0.25">
      <c r="B79" s="2" t="s">
        <v>60</v>
      </c>
      <c r="C79" s="3">
        <v>14982000</v>
      </c>
      <c r="D79" s="3">
        <v>18026000</v>
      </c>
      <c r="E79" s="3">
        <v>21047000</v>
      </c>
      <c r="F79" s="3">
        <v>23474000</v>
      </c>
      <c r="G79" s="3">
        <v>24827000</v>
      </c>
      <c r="H79" s="30">
        <f t="shared" ref="H79:M79" si="36">H8+H22</f>
        <v>26859677.919906974</v>
      </c>
      <c r="I79" s="30">
        <f t="shared" si="36"/>
        <v>29058778.666819915</v>
      </c>
      <c r="J79" s="30">
        <f t="shared" si="36"/>
        <v>31437927.890467897</v>
      </c>
      <c r="K79" s="30">
        <f t="shared" si="36"/>
        <v>34011866.822702222</v>
      </c>
      <c r="L79" s="30">
        <f t="shared" si="36"/>
        <v>36796543.614313096</v>
      </c>
      <c r="M79" s="30">
        <f t="shared" si="36"/>
        <v>39809212.149927869</v>
      </c>
    </row>
    <row r="80" spans="2:13" ht="19" x14ac:dyDescent="0.25">
      <c r="B80" s="2" t="s">
        <v>61</v>
      </c>
      <c r="C80" s="3">
        <v>2391760</v>
      </c>
      <c r="D80" s="3">
        <v>4302430</v>
      </c>
      <c r="E80" s="3">
        <v>4296750</v>
      </c>
      <c r="F80" s="3">
        <v>2512470</v>
      </c>
      <c r="G80" s="3">
        <v>4141595</v>
      </c>
      <c r="H80" s="30">
        <f t="shared" ref="H80:M80" si="37">H73*(1-H67)</f>
        <v>4032381.2275601416</v>
      </c>
      <c r="I80" s="30">
        <f t="shared" si="37"/>
        <v>4362527.1286319112</v>
      </c>
      <c r="J80" s="30">
        <f t="shared" si="37"/>
        <v>4719703.2904462786</v>
      </c>
      <c r="K80" s="30">
        <f t="shared" si="37"/>
        <v>5106122.7799940435</v>
      </c>
      <c r="L80" s="30">
        <f t="shared" si="37"/>
        <v>5524179.8562105792</v>
      </c>
      <c r="M80" s="30">
        <f t="shared" si="37"/>
        <v>5976464.8048275737</v>
      </c>
    </row>
    <row r="81" spans="2:13" ht="19" x14ac:dyDescent="0.25">
      <c r="B81" s="2" t="s">
        <v>62</v>
      </c>
      <c r="C81" s="3">
        <v>2459000</v>
      </c>
      <c r="D81" s="3">
        <v>4202000</v>
      </c>
      <c r="E81" s="3">
        <v>4169000</v>
      </c>
      <c r="F81" s="3">
        <v>2419000</v>
      </c>
      <c r="G81" s="3">
        <v>4246000</v>
      </c>
      <c r="H81" s="30">
        <f t="shared" ref="H81:M81" si="38">H41</f>
        <v>4158622.4807465617</v>
      </c>
      <c r="I81" s="30">
        <f t="shared" si="38"/>
        <v>4584280.3770898338</v>
      </c>
      <c r="J81" s="30">
        <f t="shared" si="38"/>
        <v>4991300.6841464303</v>
      </c>
      <c r="K81" s="30">
        <f t="shared" si="38"/>
        <v>5431645.2426674655</v>
      </c>
      <c r="L81" s="30">
        <f t="shared" si="38"/>
        <v>5908042.4318429083</v>
      </c>
      <c r="M81" s="30">
        <f t="shared" si="38"/>
        <v>6423444.0133147491</v>
      </c>
    </row>
    <row r="82" spans="2:13" ht="19" x14ac:dyDescent="0.25">
      <c r="B82" s="29" t="s">
        <v>63</v>
      </c>
      <c r="C82" s="8"/>
      <c r="D82" s="8"/>
      <c r="E82" s="8"/>
      <c r="F82" s="8"/>
      <c r="G82" s="8"/>
      <c r="H82" s="36"/>
      <c r="I82" s="36"/>
      <c r="J82" s="36"/>
      <c r="K82" s="36"/>
      <c r="L82" s="36"/>
      <c r="M82" s="36"/>
    </row>
    <row r="83" spans="2:13" ht="19" x14ac:dyDescent="0.25">
      <c r="B83" s="2" t="s">
        <v>64</v>
      </c>
      <c r="C83" s="3">
        <v>4712000</v>
      </c>
      <c r="D83" s="3">
        <v>5976000</v>
      </c>
      <c r="E83" s="3">
        <v>6931000</v>
      </c>
      <c r="F83" s="3">
        <v>6585000</v>
      </c>
      <c r="G83" s="3">
        <v>7184000</v>
      </c>
      <c r="H83" s="30">
        <f t="shared" ref="H83:M83" si="39">H71+H77</f>
        <v>7086768.7688276749</v>
      </c>
      <c r="I83" s="30">
        <f t="shared" si="39"/>
        <v>7666988.626236232</v>
      </c>
      <c r="J83" s="30">
        <f t="shared" si="39"/>
        <v>8294713.2201351468</v>
      </c>
      <c r="K83" s="30">
        <f t="shared" si="39"/>
        <v>8973831.9382456336</v>
      </c>
      <c r="L83" s="30">
        <f t="shared" si="39"/>
        <v>9708552.6067850441</v>
      </c>
      <c r="M83" s="30">
        <f t="shared" si="39"/>
        <v>10503427.5621992</v>
      </c>
    </row>
    <row r="84" spans="2:13" ht="19" x14ac:dyDescent="0.25">
      <c r="B84" s="2" t="s">
        <v>65</v>
      </c>
      <c r="C84" s="3">
        <v>3800000</v>
      </c>
      <c r="D84" s="3">
        <v>4787000</v>
      </c>
      <c r="E84" s="3">
        <v>5666000</v>
      </c>
      <c r="F84" s="3">
        <v>5268000</v>
      </c>
      <c r="G84" s="3">
        <v>6112000</v>
      </c>
      <c r="H84" s="30">
        <f t="shared" ref="H84:M84" si="40">H73+H77</f>
        <v>5927000.1809942573</v>
      </c>
      <c r="I84" s="30">
        <f t="shared" si="40"/>
        <v>6412265.5130598135</v>
      </c>
      <c r="J84" s="30">
        <f t="shared" si="40"/>
        <v>6937261.3049387243</v>
      </c>
      <c r="K84" s="30">
        <f t="shared" si="40"/>
        <v>7505240.4356904812</v>
      </c>
      <c r="L84" s="30">
        <f t="shared" si="40"/>
        <v>8119722.109562519</v>
      </c>
      <c r="M84" s="30">
        <f t="shared" si="40"/>
        <v>8784513.6610140912</v>
      </c>
    </row>
    <row r="85" spans="2:13" ht="19" x14ac:dyDescent="0.25">
      <c r="B85" s="2" t="s">
        <v>66</v>
      </c>
      <c r="C85" s="3">
        <v>4712000</v>
      </c>
      <c r="D85" s="3">
        <v>5976000</v>
      </c>
      <c r="E85" s="3">
        <v>6931000</v>
      </c>
      <c r="F85" s="3">
        <v>6585000</v>
      </c>
      <c r="G85" s="3">
        <v>7184000</v>
      </c>
      <c r="H85" s="30">
        <f t="shared" ref="H85:M85" si="41">H83</f>
        <v>7086768.7688276749</v>
      </c>
      <c r="I85" s="30">
        <f t="shared" si="41"/>
        <v>7666988.626236232</v>
      </c>
      <c r="J85" s="30">
        <f t="shared" si="41"/>
        <v>8294713.2201351468</v>
      </c>
      <c r="K85" s="30">
        <f t="shared" si="41"/>
        <v>8973831.9382456336</v>
      </c>
      <c r="L85" s="30">
        <f t="shared" si="41"/>
        <v>9708552.6067850441</v>
      </c>
      <c r="M85" s="30">
        <f t="shared" si="41"/>
        <v>10503427.5621992</v>
      </c>
    </row>
    <row r="86" spans="2:13" ht="19" x14ac:dyDescent="0.25">
      <c r="B86" s="2" t="s">
        <v>67</v>
      </c>
      <c r="C86" s="3">
        <v>3684000</v>
      </c>
      <c r="D86" s="3">
        <v>3870830</v>
      </c>
      <c r="E86" s="3">
        <v>5185160</v>
      </c>
      <c r="F86" s="3">
        <v>3693068</v>
      </c>
      <c r="G86" s="3">
        <v>4900690</v>
      </c>
      <c r="H86" s="30">
        <f t="shared" ref="H86:M86" si="42">H78+H80</f>
        <v>4855101.3736681435</v>
      </c>
      <c r="I86" s="30">
        <f t="shared" si="42"/>
        <v>5252606.4029171541</v>
      </c>
      <c r="J86" s="30">
        <f t="shared" si="42"/>
        <v>5682656.6327947769</v>
      </c>
      <c r="K86" s="30">
        <f t="shared" si="42"/>
        <v>6147916.6587300394</v>
      </c>
      <c r="L86" s="30">
        <f t="shared" si="42"/>
        <v>6651269.2363926182</v>
      </c>
      <c r="M86" s="30">
        <f t="shared" si="42"/>
        <v>7195833.1432751166</v>
      </c>
    </row>
    <row r="87" spans="2:13" ht="19" x14ac:dyDescent="0.25">
      <c r="B87" s="29" t="s">
        <v>68</v>
      </c>
      <c r="C87" s="8"/>
      <c r="D87" s="8"/>
      <c r="E87" s="8"/>
      <c r="F87" s="8"/>
      <c r="G87" s="8"/>
      <c r="H87" s="36"/>
      <c r="I87" s="36"/>
      <c r="J87" s="36"/>
      <c r="K87" s="36"/>
      <c r="L87" s="36"/>
      <c r="M87" s="36"/>
    </row>
    <row r="88" spans="2:13" ht="19" x14ac:dyDescent="0.25">
      <c r="B88" s="2" t="s">
        <v>69</v>
      </c>
      <c r="C88" s="3">
        <v>4593000</v>
      </c>
      <c r="D88" s="3">
        <v>6110000</v>
      </c>
      <c r="E88" s="3">
        <v>7094000</v>
      </c>
      <c r="F88" s="3">
        <v>6679000</v>
      </c>
      <c r="G88" s="3">
        <v>7573000</v>
      </c>
      <c r="H88" s="30">
        <f t="shared" ref="H88:M88" si="43">H71+H77+H75+H76</f>
        <v>7506619.9995103553</v>
      </c>
      <c r="I88" s="30">
        <f t="shared" si="43"/>
        <v>8174702.3921751184</v>
      </c>
      <c r="J88" s="30">
        <f t="shared" si="43"/>
        <v>8843995.3818389978</v>
      </c>
      <c r="K88" s="30">
        <f t="shared" si="43"/>
        <v>9568085.8533588443</v>
      </c>
      <c r="L88" s="30">
        <f t="shared" si="43"/>
        <v>10351460.278375838</v>
      </c>
      <c r="M88" s="30">
        <f t="shared" si="43"/>
        <v>11198972.452486631</v>
      </c>
    </row>
    <row r="89" spans="2:13" ht="19" x14ac:dyDescent="0.25">
      <c r="B89" s="2" t="s">
        <v>70</v>
      </c>
      <c r="C89" s="3">
        <v>3892000</v>
      </c>
      <c r="D89" s="3">
        <v>5371000</v>
      </c>
      <c r="E89" s="3">
        <v>6270000</v>
      </c>
      <c r="F89" s="3">
        <v>5833000</v>
      </c>
      <c r="G89" s="3">
        <v>6728000</v>
      </c>
      <c r="H89" s="30">
        <f>H73+H77+H75+H76</f>
        <v>6346851.4116769377</v>
      </c>
      <c r="I89" s="30">
        <f>I73+I77+I75+I76</f>
        <v>6919979.2789987</v>
      </c>
      <c r="J89" s="30">
        <f>J73+J77+J75+J76</f>
        <v>7486543.4666425763</v>
      </c>
      <c r="K89" s="30">
        <f>K73+K77+K75+K76</f>
        <v>8099494.3508036938</v>
      </c>
      <c r="L89" s="30">
        <f>L73+L77+L75+L76</f>
        <v>8762629.7811533138</v>
      </c>
      <c r="M89" s="30">
        <f>M73</f>
        <v>7565145.3225665484</v>
      </c>
    </row>
    <row r="90" spans="2:13" ht="19" x14ac:dyDescent="0.25">
      <c r="B90" s="2" t="s">
        <v>71</v>
      </c>
      <c r="C90" s="3">
        <v>3345000</v>
      </c>
      <c r="D90" s="3">
        <v>4605000</v>
      </c>
      <c r="E90" s="3">
        <v>5455000</v>
      </c>
      <c r="F90" s="3">
        <v>4782000</v>
      </c>
      <c r="G90" s="3">
        <v>5646000</v>
      </c>
      <c r="H90" s="30">
        <f t="shared" ref="H90:M90" si="44">H81+((H36*(1-H40/H39))+H140+(((H143*(1-H40/H39)))))</f>
        <v>5397818.6831654496</v>
      </c>
      <c r="I90" s="30">
        <f t="shared" si="44"/>
        <v>5898246.3482709816</v>
      </c>
      <c r="J90" s="30">
        <f t="shared" si="44"/>
        <v>6372116.262782705</v>
      </c>
      <c r="K90" s="30">
        <f t="shared" si="44"/>
        <v>6870368.4412332913</v>
      </c>
      <c r="L90" s="30">
        <f t="shared" si="44"/>
        <v>7428058.2314582989</v>
      </c>
      <c r="M90" s="30">
        <f t="shared" si="44"/>
        <v>8063976.5037079193</v>
      </c>
    </row>
    <row r="91" spans="2:13" ht="19" x14ac:dyDescent="0.25">
      <c r="B91" s="2" t="s">
        <v>72</v>
      </c>
      <c r="C91" s="7">
        <v>2.8101509999999998</v>
      </c>
      <c r="D91" s="7">
        <v>3.8812090000000001</v>
      </c>
      <c r="E91" s="7">
        <v>4.5902450000000004</v>
      </c>
      <c r="F91" s="7">
        <v>4.1303780000000003</v>
      </c>
      <c r="G91" s="7">
        <v>5.1106660000000002</v>
      </c>
      <c r="H91" s="34">
        <f t="shared" ref="H91:M91" si="45">H90/H49</f>
        <v>5.1067347995888834</v>
      </c>
      <c r="I91" s="34">
        <f t="shared" si="45"/>
        <v>5.857245628868899</v>
      </c>
      <c r="J91" s="34">
        <f t="shared" si="45"/>
        <v>6.6584286967426385</v>
      </c>
      <c r="K91" s="34">
        <f t="shared" si="45"/>
        <v>7.5748273883498252</v>
      </c>
      <c r="L91" s="34">
        <f t="shared" si="45"/>
        <v>8.6675125221217026</v>
      </c>
      <c r="M91" s="34">
        <f t="shared" si="45"/>
        <v>9.992535940158513</v>
      </c>
    </row>
    <row r="92" spans="2:13" ht="19" x14ac:dyDescent="0.25">
      <c r="B92" s="2"/>
      <c r="C92" s="7"/>
      <c r="D92" s="7"/>
      <c r="E92" s="7"/>
      <c r="F92" s="7"/>
      <c r="G92" s="7"/>
      <c r="H92" s="39"/>
      <c r="I92" s="39"/>
      <c r="J92" s="39"/>
      <c r="K92" s="39"/>
      <c r="L92" s="39"/>
      <c r="M92" s="39"/>
    </row>
    <row r="93" spans="2:13" ht="19" x14ac:dyDescent="0.25">
      <c r="B93" s="23" t="s">
        <v>428</v>
      </c>
      <c r="C93" s="24">
        <v>2019</v>
      </c>
      <c r="D93" s="24">
        <v>2020</v>
      </c>
      <c r="E93" s="24">
        <v>2021</v>
      </c>
      <c r="F93" s="24">
        <v>2022</v>
      </c>
      <c r="G93" s="24">
        <v>2023</v>
      </c>
      <c r="H93" s="24">
        <v>2024</v>
      </c>
      <c r="I93" s="24">
        <v>2025</v>
      </c>
      <c r="J93" s="24">
        <v>2026</v>
      </c>
      <c r="K93" s="24">
        <v>2027</v>
      </c>
      <c r="L93" s="24">
        <v>2028</v>
      </c>
      <c r="M93" s="24">
        <v>2029</v>
      </c>
    </row>
    <row r="94" spans="2:13" ht="19" x14ac:dyDescent="0.25">
      <c r="B94" s="2" t="s">
        <v>207</v>
      </c>
      <c r="C94" s="63"/>
      <c r="D94" s="63"/>
      <c r="E94" s="63"/>
      <c r="F94" s="63"/>
      <c r="G94" s="63"/>
      <c r="H94" s="76"/>
      <c r="I94" s="76"/>
      <c r="J94" s="76"/>
      <c r="K94" s="76"/>
      <c r="L94" s="76"/>
      <c r="M94" s="76"/>
    </row>
    <row r="95" spans="2:13" ht="19" x14ac:dyDescent="0.25">
      <c r="B95" s="67" t="s">
        <v>393</v>
      </c>
      <c r="C95" s="3">
        <v>7349000</v>
      </c>
      <c r="D95" s="3">
        <v>4794000</v>
      </c>
      <c r="E95" s="3">
        <v>5197000</v>
      </c>
      <c r="F95" s="3">
        <v>7776000</v>
      </c>
      <c r="G95" s="3">
        <v>9081000</v>
      </c>
      <c r="H95" s="30">
        <f t="shared" ref="H95:M95" si="46">H124+H132-(H96+H97+H99+H100+H101+H102+H105+H106+H107+H109+H110)</f>
        <v>11158839.974829763</v>
      </c>
      <c r="I95" s="30">
        <f t="shared" si="46"/>
        <v>13388406.923515141</v>
      </c>
      <c r="J95" s="30">
        <f t="shared" si="46"/>
        <v>15975515.061607257</v>
      </c>
      <c r="K95" s="30">
        <f t="shared" si="46"/>
        <v>18313375.156638235</v>
      </c>
      <c r="L95" s="30">
        <f t="shared" si="46"/>
        <v>21696981.816094026</v>
      </c>
      <c r="M95" s="30">
        <f t="shared" si="46"/>
        <v>24687338.537477583</v>
      </c>
    </row>
    <row r="96" spans="2:13" ht="19" x14ac:dyDescent="0.25">
      <c r="B96" s="67" t="s">
        <v>156</v>
      </c>
      <c r="C96" s="70">
        <f>'Balance Sheet'!C9</f>
        <v>3412000</v>
      </c>
      <c r="D96" s="70">
        <f>'Balance Sheet'!D9</f>
        <v>8289000</v>
      </c>
      <c r="E96" s="70">
        <f>'Balance Sheet'!E9</f>
        <v>4194000</v>
      </c>
      <c r="F96" s="70">
        <f>'Balance Sheet'!F9</f>
        <v>3075000</v>
      </c>
      <c r="G96" s="70">
        <f>'Balance Sheet'!G9</f>
        <v>4976000</v>
      </c>
      <c r="H96" s="33">
        <f t="shared" ref="H96:M96" si="47">G96</f>
        <v>4976000</v>
      </c>
      <c r="I96" s="33">
        <f t="shared" si="47"/>
        <v>4976000</v>
      </c>
      <c r="J96" s="33">
        <f t="shared" si="47"/>
        <v>4976000</v>
      </c>
      <c r="K96" s="33">
        <f t="shared" si="47"/>
        <v>4976000</v>
      </c>
      <c r="L96" s="33">
        <f t="shared" si="47"/>
        <v>4976000</v>
      </c>
      <c r="M96" s="33">
        <f t="shared" si="47"/>
        <v>4976000</v>
      </c>
    </row>
    <row r="97" spans="2:13" ht="19" x14ac:dyDescent="0.25">
      <c r="B97" s="67" t="s">
        <v>394</v>
      </c>
      <c r="C97" s="70">
        <f>'Balance Sheet'!C17</f>
        <v>800000</v>
      </c>
      <c r="D97" s="70">
        <f>'Balance Sheet'!D17</f>
        <v>1148000</v>
      </c>
      <c r="E97" s="70">
        <f>'Balance Sheet'!E17</f>
        <v>1287000</v>
      </c>
      <c r="F97" s="70">
        <f>'Balance Sheet'!F17</f>
        <v>1898000</v>
      </c>
      <c r="G97" s="70">
        <f>'Balance Sheet'!G17</f>
        <v>2509000</v>
      </c>
      <c r="H97" s="33">
        <f t="shared" ref="H97:M97" si="48">(H98*H5)/365</f>
        <v>2470786.0805430468</v>
      </c>
      <c r="I97" s="33">
        <f t="shared" si="48"/>
        <v>2959479.6970804287</v>
      </c>
      <c r="J97" s="33">
        <f t="shared" si="48"/>
        <v>3098499.8697080887</v>
      </c>
      <c r="K97" s="33">
        <f t="shared" si="48"/>
        <v>3687404.0113085057</v>
      </c>
      <c r="L97" s="33">
        <f t="shared" si="48"/>
        <v>3868417.3161162795</v>
      </c>
      <c r="M97" s="33">
        <f t="shared" si="48"/>
        <v>4185138.887931454</v>
      </c>
    </row>
    <row r="98" spans="2:13" ht="19" x14ac:dyDescent="0.25">
      <c r="B98" s="68" t="s">
        <v>395</v>
      </c>
      <c r="C98" s="71">
        <f>(C97/C4)*365</f>
        <v>16.430339860454648</v>
      </c>
      <c r="D98" s="71">
        <f>(D97/D4)*365</f>
        <v>19.531089773468818</v>
      </c>
      <c r="E98" s="71">
        <f>(E97/E4)*365</f>
        <v>18.515431003902091</v>
      </c>
      <c r="F98" s="71">
        <f>(F97/F4)*365</f>
        <v>25.175158078348719</v>
      </c>
      <c r="G98" s="71">
        <f>(G97/G4)*365</f>
        <v>30.760975445903735</v>
      </c>
      <c r="H98" s="33">
        <v>28</v>
      </c>
      <c r="I98" s="33">
        <v>31</v>
      </c>
      <c r="J98" s="33">
        <v>30</v>
      </c>
      <c r="K98" s="33">
        <v>33</v>
      </c>
      <c r="L98" s="33">
        <v>32</v>
      </c>
      <c r="M98" s="33">
        <v>32</v>
      </c>
    </row>
    <row r="99" spans="2:13" ht="19" x14ac:dyDescent="0.25">
      <c r="B99" s="67" t="s">
        <v>396</v>
      </c>
      <c r="C99" s="70">
        <v>0</v>
      </c>
      <c r="D99" s="70">
        <v>0</v>
      </c>
      <c r="E99" s="70">
        <v>0</v>
      </c>
      <c r="F99" s="70">
        <v>0</v>
      </c>
      <c r="G99" s="70">
        <v>0</v>
      </c>
      <c r="H99" s="33">
        <v>0</v>
      </c>
      <c r="I99" s="33">
        <v>0</v>
      </c>
      <c r="J99" s="33">
        <v>0</v>
      </c>
      <c r="K99" s="33">
        <v>0</v>
      </c>
      <c r="L99" s="33">
        <v>0</v>
      </c>
      <c r="M99" s="33">
        <v>0</v>
      </c>
    </row>
    <row r="100" spans="2:13" ht="19" x14ac:dyDescent="0.25">
      <c r="B100" s="68" t="s">
        <v>397</v>
      </c>
      <c r="C100" s="70">
        <v>0</v>
      </c>
      <c r="D100" s="70">
        <v>0</v>
      </c>
      <c r="E100" s="70">
        <v>0</v>
      </c>
      <c r="F100" s="70">
        <v>0</v>
      </c>
      <c r="G100" s="70">
        <v>0</v>
      </c>
      <c r="H100" s="33">
        <v>0</v>
      </c>
      <c r="I100" s="33">
        <v>0</v>
      </c>
      <c r="J100" s="33">
        <v>0</v>
      </c>
      <c r="K100" s="33">
        <v>0</v>
      </c>
      <c r="L100" s="33">
        <v>0</v>
      </c>
      <c r="M100" s="33">
        <v>0</v>
      </c>
    </row>
    <row r="101" spans="2:13" ht="19" x14ac:dyDescent="0.25">
      <c r="B101" s="67" t="s">
        <v>398</v>
      </c>
      <c r="C101" s="70">
        <v>0</v>
      </c>
      <c r="D101" s="70">
        <v>0</v>
      </c>
      <c r="E101" s="70">
        <v>0</v>
      </c>
      <c r="F101" s="70">
        <v>0</v>
      </c>
      <c r="G101" s="70">
        <v>0</v>
      </c>
      <c r="H101" s="33">
        <v>0</v>
      </c>
      <c r="I101" s="33">
        <v>0</v>
      </c>
      <c r="J101" s="33">
        <v>0</v>
      </c>
      <c r="K101" s="33">
        <v>0</v>
      </c>
      <c r="L101" s="33">
        <v>0</v>
      </c>
      <c r="M101" s="33">
        <v>0</v>
      </c>
    </row>
    <row r="102" spans="2:13" ht="19" x14ac:dyDescent="0.25">
      <c r="B102" s="67" t="s">
        <v>399</v>
      </c>
      <c r="C102" s="70">
        <f>'Balance Sheet'!C13+'Balance Sheet'!C14+'Balance Sheet'!C11</f>
        <v>26934000</v>
      </c>
      <c r="D102" s="70">
        <f>'Balance Sheet'!D13+'Balance Sheet'!D14+'Balance Sheet'!D11</f>
        <v>36764000</v>
      </c>
      <c r="E102" s="70">
        <f>'Balance Sheet'!E13+'Balance Sheet'!E14+'Balance Sheet'!E11</f>
        <v>41896000</v>
      </c>
      <c r="F102" s="70">
        <f>'Balance Sheet'!F13+'Balance Sheet'!F14+'Balance Sheet'!F11</f>
        <v>44675000</v>
      </c>
      <c r="G102" s="70">
        <f>'Balance Sheet'!G13+'Balance Sheet'!G14+'Balance Sheet'!G11</f>
        <v>46003000</v>
      </c>
      <c r="H102" s="33">
        <f t="shared" ref="H102:M102" si="49">G102*1.1</f>
        <v>50603300.000000007</v>
      </c>
      <c r="I102" s="33">
        <f t="shared" si="49"/>
        <v>55663630.000000015</v>
      </c>
      <c r="J102" s="33">
        <f t="shared" si="49"/>
        <v>61229993.000000022</v>
      </c>
      <c r="K102" s="33">
        <f t="shared" si="49"/>
        <v>67352992.300000027</v>
      </c>
      <c r="L102" s="33">
        <f t="shared" si="49"/>
        <v>74088291.530000031</v>
      </c>
      <c r="M102" s="33">
        <f t="shared" si="49"/>
        <v>81497120.683000043</v>
      </c>
    </row>
    <row r="103" spans="2:13" ht="19" x14ac:dyDescent="0.25">
      <c r="B103" s="66" t="s">
        <v>400</v>
      </c>
      <c r="C103" s="138">
        <f t="shared" ref="C103:M103" si="50">SUM(C95,C102,C96,C97,C100)</f>
        <v>38495000</v>
      </c>
      <c r="D103" s="138">
        <f t="shared" si="50"/>
        <v>50995000</v>
      </c>
      <c r="E103" s="138">
        <f t="shared" si="50"/>
        <v>52574000</v>
      </c>
      <c r="F103" s="138">
        <f t="shared" si="50"/>
        <v>57424000</v>
      </c>
      <c r="G103" s="138">
        <f t="shared" si="50"/>
        <v>62569000</v>
      </c>
      <c r="H103" s="135">
        <f t="shared" si="50"/>
        <v>69208926.055372819</v>
      </c>
      <c r="I103" s="135">
        <f t="shared" si="50"/>
        <v>76987516.620595589</v>
      </c>
      <c r="J103" s="135">
        <f t="shared" si="50"/>
        <v>85280007.931315362</v>
      </c>
      <c r="K103" s="135">
        <f t="shared" si="50"/>
        <v>94329771.467946768</v>
      </c>
      <c r="L103" s="135">
        <f t="shared" si="50"/>
        <v>104629690.66221033</v>
      </c>
      <c r="M103" s="135">
        <f t="shared" si="50"/>
        <v>115345598.10840908</v>
      </c>
    </row>
    <row r="104" spans="2:13" ht="19" x14ac:dyDescent="0.25">
      <c r="B104" s="64"/>
      <c r="C104" s="63"/>
      <c r="D104" s="63"/>
      <c r="E104" s="63"/>
      <c r="F104" s="63"/>
      <c r="G104" s="63"/>
      <c r="H104" s="76"/>
      <c r="I104" s="76"/>
      <c r="J104" s="76"/>
      <c r="K104" s="76"/>
      <c r="L104" s="76"/>
      <c r="M104" s="76"/>
    </row>
    <row r="105" spans="2:13" ht="19" x14ac:dyDescent="0.25">
      <c r="B105" s="67" t="s">
        <v>401</v>
      </c>
      <c r="C105" s="73">
        <f>'Balance Sheet'!C31+'Balance Sheet'!C34</f>
        <v>1693000</v>
      </c>
      <c r="D105" s="73">
        <f>'Balance Sheet'!D31+'Balance Sheet'!D34</f>
        <v>1807000</v>
      </c>
      <c r="E105" s="73">
        <f>'Balance Sheet'!E31+'Balance Sheet'!E34</f>
        <v>1909000</v>
      </c>
      <c r="F105" s="73">
        <f>'Balance Sheet'!F31+'Balance Sheet'!F34</f>
        <v>1730000</v>
      </c>
      <c r="G105" s="73">
        <f>'Balance Sheet'!G31+'Balance Sheet'!G34</f>
        <v>1488000</v>
      </c>
      <c r="H105" s="82">
        <f t="shared" ref="H105:M105" si="51">G105-H140-H160-H163*H165</f>
        <v>1571197.1680718076</v>
      </c>
      <c r="I105" s="82">
        <f t="shared" si="51"/>
        <v>1661205.9946822366</v>
      </c>
      <c r="J105" s="82">
        <f t="shared" si="51"/>
        <v>1758584.1754010052</v>
      </c>
      <c r="K105" s="82">
        <f t="shared" si="51"/>
        <v>1863935.0663879397</v>
      </c>
      <c r="L105" s="82">
        <f t="shared" si="51"/>
        <v>1977911.4227936389</v>
      </c>
      <c r="M105" s="82">
        <f t="shared" si="51"/>
        <v>2101219.4432367692</v>
      </c>
    </row>
    <row r="106" spans="2:13" ht="19" x14ac:dyDescent="0.25">
      <c r="B106" s="67" t="s">
        <v>402</v>
      </c>
      <c r="C106" s="73">
        <f>'Balance Sheet'!C38</f>
        <v>6212000</v>
      </c>
      <c r="D106" s="73">
        <f>'Balance Sheet'!D38</f>
        <v>9135000</v>
      </c>
      <c r="E106" s="73">
        <f>'Balance Sheet'!E38</f>
        <v>11454000</v>
      </c>
      <c r="F106" s="73">
        <f>'Balance Sheet'!F38</f>
        <v>11209000</v>
      </c>
      <c r="G106" s="73">
        <f>'Balance Sheet'!G38</f>
        <v>11026000</v>
      </c>
      <c r="H106" s="82">
        <f t="shared" ref="H106:M106" si="52">G106-H163*H168</f>
        <v>11026000</v>
      </c>
      <c r="I106" s="82">
        <f t="shared" si="52"/>
        <v>11026000</v>
      </c>
      <c r="J106" s="82">
        <f t="shared" si="52"/>
        <v>11026000</v>
      </c>
      <c r="K106" s="82">
        <f t="shared" si="52"/>
        <v>11026350</v>
      </c>
      <c r="L106" s="82">
        <f t="shared" si="52"/>
        <v>11026700</v>
      </c>
      <c r="M106" s="82">
        <f t="shared" si="52"/>
        <v>11027050</v>
      </c>
    </row>
    <row r="107" spans="2:13" ht="19" x14ac:dyDescent="0.25">
      <c r="B107" s="67" t="s">
        <v>403</v>
      </c>
      <c r="C107" s="73">
        <f>'Balance Sheet'!C43+'Balance Sheet'!C53</f>
        <v>778000</v>
      </c>
      <c r="D107" s="73">
        <f>'Balance Sheet'!D43+'Balance Sheet'!D53</f>
        <v>1048000</v>
      </c>
      <c r="E107" s="73">
        <f>'Balance Sheet'!E43+'Balance Sheet'!E53</f>
        <v>1332000</v>
      </c>
      <c r="F107" s="73">
        <f>'Balance Sheet'!F43+'Balance Sheet'!F53</f>
        <v>788000</v>
      </c>
      <c r="G107" s="73">
        <f>'Balance Sheet'!G43+'Balance Sheet'!G53</f>
        <v>537000</v>
      </c>
      <c r="H107" s="82">
        <f t="shared" ref="H107:M107" si="53">G107-H143-H147-H163*H166</f>
        <v>323000</v>
      </c>
      <c r="I107" s="82">
        <f t="shared" si="53"/>
        <v>127000</v>
      </c>
      <c r="J107" s="82">
        <f t="shared" si="53"/>
        <v>-33000</v>
      </c>
      <c r="K107" s="82">
        <f t="shared" si="53"/>
        <v>-135900</v>
      </c>
      <c r="L107" s="82">
        <f t="shared" si="53"/>
        <v>-200800</v>
      </c>
      <c r="M107" s="82">
        <f t="shared" si="53"/>
        <v>-265700</v>
      </c>
    </row>
    <row r="108" spans="2:13" ht="19" x14ac:dyDescent="0.25">
      <c r="B108" s="67" t="s">
        <v>404</v>
      </c>
      <c r="C108" s="72"/>
      <c r="D108" s="72"/>
      <c r="E108" s="72"/>
      <c r="F108" s="72"/>
      <c r="G108" s="72"/>
      <c r="H108" s="77"/>
      <c r="I108" s="77"/>
      <c r="J108" s="77"/>
      <c r="K108" s="77"/>
      <c r="L108" s="77"/>
      <c r="M108" s="77"/>
    </row>
    <row r="109" spans="2:13" ht="19" x14ac:dyDescent="0.25">
      <c r="B109" s="67" t="s">
        <v>405</v>
      </c>
      <c r="C109" s="73">
        <f>'Balance Sheet'!C63</f>
        <v>1292000</v>
      </c>
      <c r="D109" s="73">
        <f>'Balance Sheet'!D63</f>
        <v>1305000</v>
      </c>
      <c r="E109" s="73">
        <f>'Balance Sheet'!E63</f>
        <v>1737000</v>
      </c>
      <c r="F109" s="73">
        <f>'Balance Sheet'!F63</f>
        <v>2455000</v>
      </c>
      <c r="G109" s="73">
        <f>'Balance Sheet'!G63</f>
        <v>3273000</v>
      </c>
      <c r="H109" s="82">
        <f>G109*(1+Assumptions!$F$32)</f>
        <v>3330375.8993504415</v>
      </c>
      <c r="I109" s="82">
        <f>H109*(1+Assumptions!$F$32)</f>
        <v>3388757.6018864228</v>
      </c>
      <c r="J109" s="82">
        <f>I109*(1+Assumptions!$F$32)</f>
        <v>3448162.7394021205</v>
      </c>
      <c r="K109" s="82">
        <f>J109*(1+Assumptions!$F$32)</f>
        <v>3508609.2527781907</v>
      </c>
      <c r="L109" s="82">
        <f>K109*(1+Assumptions!$F$32)</f>
        <v>3570115.3974000756</v>
      </c>
      <c r="M109" s="82">
        <f>L109*(1+Assumptions!$F$32)</f>
        <v>3632699.7486712909</v>
      </c>
    </row>
    <row r="110" spans="2:13" ht="19" x14ac:dyDescent="0.25">
      <c r="B110" s="67" t="s">
        <v>406</v>
      </c>
      <c r="C110" s="73">
        <f>'Balance Sheet'!C62</f>
        <v>2863000</v>
      </c>
      <c r="D110" s="73">
        <f>'Balance Sheet'!D62</f>
        <v>6089000</v>
      </c>
      <c r="E110" s="73">
        <f>'Balance Sheet'!E62</f>
        <v>6797000</v>
      </c>
      <c r="F110" s="73">
        <f>'Balance Sheet'!F62</f>
        <v>5018000</v>
      </c>
      <c r="G110" s="73">
        <f>'Balance Sheet'!G62</f>
        <v>3273000</v>
      </c>
      <c r="H110" s="82">
        <f t="shared" ref="H110:M110" si="54">G110</f>
        <v>3273000</v>
      </c>
      <c r="I110" s="82">
        <f t="shared" si="54"/>
        <v>3273000</v>
      </c>
      <c r="J110" s="82">
        <f t="shared" si="54"/>
        <v>3273000</v>
      </c>
      <c r="K110" s="82">
        <f t="shared" si="54"/>
        <v>3273000</v>
      </c>
      <c r="L110" s="82">
        <f t="shared" si="54"/>
        <v>3273000</v>
      </c>
      <c r="M110" s="82">
        <f t="shared" si="54"/>
        <v>3273000</v>
      </c>
    </row>
    <row r="111" spans="2:13" ht="19" x14ac:dyDescent="0.25">
      <c r="B111" s="66" t="s">
        <v>407</v>
      </c>
      <c r="C111" s="137">
        <f t="shared" ref="C111:M111" si="55">C103+C105+C106+C107+C109+C110</f>
        <v>51333000</v>
      </c>
      <c r="D111" s="137">
        <f t="shared" si="55"/>
        <v>70379000</v>
      </c>
      <c r="E111" s="137">
        <f t="shared" si="55"/>
        <v>75803000</v>
      </c>
      <c r="F111" s="137">
        <f t="shared" si="55"/>
        <v>78624000</v>
      </c>
      <c r="G111" s="137">
        <f t="shared" si="55"/>
        <v>82166000</v>
      </c>
      <c r="H111" s="136">
        <f t="shared" si="55"/>
        <v>88732499.12279506</v>
      </c>
      <c r="I111" s="136">
        <f t="shared" si="55"/>
        <v>96463480.217164248</v>
      </c>
      <c r="J111" s="136">
        <f t="shared" si="55"/>
        <v>104752754.84611848</v>
      </c>
      <c r="K111" s="136">
        <f t="shared" si="55"/>
        <v>113865765.78711289</v>
      </c>
      <c r="L111" s="136">
        <f t="shared" si="55"/>
        <v>124276617.48240405</v>
      </c>
      <c r="M111" s="136">
        <f t="shared" si="55"/>
        <v>135113867.30031714</v>
      </c>
    </row>
    <row r="112" spans="2:13" ht="19" x14ac:dyDescent="0.25">
      <c r="B112" s="64"/>
      <c r="C112" s="72"/>
      <c r="D112" s="72"/>
      <c r="E112" s="72"/>
      <c r="F112" s="72"/>
      <c r="G112" s="72"/>
      <c r="H112" s="76"/>
      <c r="I112" s="76"/>
      <c r="J112" s="76"/>
      <c r="K112" s="76"/>
      <c r="L112" s="76"/>
      <c r="M112" s="76"/>
    </row>
    <row r="113" spans="2:13" ht="19" x14ac:dyDescent="0.25">
      <c r="B113" s="67" t="s">
        <v>408</v>
      </c>
      <c r="C113" s="73">
        <f>'Balance Sheet'!C75</f>
        <v>2087000</v>
      </c>
      <c r="D113" s="73">
        <f>'Balance Sheet'!D75</f>
        <v>2648000</v>
      </c>
      <c r="E113" s="73">
        <f>'Balance Sheet'!E75</f>
        <v>3755000</v>
      </c>
      <c r="F113" s="73">
        <f>'Balance Sheet'!F75</f>
        <v>4868000</v>
      </c>
      <c r="G113" s="73">
        <f>'Balance Sheet'!G75</f>
        <v>6392000</v>
      </c>
      <c r="H113" s="82">
        <f t="shared" ref="H113:M113" si="56">H114*H7/365</f>
        <v>6667246.642048493</v>
      </c>
      <c r="I113" s="82">
        <f>I114*I7/365</f>
        <v>7470730.0593278492</v>
      </c>
      <c r="J113" s="82">
        <f t="shared" si="56"/>
        <v>8193867.4311356451</v>
      </c>
      <c r="K113" s="82">
        <f t="shared" si="56"/>
        <v>9045642.3807325866</v>
      </c>
      <c r="L113" s="82">
        <f t="shared" si="56"/>
        <v>10438658.596963532</v>
      </c>
      <c r="M113" s="82">
        <f t="shared" si="56"/>
        <v>11434476.393772397</v>
      </c>
    </row>
    <row r="114" spans="2:13" ht="19" x14ac:dyDescent="0.25">
      <c r="B114" s="68" t="s">
        <v>409</v>
      </c>
      <c r="C114" s="73">
        <f>(C113/C8)*365</f>
        <v>93.23806609547124</v>
      </c>
      <c r="D114" s="73">
        <f>(D113/D8)*365</f>
        <v>99.898708010335909</v>
      </c>
      <c r="E114" s="73">
        <f>(E113/E8)*365</f>
        <v>120.49010989010989</v>
      </c>
      <c r="F114" s="73">
        <f>(F113/F8)*365</f>
        <v>129.27028010185523</v>
      </c>
      <c r="G114" s="73">
        <f>(G113/G8)*365</f>
        <v>145.20943548889028</v>
      </c>
      <c r="H114" s="82">
        <v>140</v>
      </c>
      <c r="I114" s="82">
        <v>145</v>
      </c>
      <c r="J114" s="82">
        <v>147</v>
      </c>
      <c r="K114" s="82">
        <v>150</v>
      </c>
      <c r="L114" s="82">
        <v>160</v>
      </c>
      <c r="M114" s="82">
        <v>162</v>
      </c>
    </row>
    <row r="115" spans="2:13" ht="19" x14ac:dyDescent="0.25">
      <c r="B115" s="67" t="s">
        <v>410</v>
      </c>
      <c r="C115" s="81"/>
      <c r="D115" s="74"/>
      <c r="E115" s="74"/>
      <c r="F115" s="74"/>
      <c r="G115" s="74"/>
      <c r="H115" s="82"/>
      <c r="I115" s="82"/>
      <c r="J115" s="82"/>
      <c r="K115" s="82"/>
      <c r="L115" s="82"/>
      <c r="M115" s="82"/>
    </row>
    <row r="116" spans="2:13" ht="19" x14ac:dyDescent="0.25">
      <c r="B116" s="67" t="s">
        <v>411</v>
      </c>
      <c r="C116" s="73"/>
      <c r="D116" s="73"/>
      <c r="E116" s="73"/>
      <c r="F116" s="73">
        <f>'Balance Sheet'!F72</f>
        <v>0</v>
      </c>
      <c r="G116" s="73">
        <f>'Balance Sheet'!G72</f>
        <v>0</v>
      </c>
      <c r="H116" s="82">
        <f>'Balance Sheet'!H95</f>
        <v>0</v>
      </c>
      <c r="I116" s="82">
        <f>'Balance Sheet'!I95</f>
        <v>0</v>
      </c>
      <c r="J116" s="82">
        <f>'Balance Sheet'!J95</f>
        <v>0</v>
      </c>
      <c r="K116" s="82">
        <f>'Balance Sheet'!K95</f>
        <v>0</v>
      </c>
      <c r="L116" s="82">
        <f>'Balance Sheet'!L95</f>
        <v>0</v>
      </c>
      <c r="M116" s="82">
        <f>'Balance Sheet'!M95</f>
        <v>0</v>
      </c>
    </row>
    <row r="117" spans="2:13" ht="19" x14ac:dyDescent="0.25">
      <c r="B117" s="67" t="s">
        <v>412</v>
      </c>
      <c r="C117" s="73">
        <f>'Balance Sheet'!C74</f>
        <v>24832000</v>
      </c>
      <c r="D117" s="73">
        <f>'Balance Sheet'!D74</f>
        <v>35799000</v>
      </c>
      <c r="E117" s="73">
        <f>'Balance Sheet'!E74</f>
        <v>39274000</v>
      </c>
      <c r="F117" s="73">
        <f>'Balance Sheet'!F74</f>
        <v>40140000</v>
      </c>
      <c r="G117" s="73">
        <f>'Balance Sheet'!G74</f>
        <v>42074000</v>
      </c>
      <c r="H117" s="82">
        <f>G117*(1+Assumptions!$F$25)</f>
        <v>46281400.000000007</v>
      </c>
      <c r="I117" s="82">
        <f>H117*(1+Assumptions!$F$25)</f>
        <v>50909540.000000015</v>
      </c>
      <c r="J117" s="82">
        <f>I117*(1+Assumptions!$F$25)</f>
        <v>56000494.000000022</v>
      </c>
      <c r="K117" s="82">
        <f>J117*(1+Assumptions!$F$25)</f>
        <v>61600543.400000028</v>
      </c>
      <c r="L117" s="82">
        <f>K117*(1+Assumptions!$F$25)</f>
        <v>67760597.740000039</v>
      </c>
      <c r="M117" s="82">
        <f>L117*(1+Assumptions!$F$25)</f>
        <v>74536657.514000043</v>
      </c>
    </row>
    <row r="118" spans="2:13" ht="19" x14ac:dyDescent="0.25">
      <c r="B118" s="66" t="s">
        <v>413</v>
      </c>
      <c r="C118" s="78">
        <f t="shared" ref="C118:M118" si="57">SUM(C113,C117,C116)</f>
        <v>26919000</v>
      </c>
      <c r="D118" s="78">
        <f t="shared" si="57"/>
        <v>38447000</v>
      </c>
      <c r="E118" s="78">
        <f t="shared" si="57"/>
        <v>43029000</v>
      </c>
      <c r="F118" s="78">
        <f t="shared" si="57"/>
        <v>45008000</v>
      </c>
      <c r="G118" s="78">
        <f t="shared" si="57"/>
        <v>48466000</v>
      </c>
      <c r="H118" s="79">
        <f t="shared" si="57"/>
        <v>52948646.6420485</v>
      </c>
      <c r="I118" s="79">
        <f t="shared" si="57"/>
        <v>58380270.059327863</v>
      </c>
      <c r="J118" s="79">
        <f t="shared" si="57"/>
        <v>64194361.431135669</v>
      </c>
      <c r="K118" s="79">
        <f t="shared" si="57"/>
        <v>70646185.780732617</v>
      </c>
      <c r="L118" s="79">
        <f t="shared" si="57"/>
        <v>78199256.336963564</v>
      </c>
      <c r="M118" s="79">
        <f t="shared" si="57"/>
        <v>85971133.907772437</v>
      </c>
    </row>
    <row r="119" spans="2:13" ht="19" x14ac:dyDescent="0.25">
      <c r="B119" s="64"/>
      <c r="C119" s="63"/>
      <c r="D119" s="63"/>
      <c r="E119" s="63"/>
      <c r="F119" s="63"/>
      <c r="G119" s="63"/>
      <c r="H119" s="76"/>
      <c r="I119" s="76"/>
      <c r="J119" s="76"/>
      <c r="K119" s="76"/>
      <c r="L119" s="76"/>
      <c r="M119" s="76"/>
    </row>
    <row r="120" spans="2:13" ht="19" x14ac:dyDescent="0.25">
      <c r="B120" s="67" t="s">
        <v>414</v>
      </c>
      <c r="C120" s="73">
        <f>'Balance Sheet'!C92</f>
        <v>4965000</v>
      </c>
      <c r="D120" s="73">
        <f>'Balance Sheet'!D92</f>
        <v>8939000</v>
      </c>
      <c r="E120" s="73">
        <f>'Balance Sheet'!E92</f>
        <v>8049000</v>
      </c>
      <c r="F120" s="73">
        <f>'Balance Sheet'!F92</f>
        <v>10417000</v>
      </c>
      <c r="G120" s="73">
        <f>'Balance Sheet'!G92</f>
        <v>9676000</v>
      </c>
      <c r="H120" s="82">
        <f t="shared" ref="H120:M120" si="58">G120</f>
        <v>9676000</v>
      </c>
      <c r="I120" s="82">
        <f t="shared" si="58"/>
        <v>9676000</v>
      </c>
      <c r="J120" s="82">
        <f t="shared" si="58"/>
        <v>9676000</v>
      </c>
      <c r="K120" s="82">
        <f t="shared" si="58"/>
        <v>9676000</v>
      </c>
      <c r="L120" s="82">
        <f t="shared" si="58"/>
        <v>9676000</v>
      </c>
      <c r="M120" s="82">
        <f t="shared" si="58"/>
        <v>9676000</v>
      </c>
    </row>
    <row r="121" spans="2:13" ht="19" x14ac:dyDescent="0.25">
      <c r="B121" s="67" t="s">
        <v>415</v>
      </c>
      <c r="C121" s="73">
        <f>'Balance Sheet'!C95</f>
        <v>2520000</v>
      </c>
      <c r="D121" s="73">
        <f>'Balance Sheet'!D95</f>
        <v>2930000</v>
      </c>
      <c r="E121" s="73">
        <f>'Balance Sheet'!E95</f>
        <v>2998000</v>
      </c>
      <c r="F121" s="73">
        <f>'Balance Sheet'!F95</f>
        <v>0</v>
      </c>
      <c r="G121" s="73">
        <f>'Balance Sheet'!G95</f>
        <v>0</v>
      </c>
      <c r="H121" s="83"/>
      <c r="I121" s="83"/>
      <c r="J121" s="83"/>
      <c r="K121" s="76"/>
      <c r="L121" s="76"/>
      <c r="M121" s="76"/>
    </row>
    <row r="122" spans="2:13" ht="19" x14ac:dyDescent="0.25">
      <c r="B122" s="67" t="s">
        <v>416</v>
      </c>
      <c r="C122" s="73">
        <f>'Balance Sheet'!C96</f>
        <v>0</v>
      </c>
      <c r="D122" s="73">
        <f>'Balance Sheet'!D96</f>
        <v>0</v>
      </c>
      <c r="E122" s="73">
        <f>'Balance Sheet'!E96</f>
        <v>0</v>
      </c>
      <c r="F122" s="73">
        <f>'Balance Sheet'!F96</f>
        <v>2925000</v>
      </c>
      <c r="G122" s="73">
        <f>'Balance Sheet'!G96</f>
        <v>2973000</v>
      </c>
      <c r="H122" s="82">
        <f>G122*(1+Assumptions!$F$33)</f>
        <v>3002730</v>
      </c>
      <c r="I122" s="82">
        <f>H122*(1+Assumptions!$F$33)</f>
        <v>3032757.3</v>
      </c>
      <c r="J122" s="82">
        <f>I122*(1+Assumptions!$F$33)</f>
        <v>3063084.8729999997</v>
      </c>
      <c r="K122" s="82">
        <f>J122*(1+Assumptions!$F$33)</f>
        <v>3093715.7217299999</v>
      </c>
      <c r="L122" s="82">
        <f>K122*(1+Assumptions!$F$33)</f>
        <v>3124652.8789472999</v>
      </c>
      <c r="M122" s="82">
        <f>L122*(1+Assumptions!$F$33)</f>
        <v>3155899.4077367731</v>
      </c>
    </row>
    <row r="123" spans="2:13" ht="19" x14ac:dyDescent="0.25">
      <c r="B123" s="67" t="s">
        <v>417</v>
      </c>
      <c r="C123" s="74"/>
      <c r="D123" s="74"/>
      <c r="E123" s="74"/>
      <c r="F123" s="74"/>
      <c r="G123" s="74"/>
      <c r="H123" s="83"/>
      <c r="I123" s="83"/>
      <c r="J123" s="83"/>
      <c r="K123" s="76"/>
      <c r="L123" s="76"/>
      <c r="M123" s="76"/>
    </row>
    <row r="124" spans="2:13" ht="19" x14ac:dyDescent="0.25">
      <c r="B124" s="66" t="s">
        <v>418</v>
      </c>
      <c r="C124" s="78">
        <f>SUM(C118:C123)</f>
        <v>34404000</v>
      </c>
      <c r="D124" s="78">
        <f t="shared" ref="D124:L124" si="59">SUM(D118:D123)</f>
        <v>50316000</v>
      </c>
      <c r="E124" s="78">
        <f>SUM(E118:E123)</f>
        <v>54076000</v>
      </c>
      <c r="F124" s="78">
        <f t="shared" si="59"/>
        <v>58350000</v>
      </c>
      <c r="G124" s="78">
        <f t="shared" si="59"/>
        <v>61115000</v>
      </c>
      <c r="H124" s="79">
        <f t="shared" si="59"/>
        <v>65627376.6420485</v>
      </c>
      <c r="I124" s="79">
        <f t="shared" si="59"/>
        <v>71089027.359327868</v>
      </c>
      <c r="J124" s="79">
        <f t="shared" si="59"/>
        <v>76933446.304135665</v>
      </c>
      <c r="K124" s="79">
        <f t="shared" si="59"/>
        <v>83415901.502462611</v>
      </c>
      <c r="L124" s="79">
        <f t="shared" si="59"/>
        <v>90999909.215910867</v>
      </c>
      <c r="M124" s="79">
        <f>SUM(M118:M123)</f>
        <v>98803033.315509215</v>
      </c>
    </row>
    <row r="125" spans="2:13" ht="19" x14ac:dyDescent="0.25">
      <c r="B125" s="64"/>
      <c r="C125" s="74"/>
      <c r="D125" s="74"/>
      <c r="E125" s="74"/>
      <c r="F125" s="74"/>
      <c r="G125" s="74"/>
      <c r="H125" s="83"/>
      <c r="I125" s="83"/>
      <c r="J125" s="83"/>
      <c r="K125" s="76"/>
      <c r="L125" s="76"/>
      <c r="M125" s="76"/>
    </row>
    <row r="126" spans="2:13" ht="19" x14ac:dyDescent="0.25">
      <c r="B126" s="67" t="s">
        <v>419</v>
      </c>
      <c r="C126" s="75">
        <v>0</v>
      </c>
      <c r="D126" s="75">
        <v>0</v>
      </c>
      <c r="E126" s="75">
        <v>0</v>
      </c>
      <c r="F126" s="75">
        <v>0</v>
      </c>
      <c r="G126" s="75">
        <v>0</v>
      </c>
      <c r="H126" s="91">
        <v>0</v>
      </c>
      <c r="I126" s="91">
        <v>0</v>
      </c>
      <c r="J126" s="91">
        <v>0</v>
      </c>
      <c r="K126" s="91">
        <v>0</v>
      </c>
      <c r="L126" s="91">
        <v>0</v>
      </c>
      <c r="M126" s="91">
        <v>0</v>
      </c>
    </row>
    <row r="127" spans="2:13" ht="19" x14ac:dyDescent="0.25">
      <c r="B127" s="67" t="s">
        <v>420</v>
      </c>
      <c r="C127" s="75">
        <v>0</v>
      </c>
      <c r="D127" s="75">
        <v>0</v>
      </c>
      <c r="E127" s="75">
        <v>0</v>
      </c>
      <c r="F127" s="75">
        <v>0</v>
      </c>
      <c r="G127" s="75">
        <v>0</v>
      </c>
      <c r="H127" s="91">
        <v>0</v>
      </c>
      <c r="I127" s="91">
        <v>0</v>
      </c>
      <c r="J127" s="91">
        <v>0</v>
      </c>
      <c r="K127" s="91">
        <v>0</v>
      </c>
      <c r="L127" s="91">
        <v>0</v>
      </c>
      <c r="M127" s="91">
        <v>0</v>
      </c>
    </row>
    <row r="128" spans="2:13" ht="19" x14ac:dyDescent="0.25">
      <c r="B128" s="67" t="s">
        <v>421</v>
      </c>
      <c r="C128" s="73">
        <f>'Balance Sheet'!C106</f>
        <v>15588000</v>
      </c>
      <c r="D128" s="73">
        <f>'Balance Sheet'!D106</f>
        <v>16644000</v>
      </c>
      <c r="E128" s="73">
        <f>'Balance Sheet'!E106</f>
        <v>17208000</v>
      </c>
      <c r="F128" s="73">
        <f>'Balance Sheet'!F106</f>
        <v>18327000</v>
      </c>
      <c r="G128" s="73">
        <f>'Balance Sheet'!G106</f>
        <v>19642000</v>
      </c>
      <c r="H128" s="82">
        <f t="shared" ref="H128:M128" si="60">G128</f>
        <v>19642000</v>
      </c>
      <c r="I128" s="82">
        <f t="shared" si="60"/>
        <v>19642000</v>
      </c>
      <c r="J128" s="82">
        <f t="shared" si="60"/>
        <v>19642000</v>
      </c>
      <c r="K128" s="82">
        <f t="shared" si="60"/>
        <v>19642000</v>
      </c>
      <c r="L128" s="82">
        <f t="shared" si="60"/>
        <v>19642000</v>
      </c>
      <c r="M128" s="82">
        <f t="shared" si="60"/>
        <v>19642000</v>
      </c>
    </row>
    <row r="129" spans="2:15" ht="19" x14ac:dyDescent="0.25">
      <c r="B129" s="67" t="s">
        <v>422</v>
      </c>
      <c r="C129" s="73">
        <f>'Balance Sheet'!C109</f>
        <v>8342000</v>
      </c>
      <c r="D129" s="73">
        <f>'Balance Sheet'!D109</f>
        <v>12366000</v>
      </c>
      <c r="E129" s="73">
        <f>'Balance Sheet'!E109</f>
        <v>16535000</v>
      </c>
      <c r="F129" s="73">
        <f>'Balance Sheet'!F109</f>
        <v>18954000</v>
      </c>
      <c r="G129" s="73">
        <f>'Balance Sheet'!G109</f>
        <v>23200000</v>
      </c>
      <c r="H129" s="82">
        <f t="shared" ref="H129:M129" si="61">G129+H41</f>
        <v>27358622.48074656</v>
      </c>
      <c r="I129" s="82">
        <f t="shared" si="61"/>
        <v>31942902.857836396</v>
      </c>
      <c r="J129" s="82">
        <f t="shared" si="61"/>
        <v>36934203.54198283</v>
      </c>
      <c r="K129" s="82">
        <f t="shared" si="61"/>
        <v>42365848.784650296</v>
      </c>
      <c r="L129" s="82">
        <f t="shared" si="61"/>
        <v>48273891.216493204</v>
      </c>
      <c r="M129" s="82">
        <f t="shared" si="61"/>
        <v>54697335.229807951</v>
      </c>
    </row>
    <row r="130" spans="2:15" ht="19" x14ac:dyDescent="0.25">
      <c r="B130" s="69" t="s">
        <v>423</v>
      </c>
      <c r="C130" s="117">
        <f>'Balance Sheet'!C107</f>
        <v>-6872000</v>
      </c>
      <c r="D130" s="117">
        <f>'Balance Sheet'!D107</f>
        <v>-8507000</v>
      </c>
      <c r="E130" s="117">
        <f>'Balance Sheet'!E107</f>
        <v>-11880000</v>
      </c>
      <c r="F130" s="117">
        <f>'Balance Sheet'!F107</f>
        <v>-16079000</v>
      </c>
      <c r="G130" s="117">
        <f>'Balance Sheet'!G107</f>
        <v>-21045000</v>
      </c>
      <c r="H130" s="118">
        <f t="shared" ref="H130:M130" si="62">G130*1.1</f>
        <v>-23149500.000000004</v>
      </c>
      <c r="I130" s="118">
        <f t="shared" si="62"/>
        <v>-25464450.000000007</v>
      </c>
      <c r="J130" s="118">
        <f t="shared" si="62"/>
        <v>-28010895.000000011</v>
      </c>
      <c r="K130" s="118">
        <f t="shared" si="62"/>
        <v>-30811984.500000015</v>
      </c>
      <c r="L130" s="118">
        <f t="shared" si="62"/>
        <v>-33893182.950000018</v>
      </c>
      <c r="M130" s="118">
        <f t="shared" si="62"/>
        <v>-37282501.24500002</v>
      </c>
    </row>
    <row r="131" spans="2:15" ht="19" x14ac:dyDescent="0.25">
      <c r="B131" s="67" t="s">
        <v>424</v>
      </c>
      <c r="C131" s="117">
        <f>'Balance Sheet'!C112+'Balance Sheet'!C115</f>
        <v>-129000</v>
      </c>
      <c r="D131" s="117">
        <f>'Balance Sheet'!D112+'Balance Sheet'!D115</f>
        <v>-440000</v>
      </c>
      <c r="E131" s="117">
        <f>'Balance Sheet'!E112+'Balance Sheet'!E115</f>
        <v>-136000</v>
      </c>
      <c r="F131" s="117">
        <f>'Balance Sheet'!F112+'Balance Sheet'!F115</f>
        <v>-928000</v>
      </c>
      <c r="G131" s="117">
        <f>'Balance Sheet'!G112+'Balance Sheet'!G115</f>
        <v>-746000</v>
      </c>
      <c r="H131" s="118">
        <f t="shared" ref="H131:M131" si="63">G131</f>
        <v>-746000</v>
      </c>
      <c r="I131" s="118">
        <f t="shared" si="63"/>
        <v>-746000</v>
      </c>
      <c r="J131" s="118">
        <f t="shared" si="63"/>
        <v>-746000</v>
      </c>
      <c r="K131" s="118">
        <f t="shared" si="63"/>
        <v>-746000</v>
      </c>
      <c r="L131" s="118">
        <f t="shared" si="63"/>
        <v>-746000</v>
      </c>
      <c r="M131" s="118">
        <f t="shared" si="63"/>
        <v>-746000</v>
      </c>
    </row>
    <row r="132" spans="2:15" ht="19" x14ac:dyDescent="0.25">
      <c r="B132" s="66" t="s">
        <v>425</v>
      </c>
      <c r="C132" s="78">
        <f>SUM(C128:C131)</f>
        <v>16929000</v>
      </c>
      <c r="D132" s="78">
        <f t="shared" ref="D132:L132" si="64">SUM(D128:D131)</f>
        <v>20063000</v>
      </c>
      <c r="E132" s="78">
        <f>SUM(E128:E131)</f>
        <v>21727000</v>
      </c>
      <c r="F132" s="78">
        <f t="shared" si="64"/>
        <v>20274000</v>
      </c>
      <c r="G132" s="78">
        <f t="shared" si="64"/>
        <v>21051000</v>
      </c>
      <c r="H132" s="79">
        <f t="shared" si="64"/>
        <v>23105122.480746556</v>
      </c>
      <c r="I132" s="79">
        <f t="shared" si="64"/>
        <v>25374452.857836388</v>
      </c>
      <c r="J132" s="79">
        <f t="shared" si="64"/>
        <v>27819308.541982818</v>
      </c>
      <c r="K132" s="79">
        <f t="shared" si="64"/>
        <v>30449864.284650281</v>
      </c>
      <c r="L132" s="79">
        <f t="shared" si="64"/>
        <v>33276708.266493186</v>
      </c>
      <c r="M132" s="79">
        <f>SUM(M128:M131)</f>
        <v>36310833.984807923</v>
      </c>
    </row>
    <row r="133" spans="2:15" ht="19" x14ac:dyDescent="0.25">
      <c r="B133" s="65" t="s">
        <v>426</v>
      </c>
      <c r="C133" s="100">
        <v>44</v>
      </c>
      <c r="D133" s="100">
        <v>44</v>
      </c>
      <c r="E133" s="100">
        <v>0</v>
      </c>
      <c r="F133" s="100">
        <v>0</v>
      </c>
      <c r="G133" s="100">
        <v>0</v>
      </c>
      <c r="H133" s="101">
        <v>0</v>
      </c>
      <c r="I133" s="101">
        <v>0</v>
      </c>
      <c r="J133" s="101">
        <v>0</v>
      </c>
      <c r="K133" s="101">
        <v>0</v>
      </c>
      <c r="L133" s="101">
        <v>0</v>
      </c>
      <c r="M133" s="101">
        <v>0</v>
      </c>
    </row>
    <row r="134" spans="2:15" ht="19" x14ac:dyDescent="0.25">
      <c r="B134" s="84" t="s">
        <v>427</v>
      </c>
      <c r="C134" s="100">
        <f t="shared" ref="C134:M134" si="65">C132+C133</f>
        <v>16929044</v>
      </c>
      <c r="D134" s="100">
        <f t="shared" si="65"/>
        <v>20063044</v>
      </c>
      <c r="E134" s="100">
        <f t="shared" si="65"/>
        <v>21727000</v>
      </c>
      <c r="F134" s="100">
        <f t="shared" si="65"/>
        <v>20274000</v>
      </c>
      <c r="G134" s="100">
        <f t="shared" si="65"/>
        <v>21051000</v>
      </c>
      <c r="H134" s="101">
        <f t="shared" si="65"/>
        <v>23105122.480746556</v>
      </c>
      <c r="I134" s="101">
        <f t="shared" si="65"/>
        <v>25374452.857836388</v>
      </c>
      <c r="J134" s="101">
        <f t="shared" si="65"/>
        <v>27819308.541982818</v>
      </c>
      <c r="K134" s="101">
        <f t="shared" si="65"/>
        <v>30449864.284650281</v>
      </c>
      <c r="L134" s="101">
        <f t="shared" si="65"/>
        <v>33276708.266493186</v>
      </c>
      <c r="M134" s="101">
        <f t="shared" si="65"/>
        <v>36310833.984807923</v>
      </c>
    </row>
    <row r="135" spans="2:15" ht="19" x14ac:dyDescent="0.25">
      <c r="B135" s="84" t="s">
        <v>480</v>
      </c>
      <c r="C135" s="73">
        <f t="shared" ref="C135:M135" si="66">C132+C124</f>
        <v>51333000</v>
      </c>
      <c r="D135" s="73">
        <f t="shared" si="66"/>
        <v>70379000</v>
      </c>
      <c r="E135" s="73">
        <f t="shared" si="66"/>
        <v>75803000</v>
      </c>
      <c r="F135" s="73">
        <f t="shared" si="66"/>
        <v>78624000</v>
      </c>
      <c r="G135" s="73">
        <f t="shared" si="66"/>
        <v>82166000</v>
      </c>
      <c r="H135" s="82">
        <f t="shared" si="66"/>
        <v>88732499.12279506</v>
      </c>
      <c r="I135" s="82">
        <f>I132+I124</f>
        <v>96463480.217164248</v>
      </c>
      <c r="J135" s="82">
        <f t="shared" si="66"/>
        <v>104752754.84611848</v>
      </c>
      <c r="K135" s="82">
        <f t="shared" si="66"/>
        <v>113865765.78711289</v>
      </c>
      <c r="L135" s="82">
        <f t="shared" si="66"/>
        <v>124276617.48240405</v>
      </c>
      <c r="M135" s="82">
        <f t="shared" si="66"/>
        <v>135113867.30031714</v>
      </c>
    </row>
    <row r="136" spans="2:15" ht="19" x14ac:dyDescent="0.25">
      <c r="B136" s="23" t="s">
        <v>433</v>
      </c>
      <c r="C136" s="24">
        <v>2019</v>
      </c>
      <c r="D136" s="24">
        <v>2020</v>
      </c>
      <c r="E136" s="24">
        <v>2021</v>
      </c>
      <c r="F136" s="24">
        <v>2022</v>
      </c>
      <c r="G136" s="24">
        <v>2023</v>
      </c>
      <c r="H136" s="24">
        <v>2024</v>
      </c>
      <c r="I136" s="24">
        <v>2025</v>
      </c>
      <c r="J136" s="24">
        <v>2026</v>
      </c>
      <c r="K136" s="24">
        <v>2027</v>
      </c>
      <c r="L136" s="24">
        <v>2028</v>
      </c>
      <c r="M136" s="24">
        <v>2029</v>
      </c>
    </row>
    <row r="137" spans="2:15" ht="19" x14ac:dyDescent="0.25">
      <c r="B137" s="2"/>
      <c r="C137" s="3"/>
      <c r="D137" s="3"/>
      <c r="E137" s="3"/>
      <c r="F137" s="3"/>
      <c r="G137" s="3"/>
      <c r="H137" s="30"/>
      <c r="I137" s="30"/>
      <c r="J137" s="30"/>
      <c r="K137" s="30"/>
      <c r="L137" s="30"/>
      <c r="M137" s="30"/>
    </row>
    <row r="138" spans="2:15" ht="19" x14ac:dyDescent="0.25">
      <c r="B138" s="67" t="s">
        <v>25</v>
      </c>
      <c r="C138" s="3">
        <f t="shared" ref="C138:M138" si="67">C41</f>
        <v>2459000</v>
      </c>
      <c r="D138" s="3">
        <f t="shared" si="67"/>
        <v>4202000</v>
      </c>
      <c r="E138" s="3">
        <f t="shared" si="67"/>
        <v>4169000</v>
      </c>
      <c r="F138" s="3">
        <f t="shared" si="67"/>
        <v>2419000</v>
      </c>
      <c r="G138" s="3">
        <f t="shared" si="67"/>
        <v>4246000</v>
      </c>
      <c r="H138" s="30">
        <f t="shared" si="67"/>
        <v>4158622.4807465617</v>
      </c>
      <c r="I138" s="30">
        <f t="shared" si="67"/>
        <v>4584280.3770898338</v>
      </c>
      <c r="J138" s="30">
        <f t="shared" si="67"/>
        <v>4991300.6841464303</v>
      </c>
      <c r="K138" s="30">
        <f t="shared" si="67"/>
        <v>5431645.2426674655</v>
      </c>
      <c r="L138" s="30">
        <f t="shared" si="67"/>
        <v>5908042.4318429083</v>
      </c>
      <c r="M138" s="30">
        <f t="shared" si="67"/>
        <v>6423444.0133147491</v>
      </c>
    </row>
    <row r="139" spans="2:15" ht="19" x14ac:dyDescent="0.25">
      <c r="B139" s="67"/>
      <c r="C139" s="3"/>
      <c r="D139" s="3"/>
      <c r="E139" s="3"/>
      <c r="F139" s="3"/>
      <c r="G139" s="3"/>
      <c r="H139" s="30"/>
      <c r="I139" s="30"/>
      <c r="J139" s="30"/>
      <c r="K139" s="30"/>
      <c r="L139" s="30"/>
      <c r="M139" s="30"/>
    </row>
    <row r="140" spans="2:15" ht="19" x14ac:dyDescent="0.25">
      <c r="B140" s="67" t="s">
        <v>434</v>
      </c>
      <c r="C140" s="3">
        <f>'Cash Flow'!C9</f>
        <v>912000</v>
      </c>
      <c r="D140" s="3">
        <f>'Cash Flow'!D9</f>
        <v>1189000</v>
      </c>
      <c r="E140" s="3">
        <f>'Cash Flow'!E7</f>
        <v>822000</v>
      </c>
      <c r="F140" s="3">
        <f>'Cash Flow'!F7</f>
        <v>846000</v>
      </c>
      <c r="G140" s="3">
        <f>'Cash Flow'!G7</f>
        <v>846000</v>
      </c>
      <c r="H140" s="30">
        <f t="shared" ref="H140:M140" si="68">H141*H5</f>
        <v>915265.13554764155</v>
      </c>
      <c r="I140" s="30">
        <f t="shared" si="68"/>
        <v>990201.26282392745</v>
      </c>
      <c r="J140" s="30">
        <f t="shared" si="68"/>
        <v>1071272.6868061321</v>
      </c>
      <c r="K140" s="30">
        <f t="shared" si="68"/>
        <v>1158981.726829906</v>
      </c>
      <c r="L140" s="30">
        <f t="shared" si="68"/>
        <v>1253871.8289647915</v>
      </c>
      <c r="M140" s="30">
        <f t="shared" si="68"/>
        <v>1356530.933211382</v>
      </c>
    </row>
    <row r="141" spans="2:15" ht="19" x14ac:dyDescent="0.25">
      <c r="B141" s="68" t="s">
        <v>435</v>
      </c>
      <c r="C141" s="94">
        <f>C140/C4</f>
        <v>5.1316677920324107E-2</v>
      </c>
      <c r="D141" s="94">
        <f>D140/D4</f>
        <v>5.5420900531369444E-2</v>
      </c>
      <c r="E141" s="94">
        <f>E140/E4</f>
        <v>3.239919593236372E-2</v>
      </c>
      <c r="F141" s="94">
        <f>F140/F4</f>
        <v>3.0743513336725054E-2</v>
      </c>
      <c r="G141" s="94">
        <f>G140/G4</f>
        <v>2.8416915790534413E-2</v>
      </c>
      <c r="H141" s="102">
        <f>Assumptions!$F$21</f>
        <v>2.8416915790534413E-2</v>
      </c>
      <c r="I141" s="102">
        <f>Assumptions!$F$21</f>
        <v>2.8416915790534413E-2</v>
      </c>
      <c r="J141" s="102">
        <f>Assumptions!$F$21</f>
        <v>2.8416915790534413E-2</v>
      </c>
      <c r="K141" s="102">
        <f>Assumptions!$F$21</f>
        <v>2.8416915790534413E-2</v>
      </c>
      <c r="L141" s="102">
        <f>Assumptions!$F$21</f>
        <v>2.8416915790534413E-2</v>
      </c>
      <c r="M141" s="102">
        <f>Assumptions!$F$21</f>
        <v>2.8416915790534413E-2</v>
      </c>
      <c r="O141" s="113"/>
    </row>
    <row r="142" spans="2:15" ht="19" x14ac:dyDescent="0.25">
      <c r="B142" s="68" t="s">
        <v>436</v>
      </c>
      <c r="C142" s="3"/>
      <c r="D142" s="3"/>
      <c r="E142" s="3"/>
      <c r="F142" s="3"/>
      <c r="G142" s="3"/>
      <c r="H142" s="30"/>
      <c r="I142" s="30"/>
      <c r="J142" s="30"/>
      <c r="K142" s="30"/>
      <c r="L142" s="30"/>
      <c r="M142" s="30"/>
    </row>
    <row r="143" spans="2:15" ht="19" x14ac:dyDescent="0.25">
      <c r="B143" s="67" t="s">
        <v>437</v>
      </c>
      <c r="C143" s="93">
        <v>0</v>
      </c>
      <c r="D143" s="93">
        <v>0</v>
      </c>
      <c r="E143" s="93">
        <f>'Cash Flow'!E8+'Cash Flow'!E10</f>
        <v>516000</v>
      </c>
      <c r="F143" s="93">
        <f>'Cash Flow'!F8+'Cash Flow'!F10</f>
        <v>401000</v>
      </c>
      <c r="G143" s="93">
        <f>'Cash Flow'!G8+'Cash Flow'!G10</f>
        <v>-141000</v>
      </c>
      <c r="H143" s="103">
        <v>214000</v>
      </c>
      <c r="I143" s="103">
        <v>196000</v>
      </c>
      <c r="J143" s="103">
        <v>160000</v>
      </c>
      <c r="K143" s="103">
        <v>103000</v>
      </c>
      <c r="L143" s="103">
        <v>65000</v>
      </c>
      <c r="M143" s="103">
        <v>65000</v>
      </c>
    </row>
    <row r="144" spans="2:15" ht="19" x14ac:dyDescent="0.25">
      <c r="B144" s="67" t="s">
        <v>438</v>
      </c>
      <c r="C144" s="3">
        <f>'Cash Flow'!C11</f>
        <v>1021000</v>
      </c>
      <c r="D144" s="3">
        <f>'Cash Flow'!D11</f>
        <v>1376000</v>
      </c>
      <c r="E144" s="3">
        <f>'Cash Flow'!E11</f>
        <v>1376000</v>
      </c>
      <c r="F144" s="3">
        <f>'Cash Flow'!F11</f>
        <v>1261000</v>
      </c>
      <c r="G144" s="3">
        <f>'Cash Flow'!G11</f>
        <v>1475000</v>
      </c>
      <c r="H144" s="33">
        <f t="shared" ref="H144:M144" si="69">H14*H145</f>
        <v>1464640.5916127625</v>
      </c>
      <c r="I144" s="33">
        <f t="shared" si="69"/>
        <v>1584556.1106513394</v>
      </c>
      <c r="J144" s="33">
        <f t="shared" si="69"/>
        <v>1714289.5548441387</v>
      </c>
      <c r="K144" s="33">
        <f t="shared" si="69"/>
        <v>1854644.7538798188</v>
      </c>
      <c r="L144" s="33">
        <f t="shared" si="69"/>
        <v>2006491.3499438947</v>
      </c>
      <c r="M144" s="33">
        <f t="shared" si="69"/>
        <v>2170770.1860302235</v>
      </c>
    </row>
    <row r="145" spans="2:13" ht="19" x14ac:dyDescent="0.25">
      <c r="B145" s="68" t="s">
        <v>439</v>
      </c>
      <c r="C145" s="105">
        <f>C144/C14</f>
        <v>0.32808483290488433</v>
      </c>
      <c r="D145" s="105">
        <f>D144/D14</f>
        <v>0.35003815822945816</v>
      </c>
      <c r="E145" s="105">
        <f>E144/E14</f>
        <v>0.30182057468743145</v>
      </c>
      <c r="F145" s="105">
        <f>F144/F14</f>
        <v>0.28948576675849402</v>
      </c>
      <c r="G145" s="105">
        <f>G144/G14</f>
        <v>0.3813340227507756</v>
      </c>
      <c r="H145" s="104">
        <f>Assumptions!$F$26</f>
        <v>0.35</v>
      </c>
      <c r="I145" s="104">
        <f>Assumptions!$F$26</f>
        <v>0.35</v>
      </c>
      <c r="J145" s="104">
        <f>Assumptions!$F$26</f>
        <v>0.35</v>
      </c>
      <c r="K145" s="104">
        <f>Assumptions!$F$26</f>
        <v>0.35</v>
      </c>
      <c r="L145" s="104">
        <f>Assumptions!$F$26</f>
        <v>0.35</v>
      </c>
      <c r="M145" s="104">
        <f>Assumptions!$F$26</f>
        <v>0.35</v>
      </c>
    </row>
    <row r="146" spans="2:13" ht="19" x14ac:dyDescent="0.25">
      <c r="B146" s="67" t="s">
        <v>440</v>
      </c>
      <c r="C146" s="7"/>
      <c r="D146" s="7"/>
      <c r="E146" s="7"/>
      <c r="F146" s="7"/>
      <c r="G146" s="7"/>
      <c r="H146" s="34"/>
      <c r="I146" s="34"/>
      <c r="J146" s="34"/>
      <c r="K146" s="34"/>
      <c r="L146" s="34"/>
      <c r="M146" s="34"/>
    </row>
    <row r="147" spans="2:13" ht="19" x14ac:dyDescent="0.25">
      <c r="B147" s="67" t="s">
        <v>441</v>
      </c>
      <c r="C147" s="92"/>
      <c r="D147" s="92"/>
      <c r="E147" s="92"/>
      <c r="F147" s="92"/>
      <c r="G147" s="92"/>
      <c r="H147" s="97"/>
      <c r="I147" s="97"/>
      <c r="J147" s="97"/>
      <c r="K147" s="97"/>
      <c r="L147" s="97"/>
      <c r="M147" s="97"/>
    </row>
    <row r="148" spans="2:13" ht="19" x14ac:dyDescent="0.25">
      <c r="B148" s="67" t="s">
        <v>442</v>
      </c>
      <c r="C148" s="115">
        <f>'Cash Flow'!C12+'Cash Flow'!C13</f>
        <v>-477000</v>
      </c>
      <c r="D148" s="115">
        <f>'Cash Flow'!D12+'Cash Flow'!D13</f>
        <v>-1749000</v>
      </c>
      <c r="E148" s="115">
        <f>'Cash Flow'!E12+'Cash Flow'!E13</f>
        <v>-528000</v>
      </c>
      <c r="F148" s="115">
        <f>'Cash Flow'!F12+'Cash Flow'!F13</f>
        <v>-507000</v>
      </c>
      <c r="G148" s="115">
        <f>'Cash Flow'!G12+'Cash Flow'!G13</f>
        <v>-869000</v>
      </c>
      <c r="H148" s="107">
        <v>0</v>
      </c>
      <c r="I148" s="107">
        <v>0</v>
      </c>
      <c r="J148" s="107">
        <v>0</v>
      </c>
      <c r="K148" s="107">
        <v>0</v>
      </c>
      <c r="L148" s="107">
        <v>0</v>
      </c>
      <c r="M148" s="107">
        <v>0</v>
      </c>
    </row>
    <row r="149" spans="2:13" ht="19" x14ac:dyDescent="0.25">
      <c r="B149" s="67" t="s">
        <v>443</v>
      </c>
      <c r="C149" s="95">
        <f>'Cash Flow'!C16+'Cash Flow'!C15</f>
        <v>1231000</v>
      </c>
      <c r="D149" s="95">
        <f>'Cash Flow'!D16+'Cash Flow'!D15</f>
        <v>1788000</v>
      </c>
      <c r="E149" s="95">
        <f>'Cash Flow'!E16+'Cash Flow'!E15</f>
        <v>1087000</v>
      </c>
      <c r="F149" s="95">
        <f>'Cash Flow'!F16+'Cash Flow'!F15</f>
        <v>1847000</v>
      </c>
      <c r="G149" s="95">
        <f>'Cash Flow'!G16+'Cash Flow'!G15</f>
        <v>-10195000</v>
      </c>
      <c r="H149" s="107">
        <v>0</v>
      </c>
      <c r="I149" s="107">
        <v>0</v>
      </c>
      <c r="J149" s="107">
        <v>0</v>
      </c>
      <c r="K149" s="107">
        <v>0</v>
      </c>
      <c r="L149" s="107">
        <v>0</v>
      </c>
      <c r="M149" s="107">
        <v>0</v>
      </c>
    </row>
    <row r="150" spans="2:13" ht="19" x14ac:dyDescent="0.25">
      <c r="B150" s="67"/>
      <c r="C150" s="92"/>
      <c r="D150" s="92"/>
      <c r="E150" s="92"/>
      <c r="F150" s="92"/>
      <c r="G150" s="92"/>
      <c r="H150" s="97"/>
      <c r="I150" s="97"/>
      <c r="J150" s="106"/>
      <c r="K150" s="97"/>
      <c r="L150" s="97"/>
      <c r="M150" s="97"/>
    </row>
    <row r="151" spans="2:13" ht="19" x14ac:dyDescent="0.25">
      <c r="B151" s="85" t="s">
        <v>444</v>
      </c>
      <c r="C151" s="115">
        <f>'Cash Flow'!C22</f>
        <v>-116000</v>
      </c>
      <c r="D151" s="115">
        <f>'Cash Flow'!D22</f>
        <v>-100000</v>
      </c>
      <c r="E151" s="115">
        <f>'Cash Flow'!E22</f>
        <v>-222000</v>
      </c>
      <c r="F151" s="115">
        <f>'Cash Flow'!F22</f>
        <v>-163000</v>
      </c>
      <c r="G151" s="115">
        <f>'Cash Flow'!G22</f>
        <v>-114000</v>
      </c>
      <c r="H151" s="106">
        <f t="shared" ref="H151:M151" si="70">-(H97-G97)</f>
        <v>38213.919456953183</v>
      </c>
      <c r="I151" s="106">
        <f t="shared" si="70"/>
        <v>-488693.61653738189</v>
      </c>
      <c r="J151" s="106">
        <f t="shared" si="70"/>
        <v>-139020.17262765998</v>
      </c>
      <c r="K151" s="106">
        <f t="shared" si="70"/>
        <v>-588904.14160041697</v>
      </c>
      <c r="L151" s="106">
        <f t="shared" si="70"/>
        <v>-181013.30480777379</v>
      </c>
      <c r="M151" s="106">
        <f t="shared" si="70"/>
        <v>-316721.57181517454</v>
      </c>
    </row>
    <row r="152" spans="2:13" ht="19" x14ac:dyDescent="0.25">
      <c r="B152" s="85" t="s">
        <v>445</v>
      </c>
      <c r="C152" s="95">
        <v>0</v>
      </c>
      <c r="D152" s="95">
        <v>0</v>
      </c>
      <c r="E152" s="95">
        <v>0</v>
      </c>
      <c r="F152" s="95">
        <v>0</v>
      </c>
      <c r="G152" s="95">
        <v>0</v>
      </c>
      <c r="H152" s="107">
        <v>0</v>
      </c>
      <c r="I152" s="107">
        <v>0</v>
      </c>
      <c r="J152" s="107">
        <v>0</v>
      </c>
      <c r="K152" s="107">
        <v>0</v>
      </c>
      <c r="L152" s="107">
        <v>0</v>
      </c>
      <c r="M152" s="107">
        <v>0</v>
      </c>
    </row>
    <row r="153" spans="2:13" ht="19" x14ac:dyDescent="0.25">
      <c r="B153" s="86" t="s">
        <v>446</v>
      </c>
      <c r="C153" s="115">
        <f>'Cash Flow'!C23</f>
        <v>-566000</v>
      </c>
      <c r="D153" s="115">
        <f>'Cash Flow'!D23</f>
        <v>-171000</v>
      </c>
      <c r="E153" s="115">
        <f>'Cash Flow'!E23</f>
        <v>-486000</v>
      </c>
      <c r="F153" s="95">
        <f>'Cash Flow'!F23</f>
        <v>118000</v>
      </c>
      <c r="G153" s="95">
        <f>'Cash Flow'!G23</f>
        <v>203000</v>
      </c>
      <c r="H153" s="106">
        <f t="shared" ref="H153:M153" si="71">G102-H102</f>
        <v>-4600300.0000000075</v>
      </c>
      <c r="I153" s="106">
        <f t="shared" si="71"/>
        <v>-5060330.0000000075</v>
      </c>
      <c r="J153" s="106">
        <f t="shared" si="71"/>
        <v>-5566363.0000000075</v>
      </c>
      <c r="K153" s="106">
        <f t="shared" si="71"/>
        <v>-6122999.3000000045</v>
      </c>
      <c r="L153" s="106">
        <f t="shared" si="71"/>
        <v>-6735299.2300000042</v>
      </c>
      <c r="M153" s="106">
        <f t="shared" si="71"/>
        <v>-7408829.153000012</v>
      </c>
    </row>
    <row r="154" spans="2:13" ht="19" x14ac:dyDescent="0.25">
      <c r="B154" s="86" t="s">
        <v>447</v>
      </c>
      <c r="C154" s="115">
        <f>'Cash Flow'!C28</f>
        <v>-36000</v>
      </c>
      <c r="D154" s="115">
        <f>'Cash Flow'!D28</f>
        <v>-234000</v>
      </c>
      <c r="E154" s="115">
        <f>'Cash Flow'!E28</f>
        <v>-31000</v>
      </c>
      <c r="F154" s="115">
        <f>'Cash Flow'!F28</f>
        <v>-35000</v>
      </c>
      <c r="G154" s="95">
        <f>'Cash Flow'!G28</f>
        <v>7000</v>
      </c>
      <c r="H154" s="108">
        <f t="shared" ref="H154:M154" si="72">H113-G113</f>
        <v>275246.64204849303</v>
      </c>
      <c r="I154" s="108">
        <f t="shared" si="72"/>
        <v>803483.41727935616</v>
      </c>
      <c r="J154" s="108">
        <f t="shared" si="72"/>
        <v>723137.37180779595</v>
      </c>
      <c r="K154" s="108">
        <f t="shared" si="72"/>
        <v>851774.94959694147</v>
      </c>
      <c r="L154" s="108">
        <f t="shared" si="72"/>
        <v>1393016.2162309457</v>
      </c>
      <c r="M154" s="108">
        <f t="shared" si="72"/>
        <v>995817.79680886492</v>
      </c>
    </row>
    <row r="155" spans="2:13" ht="19" x14ac:dyDescent="0.25">
      <c r="B155" s="86" t="s">
        <v>448</v>
      </c>
      <c r="C155" s="115">
        <f>'Cash Flow'!C30+'Cash Flow'!C31+'Cash Flow'!C34</f>
        <v>-357000</v>
      </c>
      <c r="D155" s="115">
        <f>'Cash Flow'!D30+'Cash Flow'!D31+'Cash Flow'!D34</f>
        <v>-82000</v>
      </c>
      <c r="E155" s="115">
        <f>'Cash Flow'!E30+'Cash Flow'!E31+'Cash Flow'!E34</f>
        <v>-906000</v>
      </c>
      <c r="F155" s="115">
        <f>'Cash Flow'!F30+'Cash Flow'!F31+'Cash Flow'!F34</f>
        <v>-374000</v>
      </c>
      <c r="G155" s="95">
        <f>'Cash Flow'!G30+'Cash Flow'!G31+'Cash Flow'!G34</f>
        <v>9385000</v>
      </c>
      <c r="H155" s="108">
        <f t="shared" ref="H155:M155" si="73">H117-G117</f>
        <v>4207400.0000000075</v>
      </c>
      <c r="I155" s="108">
        <f t="shared" si="73"/>
        <v>4628140.0000000075</v>
      </c>
      <c r="J155" s="108">
        <f t="shared" si="73"/>
        <v>5090954.0000000075</v>
      </c>
      <c r="K155" s="108">
        <f t="shared" si="73"/>
        <v>5600049.400000006</v>
      </c>
      <c r="L155" s="108">
        <f t="shared" si="73"/>
        <v>6160054.340000011</v>
      </c>
      <c r="M155" s="108">
        <f t="shared" si="73"/>
        <v>6776059.7740000039</v>
      </c>
    </row>
    <row r="156" spans="2:13" ht="19" x14ac:dyDescent="0.25">
      <c r="B156" s="67"/>
      <c r="C156" s="92"/>
      <c r="D156" s="92"/>
      <c r="E156" s="92"/>
      <c r="F156" s="92"/>
      <c r="G156" s="92"/>
      <c r="H156" s="97"/>
      <c r="I156" s="97"/>
      <c r="J156" s="97"/>
      <c r="K156" s="97"/>
      <c r="L156" s="97"/>
      <c r="M156" s="97"/>
    </row>
    <row r="157" spans="2:13" ht="19" x14ac:dyDescent="0.25">
      <c r="B157" s="87" t="s">
        <v>449</v>
      </c>
      <c r="C157" s="96">
        <f>C138+C140+C143+C144+C148+C149+C151+C153+C152+C154+C155</f>
        <v>4071000</v>
      </c>
      <c r="D157" s="96">
        <f t="shared" ref="D157:M157" si="74">D138+D140+D143+D144+D148+D149+D151+D153+D152+D154+D155</f>
        <v>6219000</v>
      </c>
      <c r="E157" s="96">
        <f t="shared" si="74"/>
        <v>5797000</v>
      </c>
      <c r="F157" s="96">
        <f t="shared" si="74"/>
        <v>5813000</v>
      </c>
      <c r="G157" s="96">
        <f t="shared" si="74"/>
        <v>4843000</v>
      </c>
      <c r="H157" s="99">
        <f t="shared" si="74"/>
        <v>6673088.7694124123</v>
      </c>
      <c r="I157" s="99">
        <f t="shared" si="74"/>
        <v>7237637.5513070747</v>
      </c>
      <c r="J157" s="99">
        <f>J138+J140+J143+J144+J148+J149+J150+J153+J152+J154+J155</f>
        <v>8184591.2976044966</v>
      </c>
      <c r="K157" s="99">
        <f t="shared" si="74"/>
        <v>8288192.6313737165</v>
      </c>
      <c r="L157" s="99">
        <f t="shared" si="74"/>
        <v>9870163.6321747731</v>
      </c>
      <c r="M157" s="99">
        <f t="shared" si="74"/>
        <v>10062071.978550037</v>
      </c>
    </row>
    <row r="158" spans="2:13" ht="19" x14ac:dyDescent="0.25">
      <c r="B158" s="68" t="s">
        <v>450</v>
      </c>
      <c r="C158" s="146">
        <f t="shared" ref="C158:M158" si="75">C157/C41</f>
        <v>1.6555510370069133</v>
      </c>
      <c r="D158" s="146">
        <f t="shared" si="75"/>
        <v>1.480009519276535</v>
      </c>
      <c r="E158" s="146">
        <f t="shared" si="75"/>
        <v>1.3905013192612137</v>
      </c>
      <c r="F158" s="146">
        <f t="shared" si="75"/>
        <v>2.4030591153369163</v>
      </c>
      <c r="G158" s="146">
        <f t="shared" si="75"/>
        <v>1.1406029203956665</v>
      </c>
      <c r="H158" s="234">
        <f t="shared" si="75"/>
        <v>1.6046392285684106</v>
      </c>
      <c r="I158" s="234">
        <f t="shared" si="75"/>
        <v>1.5787946975227614</v>
      </c>
      <c r="J158" s="234">
        <f t="shared" si="75"/>
        <v>1.6397712371047339</v>
      </c>
      <c r="K158" s="234">
        <f t="shared" si="75"/>
        <v>1.525908313427224</v>
      </c>
      <c r="L158" s="234">
        <f t="shared" si="75"/>
        <v>1.6706318118124877</v>
      </c>
      <c r="M158" s="234">
        <f t="shared" si="75"/>
        <v>1.5664606023953829</v>
      </c>
    </row>
    <row r="159" spans="2:13" ht="19" x14ac:dyDescent="0.25">
      <c r="B159" s="67"/>
      <c r="H159" s="98"/>
      <c r="I159" s="98"/>
      <c r="J159" s="98"/>
      <c r="K159" s="98"/>
      <c r="L159" s="98"/>
      <c r="M159" s="98"/>
    </row>
    <row r="160" spans="2:13" ht="19" x14ac:dyDescent="0.25">
      <c r="B160" s="69" t="s">
        <v>451</v>
      </c>
      <c r="C160" s="115">
        <f>'Cash Flow'!C45</f>
        <v>-687000</v>
      </c>
      <c r="D160" s="115">
        <f>'Cash Flow'!D45</f>
        <v>-746000</v>
      </c>
      <c r="E160" s="115">
        <f>'Cash Flow'!E45</f>
        <v>-903000</v>
      </c>
      <c r="F160" s="115">
        <f>'Cash Flow'!F45</f>
        <v>-701000</v>
      </c>
      <c r="G160" s="115">
        <f>'Cash Flow'!G45</f>
        <v>-578000</v>
      </c>
      <c r="H160" s="116">
        <f t="shared" ref="H160:M160" si="76">-H161*H5</f>
        <v>-998462.30361944914</v>
      </c>
      <c r="I160" s="116">
        <f t="shared" si="76"/>
        <v>-1080210.0894343564</v>
      </c>
      <c r="J160" s="116">
        <f t="shared" si="76"/>
        <v>-1168650.8675249007</v>
      </c>
      <c r="K160" s="116">
        <f t="shared" si="76"/>
        <v>-1264332.6178168405</v>
      </c>
      <c r="L160" s="116">
        <f t="shared" si="76"/>
        <v>-1367848.1853704907</v>
      </c>
      <c r="M160" s="116">
        <f t="shared" si="76"/>
        <v>-1479838.9536545125</v>
      </c>
    </row>
    <row r="161" spans="2:13" ht="19" x14ac:dyDescent="0.25">
      <c r="B161" s="68" t="s">
        <v>452</v>
      </c>
      <c r="C161" s="105">
        <f>-C160/C4</f>
        <v>3.8656313301823092E-2</v>
      </c>
      <c r="D161" s="105">
        <f>-D160/D4</f>
        <v>3.4772070476368044E-2</v>
      </c>
      <c r="E161" s="105">
        <f>-E160/E4</f>
        <v>3.5591817429348471E-2</v>
      </c>
      <c r="F161" s="105">
        <f>-F160/F4</f>
        <v>2.5474235046151608E-2</v>
      </c>
      <c r="G161" s="105">
        <f>-G160/G4</f>
        <v>1.9414866816700817E-2</v>
      </c>
      <c r="H161" s="110">
        <f>Assumptions!$F$27</f>
        <v>3.1E-2</v>
      </c>
      <c r="I161" s="110">
        <f>Assumptions!$F$27</f>
        <v>3.1E-2</v>
      </c>
      <c r="J161" s="110">
        <f>Assumptions!$F$27</f>
        <v>3.1E-2</v>
      </c>
      <c r="K161" s="110">
        <f>Assumptions!$F$27</f>
        <v>3.1E-2</v>
      </c>
      <c r="L161" s="110">
        <f>Assumptions!$F$27</f>
        <v>3.1E-2</v>
      </c>
      <c r="M161" s="110">
        <f>Assumptions!$F$27</f>
        <v>3.1E-2</v>
      </c>
    </row>
    <row r="162" spans="2:13" ht="19" x14ac:dyDescent="0.25">
      <c r="B162" s="68" t="s">
        <v>453</v>
      </c>
      <c r="H162" s="112"/>
      <c r="I162" s="98"/>
      <c r="J162" s="98"/>
      <c r="K162" s="98"/>
      <c r="L162" s="98"/>
      <c r="M162" s="98"/>
    </row>
    <row r="163" spans="2:13" ht="19" x14ac:dyDescent="0.25">
      <c r="B163" s="67" t="s">
        <v>454</v>
      </c>
      <c r="C163" s="115">
        <v>-70</v>
      </c>
      <c r="D163" s="115">
        <v>-3489</v>
      </c>
      <c r="E163" s="115">
        <v>-2763</v>
      </c>
      <c r="F163" s="95">
        <v>0</v>
      </c>
      <c r="G163" s="95">
        <v>0</v>
      </c>
      <c r="H163" s="111">
        <v>0</v>
      </c>
      <c r="I163" s="111">
        <v>0</v>
      </c>
      <c r="J163" s="111">
        <v>0</v>
      </c>
      <c r="K163" s="116">
        <v>-500</v>
      </c>
      <c r="L163" s="116">
        <v>-500</v>
      </c>
      <c r="M163" s="116">
        <v>-500</v>
      </c>
    </row>
    <row r="164" spans="2:13" ht="19" x14ac:dyDescent="0.25">
      <c r="B164" s="68" t="s">
        <v>455</v>
      </c>
      <c r="H164" s="98"/>
      <c r="I164" s="98"/>
      <c r="J164" s="98"/>
      <c r="K164" s="98"/>
      <c r="L164" s="98"/>
      <c r="M164" s="98"/>
    </row>
    <row r="165" spans="2:13" ht="19" x14ac:dyDescent="0.25">
      <c r="B165" s="68" t="s">
        <v>456</v>
      </c>
      <c r="H165" s="119"/>
      <c r="I165" s="119"/>
      <c r="J165" s="119"/>
      <c r="K165" s="119"/>
      <c r="L165" s="119"/>
      <c r="M165" s="119"/>
    </row>
    <row r="166" spans="2:13" ht="19" x14ac:dyDescent="0.25">
      <c r="B166" s="68" t="s">
        <v>457</v>
      </c>
      <c r="H166" s="119">
        <f>Assumptions!$F$29</f>
        <v>0.2</v>
      </c>
      <c r="I166" s="119">
        <f>Assumptions!$F$29</f>
        <v>0.2</v>
      </c>
      <c r="J166" s="119">
        <f>Assumptions!$F$29</f>
        <v>0.2</v>
      </c>
      <c r="K166" s="119">
        <f>Assumptions!$F$29</f>
        <v>0.2</v>
      </c>
      <c r="L166" s="119">
        <f>Assumptions!$F$29</f>
        <v>0.2</v>
      </c>
      <c r="M166" s="119">
        <f>Assumptions!$F$29</f>
        <v>0.2</v>
      </c>
    </row>
    <row r="167" spans="2:13" ht="19" x14ac:dyDescent="0.25">
      <c r="B167" s="68" t="s">
        <v>458</v>
      </c>
      <c r="H167" s="119">
        <f>Assumptions!$F$30</f>
        <v>0.1</v>
      </c>
      <c r="I167" s="119">
        <f>Assumptions!$F$30</f>
        <v>0.1</v>
      </c>
      <c r="J167" s="119">
        <f>Assumptions!$F$30</f>
        <v>0.1</v>
      </c>
      <c r="K167" s="119">
        <f>Assumptions!$F$30</f>
        <v>0.1</v>
      </c>
      <c r="L167" s="119">
        <f>Assumptions!$F$30</f>
        <v>0.1</v>
      </c>
      <c r="M167" s="119">
        <f>Assumptions!$F$30</f>
        <v>0.1</v>
      </c>
    </row>
    <row r="168" spans="2:13" ht="19" x14ac:dyDescent="0.25">
      <c r="B168" s="68" t="s">
        <v>459</v>
      </c>
      <c r="H168" s="119">
        <f>Assumptions!$F$31</f>
        <v>0.7</v>
      </c>
      <c r="I168" s="119">
        <f>Assumptions!$F$31</f>
        <v>0.7</v>
      </c>
      <c r="J168" s="119">
        <f>Assumptions!$F$31</f>
        <v>0.7</v>
      </c>
      <c r="K168" s="119">
        <f>Assumptions!$F$31</f>
        <v>0.7</v>
      </c>
      <c r="L168" s="119">
        <f>Assumptions!$F$31</f>
        <v>0.7</v>
      </c>
      <c r="M168" s="119">
        <f>Assumptions!$F$31</f>
        <v>0.7</v>
      </c>
    </row>
    <row r="169" spans="2:13" ht="19" x14ac:dyDescent="0.25">
      <c r="B169" s="68"/>
      <c r="H169" s="98"/>
      <c r="I169" s="98"/>
      <c r="J169" s="98"/>
      <c r="K169" s="98"/>
      <c r="L169" s="98"/>
      <c r="M169" s="98"/>
    </row>
    <row r="170" spans="2:13" ht="19" x14ac:dyDescent="0.25">
      <c r="B170" s="68" t="s">
        <v>460</v>
      </c>
      <c r="C170" s="120">
        <v>0</v>
      </c>
      <c r="D170" s="120">
        <v>0</v>
      </c>
      <c r="E170" s="120">
        <v>0</v>
      </c>
      <c r="F170" s="120">
        <v>0</v>
      </c>
      <c r="G170" s="120">
        <v>0</v>
      </c>
      <c r="H170" s="121">
        <v>0</v>
      </c>
      <c r="I170" s="121">
        <v>0</v>
      </c>
      <c r="J170" s="121">
        <v>0</v>
      </c>
      <c r="K170" s="121">
        <v>0</v>
      </c>
      <c r="L170" s="121">
        <v>0</v>
      </c>
      <c r="M170" s="121">
        <v>0</v>
      </c>
    </row>
    <row r="171" spans="2:13" ht="19" x14ac:dyDescent="0.25">
      <c r="B171" s="68" t="s">
        <v>461</v>
      </c>
      <c r="C171" s="120">
        <v>0</v>
      </c>
      <c r="D171" s="120">
        <v>0</v>
      </c>
      <c r="E171" s="120">
        <v>0</v>
      </c>
      <c r="F171" s="120">
        <v>0</v>
      </c>
      <c r="G171" s="120">
        <v>0</v>
      </c>
      <c r="H171" s="121">
        <v>0</v>
      </c>
      <c r="I171" s="121">
        <v>0</v>
      </c>
      <c r="J171" s="121">
        <v>0</v>
      </c>
      <c r="K171" s="121">
        <f>-K163*K166</f>
        <v>100</v>
      </c>
      <c r="L171" s="121">
        <f>-L163*L166</f>
        <v>100</v>
      </c>
      <c r="M171" s="121">
        <f>-M163*M166</f>
        <v>100</v>
      </c>
    </row>
    <row r="172" spans="2:13" ht="19" x14ac:dyDescent="0.25">
      <c r="B172" s="68" t="s">
        <v>462</v>
      </c>
      <c r="C172" s="120">
        <v>0</v>
      </c>
      <c r="D172" s="120">
        <v>0</v>
      </c>
      <c r="E172" s="120">
        <v>0</v>
      </c>
      <c r="F172" s="120">
        <v>0</v>
      </c>
      <c r="G172" s="120">
        <v>0</v>
      </c>
      <c r="H172" s="121">
        <v>0</v>
      </c>
      <c r="I172" s="121">
        <v>0</v>
      </c>
      <c r="J172" s="121">
        <v>0</v>
      </c>
      <c r="K172" s="121">
        <f>-K163*K167</f>
        <v>50</v>
      </c>
      <c r="L172" s="121">
        <f>-L163*L167</f>
        <v>50</v>
      </c>
      <c r="M172" s="121">
        <f>-M163*M167</f>
        <v>50</v>
      </c>
    </row>
    <row r="173" spans="2:13" ht="19" x14ac:dyDescent="0.25">
      <c r="B173" s="68" t="s">
        <v>463</v>
      </c>
      <c r="C173" s="120">
        <v>0</v>
      </c>
      <c r="D173" s="120">
        <v>0</v>
      </c>
      <c r="E173" s="120">
        <v>0</v>
      </c>
      <c r="F173" s="120">
        <v>0</v>
      </c>
      <c r="G173" s="120">
        <v>0</v>
      </c>
      <c r="H173" s="121">
        <v>0</v>
      </c>
      <c r="I173" s="121">
        <v>0</v>
      </c>
      <c r="J173" s="121">
        <v>0</v>
      </c>
      <c r="K173" s="121">
        <f>-K163*K168</f>
        <v>350</v>
      </c>
      <c r="L173" s="121">
        <f>-L163*L168</f>
        <v>350</v>
      </c>
      <c r="M173" s="121">
        <f>-M163*M168</f>
        <v>350</v>
      </c>
    </row>
    <row r="174" spans="2:13" ht="19" x14ac:dyDescent="0.25">
      <c r="B174" s="68"/>
      <c r="H174" s="98"/>
      <c r="I174" s="98"/>
      <c r="J174" s="98"/>
      <c r="K174" s="98"/>
      <c r="L174" s="98"/>
      <c r="M174" s="98"/>
    </row>
    <row r="175" spans="2:13" ht="19" x14ac:dyDescent="0.25">
      <c r="B175" s="67" t="s">
        <v>464</v>
      </c>
      <c r="C175" s="123">
        <f>-3003000</f>
        <v>-3003000</v>
      </c>
      <c r="D175" s="115">
        <f t="shared" ref="D175:M175" si="77">C96-D96</f>
        <v>-4877000</v>
      </c>
      <c r="E175" s="95">
        <f t="shared" si="77"/>
        <v>4095000</v>
      </c>
      <c r="F175" s="95">
        <f t="shared" si="77"/>
        <v>1119000</v>
      </c>
      <c r="G175" s="115">
        <f t="shared" si="77"/>
        <v>-1901000</v>
      </c>
      <c r="H175" s="111">
        <f t="shared" si="77"/>
        <v>0</v>
      </c>
      <c r="I175" s="111">
        <f t="shared" si="77"/>
        <v>0</v>
      </c>
      <c r="J175" s="111">
        <f t="shared" si="77"/>
        <v>0</v>
      </c>
      <c r="K175" s="111">
        <f t="shared" si="77"/>
        <v>0</v>
      </c>
      <c r="L175" s="111">
        <f t="shared" si="77"/>
        <v>0</v>
      </c>
      <c r="M175" s="107">
        <f t="shared" si="77"/>
        <v>0</v>
      </c>
    </row>
    <row r="176" spans="2:13" ht="19" x14ac:dyDescent="0.25">
      <c r="B176" s="67" t="s">
        <v>465</v>
      </c>
      <c r="C176" s="115">
        <f>-1973000</f>
        <v>-1973000</v>
      </c>
      <c r="D176" s="115">
        <f t="shared" ref="D176:M176" si="78">C109-D109+C122-D122</f>
        <v>-13000</v>
      </c>
      <c r="E176" s="115">
        <f t="shared" si="78"/>
        <v>-432000</v>
      </c>
      <c r="F176" s="115">
        <f t="shared" si="78"/>
        <v>-3643000</v>
      </c>
      <c r="G176" s="95">
        <f t="shared" si="78"/>
        <v>-866000</v>
      </c>
      <c r="H176" s="111">
        <f t="shared" si="78"/>
        <v>-87105.899350441527</v>
      </c>
      <c r="I176" s="111">
        <f t="shared" si="78"/>
        <v>-88409.002535981126</v>
      </c>
      <c r="J176" s="111">
        <f t="shared" si="78"/>
        <v>-89732.710515697487</v>
      </c>
      <c r="K176" s="111">
        <f t="shared" si="78"/>
        <v>-91077.362106070388</v>
      </c>
      <c r="L176" s="111">
        <f t="shared" si="78"/>
        <v>-92443.301839184947</v>
      </c>
      <c r="M176" s="107">
        <f t="shared" si="78"/>
        <v>-93830.880060688592</v>
      </c>
    </row>
    <row r="177" spans="2:13" ht="19" x14ac:dyDescent="0.25">
      <c r="B177" s="67"/>
      <c r="H177" s="98"/>
      <c r="I177" s="98"/>
      <c r="J177" s="98"/>
      <c r="K177" s="98"/>
      <c r="L177" s="98"/>
      <c r="M177" s="98"/>
    </row>
    <row r="178" spans="2:13" ht="19" x14ac:dyDescent="0.25">
      <c r="B178" s="88" t="s">
        <v>466</v>
      </c>
      <c r="C178" s="125">
        <f t="shared" ref="C178:M178" si="79">C160+C163+C175+C176</f>
        <v>-5663070</v>
      </c>
      <c r="D178" s="125">
        <f t="shared" si="79"/>
        <v>-5639489</v>
      </c>
      <c r="E178" s="124">
        <f t="shared" si="79"/>
        <v>2757237</v>
      </c>
      <c r="F178" s="125">
        <f t="shared" si="79"/>
        <v>-3225000</v>
      </c>
      <c r="G178" s="125">
        <f t="shared" si="79"/>
        <v>-3345000</v>
      </c>
      <c r="H178" s="125">
        <f t="shared" si="79"/>
        <v>-1085568.2029698906</v>
      </c>
      <c r="I178" s="125">
        <f t="shared" si="79"/>
        <v>-1168619.0919703376</v>
      </c>
      <c r="J178" s="125">
        <f t="shared" si="79"/>
        <v>-1258383.5780405982</v>
      </c>
      <c r="K178" s="125">
        <f t="shared" si="79"/>
        <v>-1355909.9799229109</v>
      </c>
      <c r="L178" s="125">
        <f t="shared" si="79"/>
        <v>-1460791.4872096756</v>
      </c>
      <c r="M178" s="125">
        <f t="shared" si="79"/>
        <v>-1574169.8337152011</v>
      </c>
    </row>
    <row r="179" spans="2:13" ht="19" x14ac:dyDescent="0.25">
      <c r="B179" s="67"/>
      <c r="H179" s="98"/>
      <c r="I179" s="98"/>
      <c r="J179" s="98"/>
      <c r="K179" s="98"/>
      <c r="L179" s="98"/>
      <c r="M179" s="98"/>
    </row>
    <row r="180" spans="2:13" ht="19" x14ac:dyDescent="0.25">
      <c r="B180" s="86" t="s">
        <v>467</v>
      </c>
      <c r="C180" s="115">
        <f>-1000000</f>
        <v>-1000000</v>
      </c>
      <c r="D180" s="122">
        <f>-(C48-D48)</f>
        <v>-1000</v>
      </c>
      <c r="E180" s="122">
        <f t="shared" ref="E180:M180" si="80">-(D48-E48)</f>
        <v>1000</v>
      </c>
      <c r="F180" s="122">
        <f t="shared" si="80"/>
        <v>-20000</v>
      </c>
      <c r="G180" s="122">
        <f t="shared" si="80"/>
        <v>-51000</v>
      </c>
      <c r="H180" s="106">
        <f t="shared" si="80"/>
        <v>-50000</v>
      </c>
      <c r="I180" s="106">
        <f t="shared" si="80"/>
        <v>-50000</v>
      </c>
      <c r="J180" s="106">
        <f t="shared" si="80"/>
        <v>-50000</v>
      </c>
      <c r="K180" s="106">
        <f t="shared" si="80"/>
        <v>-50000</v>
      </c>
      <c r="L180" s="106">
        <f t="shared" si="80"/>
        <v>-50000</v>
      </c>
      <c r="M180" s="106">
        <f t="shared" si="80"/>
        <v>-50000</v>
      </c>
    </row>
    <row r="181" spans="2:13" ht="19" x14ac:dyDescent="0.25">
      <c r="B181" s="89" t="s">
        <v>468</v>
      </c>
      <c r="C181" s="114">
        <v>0</v>
      </c>
      <c r="D181" s="114">
        <v>0</v>
      </c>
      <c r="E181" s="114">
        <v>0</v>
      </c>
      <c r="F181" s="114">
        <v>0</v>
      </c>
      <c r="G181" s="114">
        <v>70</v>
      </c>
      <c r="H181" s="107">
        <f>G181*1.1</f>
        <v>77</v>
      </c>
      <c r="I181" s="107">
        <v>135</v>
      </c>
      <c r="J181" s="107">
        <f>I181*1.1</f>
        <v>148.5</v>
      </c>
      <c r="K181" s="107">
        <f>J181*1.1</f>
        <v>163.35000000000002</v>
      </c>
      <c r="L181" s="107">
        <f>K181*1.1</f>
        <v>179.68500000000003</v>
      </c>
      <c r="M181" s="107">
        <f>L181*1.1</f>
        <v>197.65350000000004</v>
      </c>
    </row>
    <row r="182" spans="2:13" ht="19" x14ac:dyDescent="0.25">
      <c r="B182" s="89" t="s">
        <v>469</v>
      </c>
      <c r="G182" s="129">
        <f>G180/G181*10</f>
        <v>-7285.7142857142853</v>
      </c>
      <c r="H182" s="130">
        <f t="shared" ref="H182:M182" si="81">H180/H181*10</f>
        <v>-6493.5064935064938</v>
      </c>
      <c r="I182" s="130">
        <f t="shared" si="81"/>
        <v>-3703.7037037037039</v>
      </c>
      <c r="J182" s="130">
        <f t="shared" si="81"/>
        <v>-3367.0033670033672</v>
      </c>
      <c r="K182" s="130">
        <f t="shared" si="81"/>
        <v>-3060.9121518212423</v>
      </c>
      <c r="L182" s="130">
        <f t="shared" si="81"/>
        <v>-2782.6474107465838</v>
      </c>
      <c r="M182" s="130">
        <f t="shared" si="81"/>
        <v>-2529.6794643150761</v>
      </c>
    </row>
    <row r="183" spans="2:13" ht="19" x14ac:dyDescent="0.25">
      <c r="B183" s="86" t="s">
        <v>470</v>
      </c>
      <c r="H183" s="107">
        <v>0</v>
      </c>
      <c r="I183" s="107">
        <v>0</v>
      </c>
      <c r="J183" s="107">
        <v>0</v>
      </c>
      <c r="K183" s="107">
        <v>0</v>
      </c>
      <c r="L183" s="107">
        <v>0</v>
      </c>
      <c r="M183" s="107">
        <v>0</v>
      </c>
    </row>
    <row r="184" spans="2:13" ht="19" x14ac:dyDescent="0.25">
      <c r="B184" s="86" t="s">
        <v>471</v>
      </c>
      <c r="H184" s="107">
        <v>0</v>
      </c>
      <c r="I184" s="107">
        <v>0</v>
      </c>
      <c r="J184" s="107">
        <v>0</v>
      </c>
      <c r="K184" s="107">
        <v>0</v>
      </c>
      <c r="L184" s="107">
        <v>0</v>
      </c>
      <c r="M184" s="107">
        <v>0</v>
      </c>
    </row>
    <row r="185" spans="2:13" ht="19" x14ac:dyDescent="0.25">
      <c r="B185" s="86" t="s">
        <v>472</v>
      </c>
      <c r="C185" s="127">
        <v>0</v>
      </c>
      <c r="D185" s="128">
        <f t="shared" ref="D185:M185" si="82">D120-C120</f>
        <v>3974000</v>
      </c>
      <c r="E185" s="131">
        <f t="shared" si="82"/>
        <v>-890000</v>
      </c>
      <c r="F185" s="128">
        <f t="shared" si="82"/>
        <v>2368000</v>
      </c>
      <c r="G185" s="131">
        <f t="shared" si="82"/>
        <v>-741000</v>
      </c>
      <c r="H185" s="107">
        <f t="shared" si="82"/>
        <v>0</v>
      </c>
      <c r="I185" s="107">
        <f t="shared" si="82"/>
        <v>0</v>
      </c>
      <c r="J185" s="107">
        <f t="shared" si="82"/>
        <v>0</v>
      </c>
      <c r="K185" s="107">
        <f t="shared" si="82"/>
        <v>0</v>
      </c>
      <c r="L185" s="107">
        <f t="shared" si="82"/>
        <v>0</v>
      </c>
      <c r="M185" s="107">
        <f t="shared" si="82"/>
        <v>0</v>
      </c>
    </row>
    <row r="186" spans="2:13" ht="19" x14ac:dyDescent="0.25">
      <c r="B186" s="86" t="s">
        <v>473</v>
      </c>
      <c r="C186" s="126">
        <v>0</v>
      </c>
      <c r="D186" s="129">
        <f t="shared" ref="D186:M186" si="83">D133-C133+D126-C126-D144</f>
        <v>-1376000</v>
      </c>
      <c r="E186" s="129">
        <f t="shared" si="83"/>
        <v>-1376044</v>
      </c>
      <c r="F186" s="129">
        <f t="shared" si="83"/>
        <v>-1261000</v>
      </c>
      <c r="G186" s="129">
        <f t="shared" si="83"/>
        <v>-1475000</v>
      </c>
      <c r="H186" s="130">
        <f t="shared" si="83"/>
        <v>-1464640.5916127625</v>
      </c>
      <c r="I186" s="130">
        <f t="shared" si="83"/>
        <v>-1584556.1106513394</v>
      </c>
      <c r="J186" s="130">
        <f t="shared" si="83"/>
        <v>-1714289.5548441387</v>
      </c>
      <c r="K186" s="130">
        <f t="shared" si="83"/>
        <v>-1854644.7538798188</v>
      </c>
      <c r="L186" s="130">
        <f t="shared" si="83"/>
        <v>-2006491.3499438947</v>
      </c>
      <c r="M186" s="130">
        <f t="shared" si="83"/>
        <v>-2170770.1860302235</v>
      </c>
    </row>
    <row r="187" spans="2:13" ht="19" x14ac:dyDescent="0.25">
      <c r="B187" s="67"/>
      <c r="H187" s="98"/>
      <c r="I187" s="98"/>
      <c r="J187" s="98"/>
      <c r="K187" s="98"/>
      <c r="L187" s="98"/>
      <c r="M187" s="98"/>
    </row>
    <row r="188" spans="2:13" ht="19" x14ac:dyDescent="0.25">
      <c r="B188" s="87" t="s">
        <v>474</v>
      </c>
      <c r="C188" s="87">
        <f t="shared" ref="C188:M188" si="84">C180+C183+C184+C185+C186</f>
        <v>-1000000</v>
      </c>
      <c r="D188" s="87">
        <f t="shared" si="84"/>
        <v>2597000</v>
      </c>
      <c r="E188" s="87">
        <f t="shared" si="84"/>
        <v>-2265044</v>
      </c>
      <c r="F188" s="87">
        <f t="shared" si="84"/>
        <v>1087000</v>
      </c>
      <c r="G188" s="87">
        <f t="shared" si="84"/>
        <v>-2267000</v>
      </c>
      <c r="H188" s="132">
        <f t="shared" si="84"/>
        <v>-1514640.5916127625</v>
      </c>
      <c r="I188" s="132">
        <f t="shared" si="84"/>
        <v>-1634556.1106513394</v>
      </c>
      <c r="J188" s="132">
        <f t="shared" si="84"/>
        <v>-1764289.5548441387</v>
      </c>
      <c r="K188" s="132">
        <f t="shared" si="84"/>
        <v>-1904644.7538798188</v>
      </c>
      <c r="L188" s="132">
        <f t="shared" si="84"/>
        <v>-2056491.3499438947</v>
      </c>
      <c r="M188" s="132">
        <f t="shared" si="84"/>
        <v>-2220770.1860302235</v>
      </c>
    </row>
    <row r="189" spans="2:13" ht="19" x14ac:dyDescent="0.25">
      <c r="B189" s="67"/>
      <c r="H189" s="98"/>
      <c r="I189" s="98"/>
      <c r="J189" s="98"/>
      <c r="K189" s="98"/>
      <c r="L189" s="98"/>
      <c r="M189" s="98"/>
    </row>
    <row r="190" spans="2:13" ht="19" x14ac:dyDescent="0.25">
      <c r="B190" s="67" t="s">
        <v>475</v>
      </c>
      <c r="C190" s="114">
        <v>0</v>
      </c>
      <c r="D190" s="129">
        <f>D131-C131</f>
        <v>-311000</v>
      </c>
      <c r="E190" s="126">
        <f t="shared" ref="E190:M190" si="85">E131-D131</f>
        <v>304000</v>
      </c>
      <c r="F190" s="129">
        <f t="shared" si="85"/>
        <v>-792000</v>
      </c>
      <c r="G190" s="126">
        <f t="shared" si="85"/>
        <v>182000</v>
      </c>
      <c r="H190" s="108">
        <f t="shared" si="85"/>
        <v>0</v>
      </c>
      <c r="I190" s="108">
        <f t="shared" si="85"/>
        <v>0</v>
      </c>
      <c r="J190" s="108">
        <f t="shared" si="85"/>
        <v>0</v>
      </c>
      <c r="K190" s="108">
        <f t="shared" si="85"/>
        <v>0</v>
      </c>
      <c r="L190" s="108">
        <f t="shared" si="85"/>
        <v>0</v>
      </c>
      <c r="M190" s="108">
        <f t="shared" si="85"/>
        <v>0</v>
      </c>
    </row>
    <row r="191" spans="2:13" ht="20" thickBot="1" x14ac:dyDescent="0.3">
      <c r="B191" s="67"/>
      <c r="H191" s="97"/>
      <c r="I191" s="97"/>
      <c r="J191" s="97"/>
      <c r="K191" s="98"/>
      <c r="L191" s="98"/>
      <c r="M191" s="98"/>
    </row>
    <row r="192" spans="2:13" ht="19" x14ac:dyDescent="0.25">
      <c r="B192" s="90" t="s">
        <v>476</v>
      </c>
      <c r="C192" s="139">
        <f>C157+C178+C188+C190</f>
        <v>-2592070</v>
      </c>
      <c r="D192" s="139">
        <f t="shared" ref="D192:M192" si="86">D157+D178+D188+D190</f>
        <v>2865511</v>
      </c>
      <c r="E192" s="133">
        <f t="shared" si="86"/>
        <v>6593193</v>
      </c>
      <c r="F192" s="139">
        <f t="shared" si="86"/>
        <v>2883000</v>
      </c>
      <c r="G192" s="139">
        <f t="shared" si="86"/>
        <v>-587000</v>
      </c>
      <c r="H192" s="222">
        <f t="shared" si="86"/>
        <v>4072879.9748297585</v>
      </c>
      <c r="I192" s="222">
        <f t="shared" si="86"/>
        <v>4434462.3486853978</v>
      </c>
      <c r="J192" s="222">
        <f t="shared" si="86"/>
        <v>5161918.1647197604</v>
      </c>
      <c r="K192" s="222">
        <f t="shared" si="86"/>
        <v>5027637.8975709863</v>
      </c>
      <c r="L192" s="222">
        <f t="shared" si="86"/>
        <v>6352880.7950212024</v>
      </c>
      <c r="M192" s="222">
        <f t="shared" si="86"/>
        <v>6267131.958804613</v>
      </c>
    </row>
    <row r="193" spans="2:13" ht="19" x14ac:dyDescent="0.25">
      <c r="B193" s="67"/>
      <c r="H193" s="97"/>
      <c r="I193" s="97"/>
      <c r="J193" s="97"/>
      <c r="K193" s="98"/>
      <c r="L193" s="98"/>
      <c r="M193" s="98"/>
    </row>
    <row r="194" spans="2:13" ht="19" x14ac:dyDescent="0.25">
      <c r="B194" s="67" t="s">
        <v>477</v>
      </c>
      <c r="C194" s="57">
        <v>0</v>
      </c>
      <c r="D194" s="122">
        <f>D95-C95</f>
        <v>-2555000</v>
      </c>
      <c r="E194" s="122">
        <f t="shared" ref="E194:M194" si="87">E95-D95</f>
        <v>403000</v>
      </c>
      <c r="F194" s="122">
        <f t="shared" si="87"/>
        <v>2579000</v>
      </c>
      <c r="G194" s="122">
        <f t="shared" si="87"/>
        <v>1305000</v>
      </c>
      <c r="H194" s="106">
        <f t="shared" si="87"/>
        <v>2077839.9748297632</v>
      </c>
      <c r="I194" s="106">
        <f t="shared" si="87"/>
        <v>2229566.9486853778</v>
      </c>
      <c r="J194" s="106">
        <f t="shared" si="87"/>
        <v>2587108.1380921155</v>
      </c>
      <c r="K194" s="106">
        <f t="shared" si="87"/>
        <v>2337860.0950309783</v>
      </c>
      <c r="L194" s="106">
        <f t="shared" si="87"/>
        <v>3383606.6594557911</v>
      </c>
      <c r="M194" s="106">
        <f t="shared" si="87"/>
        <v>2990356.7213835567</v>
      </c>
    </row>
    <row r="195" spans="2:13" ht="19" x14ac:dyDescent="0.25">
      <c r="B195" s="67" t="s">
        <v>478</v>
      </c>
      <c r="C195" s="129">
        <f t="shared" ref="C195:M195" si="88">C192-C194</f>
        <v>-2592070</v>
      </c>
      <c r="D195" s="126">
        <f t="shared" si="88"/>
        <v>5420511</v>
      </c>
      <c r="E195" s="126">
        <f t="shared" si="88"/>
        <v>6190193</v>
      </c>
      <c r="F195" s="129">
        <f t="shared" si="88"/>
        <v>304000</v>
      </c>
      <c r="G195" s="129">
        <f t="shared" si="88"/>
        <v>-1892000</v>
      </c>
      <c r="H195" s="130">
        <f t="shared" si="88"/>
        <v>1995039.9999999953</v>
      </c>
      <c r="I195" s="130">
        <f t="shared" si="88"/>
        <v>2204895.4000000199</v>
      </c>
      <c r="J195" s="130">
        <f t="shared" si="88"/>
        <v>2574810.0266276449</v>
      </c>
      <c r="K195" s="130">
        <f t="shared" si="88"/>
        <v>2689777.802540008</v>
      </c>
      <c r="L195" s="130">
        <f t="shared" si="88"/>
        <v>2969274.1355654113</v>
      </c>
      <c r="M195" s="130">
        <f t="shared" si="88"/>
        <v>3276775.2374210563</v>
      </c>
    </row>
    <row r="196" spans="2:13" ht="19" x14ac:dyDescent="0.25">
      <c r="B196" s="57"/>
    </row>
  </sheetData>
  <pageMargins left="0.7" right="0.7" top="0.75" bottom="0.75" header="0.3" footer="0.3"/>
  <pageSetup orientation="portrait" horizontalDpi="0" verticalDpi="0"/>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86C35B-FE04-CD40-966A-2548318425BA}">
  <dimension ref="A2:O109"/>
  <sheetViews>
    <sheetView showGridLines="0" zoomScale="65" zoomScaleNormal="65" workbookViewId="0">
      <pane xSplit="1" ySplit="2" topLeftCell="B5" activePane="bottomRight" state="frozen"/>
      <selection pane="topRight" activeCell="B1" sqref="B1"/>
      <selection pane="bottomLeft" activeCell="A3" sqref="A3"/>
      <selection pane="bottomRight" activeCell="G111" sqref="G111"/>
    </sheetView>
  </sheetViews>
  <sheetFormatPr baseColWidth="10" defaultRowHeight="16" x14ac:dyDescent="0.2"/>
  <cols>
    <col min="1" max="1" width="47.83203125" bestFit="1" customWidth="1"/>
    <col min="2" max="2" width="17.33203125" bestFit="1" customWidth="1"/>
    <col min="3" max="11" width="19.83203125" bestFit="1" customWidth="1"/>
    <col min="12" max="12" width="21" bestFit="1" customWidth="1"/>
  </cols>
  <sheetData>
    <row r="2" spans="1:12" ht="19" x14ac:dyDescent="0.25">
      <c r="A2" s="23" t="s">
        <v>654</v>
      </c>
      <c r="B2" s="24">
        <v>2019</v>
      </c>
      <c r="C2" s="24">
        <v>2020</v>
      </c>
      <c r="D2" s="24">
        <v>2021</v>
      </c>
      <c r="E2" s="24">
        <v>2022</v>
      </c>
      <c r="F2" s="24">
        <v>2023</v>
      </c>
      <c r="G2" s="24">
        <v>2024</v>
      </c>
      <c r="H2" s="24">
        <v>2025</v>
      </c>
      <c r="I2" s="24">
        <v>2026</v>
      </c>
      <c r="J2" s="24">
        <v>2027</v>
      </c>
      <c r="K2" s="24">
        <v>2028</v>
      </c>
      <c r="L2" s="24">
        <v>2029</v>
      </c>
    </row>
    <row r="3" spans="1:12" ht="19" x14ac:dyDescent="0.25">
      <c r="A3" s="265" t="s">
        <v>483</v>
      </c>
      <c r="G3" s="98"/>
      <c r="H3" s="98"/>
      <c r="I3" s="98"/>
      <c r="J3" s="98"/>
      <c r="K3" s="98"/>
      <c r="L3" s="98"/>
    </row>
    <row r="4" spans="1:12" ht="19" x14ac:dyDescent="0.25">
      <c r="A4" s="57" t="s">
        <v>655</v>
      </c>
      <c r="B4" s="95">
        <f>Forecast!C95</f>
        <v>7349000</v>
      </c>
      <c r="C4" s="95">
        <f>Forecast!D95</f>
        <v>4794000</v>
      </c>
      <c r="D4" s="95">
        <f>Forecast!E95</f>
        <v>5197000</v>
      </c>
      <c r="E4" s="95">
        <f>Forecast!F95</f>
        <v>7776000</v>
      </c>
      <c r="F4" s="95">
        <f>Forecast!G95</f>
        <v>9081000</v>
      </c>
      <c r="G4" s="111">
        <f>Forecast!H95</f>
        <v>11158839.974829763</v>
      </c>
      <c r="H4" s="111">
        <f>Forecast!I95</f>
        <v>13388406.923515141</v>
      </c>
      <c r="I4" s="111">
        <f>Forecast!J95</f>
        <v>15975515.061607257</v>
      </c>
      <c r="J4" s="111">
        <f>Forecast!K95</f>
        <v>18313375.156638235</v>
      </c>
      <c r="K4" s="111">
        <f>Forecast!L95</f>
        <v>21696981.816094026</v>
      </c>
      <c r="L4" s="111">
        <f>Forecast!M95</f>
        <v>24687338.537477583</v>
      </c>
    </row>
    <row r="5" spans="1:12" ht="19" x14ac:dyDescent="0.25">
      <c r="A5" s="57" t="s">
        <v>656</v>
      </c>
      <c r="B5" s="95">
        <f>B6*Forecast!C5</f>
        <v>2091000</v>
      </c>
      <c r="C5" s="95">
        <f>C6*Forecast!D5</f>
        <v>2555000</v>
      </c>
      <c r="D5" s="95">
        <f>D6*Forecast!E5</f>
        <v>3183000</v>
      </c>
      <c r="E5" s="95">
        <f>E6*Forecast!F5</f>
        <v>3095000</v>
      </c>
      <c r="F5" s="95">
        <f>F6*Forecast!G5</f>
        <v>2393000</v>
      </c>
      <c r="G5" s="111">
        <f>G6*Forecast!H5</f>
        <v>2720046.8129951302</v>
      </c>
      <c r="H5" s="111">
        <f>H6*Forecast!I5</f>
        <v>2942747.0626382018</v>
      </c>
      <c r="I5" s="111">
        <f>I6*Forecast!J5</f>
        <v>3183680.6018534009</v>
      </c>
      <c r="J5" s="111">
        <f>J6*Forecast!K5</f>
        <v>3444340.2572053787</v>
      </c>
      <c r="K5" s="111">
        <f>K6*Forecast!L5</f>
        <v>3726341.0784672331</v>
      </c>
      <c r="L5" s="111">
        <f>L6*Forecast!M5</f>
        <v>4031430.3454847001</v>
      </c>
    </row>
    <row r="6" spans="1:12" ht="19" x14ac:dyDescent="0.25">
      <c r="A6" s="57" t="s">
        <v>657</v>
      </c>
      <c r="B6" s="230">
        <f>(Forecast!C14-Forecast!C144)/Forecast!C5</f>
        <v>0.11765698852126941</v>
      </c>
      <c r="C6" s="230">
        <f>(Forecast!D14-Forecast!D144)/Forecast!D5</f>
        <v>0.11909201081383425</v>
      </c>
      <c r="D6" s="230">
        <f>(Forecast!E14-Forecast!E144)/Forecast!E5</f>
        <v>0.12545820030743762</v>
      </c>
      <c r="E6" s="230">
        <f>(Forecast!F14-Forecast!F144)/Forecast!F5</f>
        <v>0.11247183661603315</v>
      </c>
      <c r="F6" s="230">
        <f>(Forecast!G14-Forecast!G144)/Forecast!G5</f>
        <v>8.0380235799939539E-2</v>
      </c>
      <c r="G6" s="342">
        <f>(Forecast!H14-Forecast!H144)/Forecast!H5</f>
        <v>8.4451311679150848E-2</v>
      </c>
      <c r="H6" s="342">
        <f>(Forecast!I14-Forecast!I144)/Forecast!I5</f>
        <v>8.4451311679150862E-2</v>
      </c>
      <c r="I6" s="342">
        <f>(Forecast!J14-Forecast!J144)/Forecast!J5</f>
        <v>8.4451311679150848E-2</v>
      </c>
      <c r="J6" s="342">
        <f>(Forecast!K14-Forecast!K144)/Forecast!K5</f>
        <v>8.4451311679150862E-2</v>
      </c>
      <c r="K6" s="342">
        <f>(Forecast!L14-Forecast!L144)/Forecast!L5</f>
        <v>8.4451311679150862E-2</v>
      </c>
      <c r="L6" s="342">
        <f>(Forecast!M14-Forecast!M144)/Forecast!M5</f>
        <v>8.4451311679150848E-2</v>
      </c>
    </row>
    <row r="7" spans="1:12" ht="19" x14ac:dyDescent="0.25">
      <c r="A7" s="57" t="s">
        <v>658</v>
      </c>
      <c r="B7" s="114">
        <v>0</v>
      </c>
      <c r="C7" s="114">
        <v>0</v>
      </c>
      <c r="D7" s="114">
        <v>0</v>
      </c>
      <c r="E7" s="114">
        <v>0</v>
      </c>
      <c r="F7" s="114">
        <v>0</v>
      </c>
      <c r="G7" s="107">
        <v>0</v>
      </c>
      <c r="H7" s="107">
        <v>0</v>
      </c>
      <c r="I7" s="107">
        <v>0</v>
      </c>
      <c r="J7" s="107">
        <v>0</v>
      </c>
      <c r="K7" s="107">
        <v>0</v>
      </c>
      <c r="L7" s="107">
        <v>0</v>
      </c>
    </row>
    <row r="8" spans="1:12" ht="19" x14ac:dyDescent="0.25">
      <c r="A8" s="57"/>
      <c r="G8" s="98"/>
      <c r="H8" s="98"/>
      <c r="I8" s="98"/>
      <c r="J8" s="98"/>
      <c r="K8" s="98"/>
      <c r="L8" s="98"/>
    </row>
    <row r="9" spans="1:12" ht="19" x14ac:dyDescent="0.25">
      <c r="A9" s="57" t="s">
        <v>659</v>
      </c>
      <c r="B9" s="95">
        <f>Forecast!C97+Forecast!C99+Forecast!C102-Forecast!C113-Forecast!C117</f>
        <v>815000</v>
      </c>
      <c r="C9" s="95">
        <f>Forecast!D97+Forecast!D99+Forecast!D102-Forecast!D113-Forecast!D117</f>
        <v>-535000</v>
      </c>
      <c r="D9" s="95">
        <f>Forecast!E97+Forecast!E99+Forecast!E102-Forecast!E113-Forecast!E117</f>
        <v>154000</v>
      </c>
      <c r="E9" s="95">
        <f>Forecast!F97+Forecast!F99+Forecast!F102-Forecast!F113-Forecast!F117</f>
        <v>1565000</v>
      </c>
      <c r="F9" s="95">
        <f>Forecast!G97+Forecast!G99+Forecast!G102-Forecast!G113-Forecast!G117</f>
        <v>46000</v>
      </c>
      <c r="G9" s="111">
        <f>Forecast!H97+Forecast!H99+Forecast!H102-Forecast!H113-Forecast!H117</f>
        <v>125439.43849455565</v>
      </c>
      <c r="H9" s="111">
        <f>Forecast!I97+Forecast!I99+Forecast!I102-Forecast!I113-Forecast!I117</f>
        <v>242839.63775257766</v>
      </c>
      <c r="I9" s="111">
        <f>Forecast!J97+Forecast!J99+Forecast!J102-Forecast!J113-Forecast!J117</f>
        <v>134131.43857244402</v>
      </c>
      <c r="J9" s="111">
        <f>Forecast!K97+Forecast!K99+Forecast!K102-Forecast!K113-Forecast!K117</f>
        <v>394210.53057591617</v>
      </c>
      <c r="K9" s="111">
        <f>Forecast!L97+Forecast!L99+Forecast!L102-Forecast!L113-Forecast!L117</f>
        <v>-242547.49084725976</v>
      </c>
      <c r="L9" s="111">
        <f>Forecast!M97+Forecast!M99+Forecast!M102-Forecast!M113-Forecast!M117</f>
        <v>-288874.3368409425</v>
      </c>
    </row>
    <row r="10" spans="1:12" ht="20" thickBot="1" x14ac:dyDescent="0.25">
      <c r="A10" s="270" t="s">
        <v>660</v>
      </c>
      <c r="B10" s="272">
        <f>B9+B7+B5</f>
        <v>2906000</v>
      </c>
      <c r="C10" s="272">
        <f t="shared" ref="C10:L10" si="0">C9+C7+C5</f>
        <v>2020000</v>
      </c>
      <c r="D10" s="272">
        <f t="shared" si="0"/>
        <v>3337000</v>
      </c>
      <c r="E10" s="272">
        <f t="shared" si="0"/>
        <v>4660000</v>
      </c>
      <c r="F10" s="272">
        <f t="shared" si="0"/>
        <v>2439000</v>
      </c>
      <c r="G10" s="343">
        <f t="shared" si="0"/>
        <v>2845486.2514896858</v>
      </c>
      <c r="H10" s="343">
        <f t="shared" si="0"/>
        <v>3185586.7003907794</v>
      </c>
      <c r="I10" s="343">
        <f t="shared" si="0"/>
        <v>3317812.040425845</v>
      </c>
      <c r="J10" s="343">
        <f t="shared" si="0"/>
        <v>3838550.7877812949</v>
      </c>
      <c r="K10" s="343">
        <f t="shared" si="0"/>
        <v>3483793.5876199733</v>
      </c>
      <c r="L10" s="343">
        <f t="shared" si="0"/>
        <v>3742556.0086437576</v>
      </c>
    </row>
    <row r="11" spans="1:12" ht="19" x14ac:dyDescent="0.25">
      <c r="A11" s="57"/>
      <c r="G11" s="98"/>
      <c r="H11" s="98"/>
      <c r="I11" s="98"/>
      <c r="J11" s="98"/>
      <c r="K11" s="98"/>
      <c r="L11" s="98"/>
    </row>
    <row r="12" spans="1:12" ht="19" x14ac:dyDescent="0.25">
      <c r="A12" s="265" t="s">
        <v>661</v>
      </c>
      <c r="G12" s="98"/>
      <c r="H12" s="98"/>
      <c r="I12" s="98"/>
      <c r="J12" s="98"/>
      <c r="K12" s="98"/>
      <c r="L12" s="98"/>
    </row>
    <row r="13" spans="1:12" ht="19" x14ac:dyDescent="0.25">
      <c r="A13" s="57" t="s">
        <v>662</v>
      </c>
      <c r="G13" s="98"/>
      <c r="H13" s="98"/>
      <c r="I13" s="98"/>
      <c r="J13" s="98"/>
      <c r="K13" s="98"/>
      <c r="L13" s="98"/>
    </row>
    <row r="14" spans="1:12" ht="19" x14ac:dyDescent="0.25">
      <c r="A14" s="57" t="s">
        <v>663</v>
      </c>
      <c r="G14" s="98"/>
      <c r="H14" s="98"/>
      <c r="I14" s="98"/>
      <c r="J14" s="98"/>
      <c r="K14" s="98"/>
      <c r="L14" s="98"/>
    </row>
    <row r="15" spans="1:12" ht="19" x14ac:dyDescent="0.25">
      <c r="A15" s="268" t="s">
        <v>664</v>
      </c>
      <c r="B15" s="95">
        <f>Forecast!C105</f>
        <v>1693000</v>
      </c>
      <c r="C15" s="95">
        <f>Forecast!D105</f>
        <v>1807000</v>
      </c>
      <c r="D15" s="95">
        <f>Forecast!E105</f>
        <v>1909000</v>
      </c>
      <c r="E15" s="95">
        <f>Forecast!F105</f>
        <v>1730000</v>
      </c>
      <c r="F15" s="95">
        <f>Forecast!G105</f>
        <v>1488000</v>
      </c>
      <c r="G15" s="111">
        <f>Forecast!H105</f>
        <v>1571197.1680718076</v>
      </c>
      <c r="H15" s="111">
        <f>Forecast!I105</f>
        <v>1661205.9946822366</v>
      </c>
      <c r="I15" s="111">
        <f>Forecast!J105</f>
        <v>1758584.1754010052</v>
      </c>
      <c r="J15" s="111">
        <f>Forecast!K105</f>
        <v>1863935.0663879397</v>
      </c>
      <c r="K15" s="111">
        <f>Forecast!L105</f>
        <v>1977911.4227936389</v>
      </c>
      <c r="L15" s="111">
        <f>Forecast!M105</f>
        <v>2101219.4432367692</v>
      </c>
    </row>
    <row r="16" spans="1:12" ht="19" x14ac:dyDescent="0.25">
      <c r="A16" s="57" t="s">
        <v>665</v>
      </c>
      <c r="B16" s="95">
        <v>0</v>
      </c>
      <c r="C16" s="95">
        <v>0</v>
      </c>
      <c r="D16" s="95">
        <v>0</v>
      </c>
      <c r="E16" s="95">
        <v>0</v>
      </c>
      <c r="F16" s="95">
        <v>0</v>
      </c>
      <c r="G16" s="111">
        <v>0</v>
      </c>
      <c r="H16" s="111">
        <v>0</v>
      </c>
      <c r="I16" s="111">
        <v>0</v>
      </c>
      <c r="J16" s="111">
        <v>0</v>
      </c>
      <c r="K16" s="111">
        <v>0</v>
      </c>
      <c r="L16" s="111">
        <v>0</v>
      </c>
    </row>
    <row r="17" spans="1:12" ht="19" x14ac:dyDescent="0.25">
      <c r="A17" s="57" t="s">
        <v>666</v>
      </c>
      <c r="B17" s="95">
        <v>0</v>
      </c>
      <c r="C17" s="95">
        <v>0</v>
      </c>
      <c r="D17" s="95">
        <v>0</v>
      </c>
      <c r="E17" s="95">
        <v>0</v>
      </c>
      <c r="F17" s="95">
        <v>0</v>
      </c>
      <c r="G17" s="111">
        <v>0</v>
      </c>
      <c r="H17" s="111">
        <v>0</v>
      </c>
      <c r="I17" s="111">
        <v>0</v>
      </c>
      <c r="J17" s="111">
        <v>0</v>
      </c>
      <c r="K17" s="111">
        <v>0</v>
      </c>
      <c r="L17" s="111">
        <v>0</v>
      </c>
    </row>
    <row r="18" spans="1:12" ht="20" thickBot="1" x14ac:dyDescent="0.25">
      <c r="A18" s="270" t="s">
        <v>667</v>
      </c>
      <c r="B18" s="271">
        <f>B13-B14+B15+B16</f>
        <v>1693000</v>
      </c>
      <c r="C18" s="271">
        <f t="shared" ref="C18:L18" si="1">C13-C14+C15+C16</f>
        <v>1807000</v>
      </c>
      <c r="D18" s="271">
        <f t="shared" si="1"/>
        <v>1909000</v>
      </c>
      <c r="E18" s="271">
        <f t="shared" si="1"/>
        <v>1730000</v>
      </c>
      <c r="F18" s="271">
        <f t="shared" si="1"/>
        <v>1488000</v>
      </c>
      <c r="G18" s="344">
        <f t="shared" si="1"/>
        <v>1571197.1680718076</v>
      </c>
      <c r="H18" s="344">
        <f t="shared" si="1"/>
        <v>1661205.9946822366</v>
      </c>
      <c r="I18" s="344">
        <f t="shared" si="1"/>
        <v>1758584.1754010052</v>
      </c>
      <c r="J18" s="344">
        <f t="shared" si="1"/>
        <v>1863935.0663879397</v>
      </c>
      <c r="K18" s="344">
        <f t="shared" si="1"/>
        <v>1977911.4227936389</v>
      </c>
      <c r="L18" s="344">
        <f t="shared" si="1"/>
        <v>2101219.4432367692</v>
      </c>
    </row>
    <row r="19" spans="1:12" ht="19" x14ac:dyDescent="0.25">
      <c r="A19" s="57" t="s">
        <v>668</v>
      </c>
      <c r="B19" s="114">
        <v>0</v>
      </c>
      <c r="C19" s="114">
        <v>0</v>
      </c>
      <c r="D19" s="114">
        <v>0</v>
      </c>
      <c r="E19" s="114">
        <v>0</v>
      </c>
      <c r="F19" s="114">
        <v>0</v>
      </c>
      <c r="G19" s="107">
        <v>0</v>
      </c>
      <c r="H19" s="107">
        <v>0</v>
      </c>
      <c r="I19" s="107">
        <v>0</v>
      </c>
      <c r="J19" s="107">
        <v>0</v>
      </c>
      <c r="K19" s="107">
        <v>0</v>
      </c>
      <c r="L19" s="107">
        <v>0</v>
      </c>
    </row>
    <row r="20" spans="1:12" ht="19" x14ac:dyDescent="0.25">
      <c r="A20" s="57"/>
      <c r="G20" s="98"/>
      <c r="H20" s="98"/>
      <c r="I20" s="98"/>
      <c r="J20" s="98"/>
      <c r="K20" s="98"/>
      <c r="L20" s="98"/>
    </row>
    <row r="21" spans="1:12" ht="19" x14ac:dyDescent="0.25">
      <c r="A21" s="267" t="s">
        <v>669</v>
      </c>
      <c r="G21" s="98"/>
      <c r="H21" s="98"/>
      <c r="I21" s="98"/>
      <c r="J21" s="98"/>
      <c r="K21" s="98"/>
      <c r="L21" s="98"/>
    </row>
    <row r="22" spans="1:12" ht="19" x14ac:dyDescent="0.25">
      <c r="A22" s="57" t="s">
        <v>670</v>
      </c>
      <c r="B22" s="95">
        <f>Forecast!C107</f>
        <v>778000</v>
      </c>
      <c r="C22" s="95">
        <f>Forecast!D107</f>
        <v>1048000</v>
      </c>
      <c r="D22" s="95">
        <f>Forecast!E107</f>
        <v>1332000</v>
      </c>
      <c r="E22" s="95">
        <f>Forecast!F107</f>
        <v>788000</v>
      </c>
      <c r="F22" s="95">
        <f>Forecast!G107</f>
        <v>537000</v>
      </c>
      <c r="G22" s="111">
        <f>Forecast!H107</f>
        <v>323000</v>
      </c>
      <c r="H22" s="111">
        <f>Forecast!I107</f>
        <v>127000</v>
      </c>
      <c r="I22" s="111">
        <f>Forecast!J107</f>
        <v>-33000</v>
      </c>
      <c r="J22" s="111">
        <f>Forecast!K107</f>
        <v>-135900</v>
      </c>
      <c r="K22" s="111">
        <f>Forecast!L107</f>
        <v>-200800</v>
      </c>
      <c r="L22" s="111">
        <f>Forecast!M107</f>
        <v>-265700</v>
      </c>
    </row>
    <row r="23" spans="1:12" ht="19" x14ac:dyDescent="0.25">
      <c r="A23" s="57" t="s">
        <v>665</v>
      </c>
      <c r="B23" s="95">
        <v>0</v>
      </c>
      <c r="C23" s="95">
        <v>0</v>
      </c>
      <c r="D23" s="95">
        <v>0</v>
      </c>
      <c r="E23" s="95">
        <v>0</v>
      </c>
      <c r="F23" s="95">
        <v>0</v>
      </c>
      <c r="G23" s="111">
        <v>0</v>
      </c>
      <c r="H23" s="111">
        <v>0</v>
      </c>
      <c r="I23" s="111">
        <v>0</v>
      </c>
      <c r="J23" s="111">
        <v>0</v>
      </c>
      <c r="K23" s="111">
        <v>0</v>
      </c>
      <c r="L23" s="111">
        <v>0</v>
      </c>
    </row>
    <row r="24" spans="1:12" ht="19" x14ac:dyDescent="0.25">
      <c r="A24" s="57" t="s">
        <v>666</v>
      </c>
      <c r="B24" s="95">
        <v>0</v>
      </c>
      <c r="C24" s="95">
        <v>0</v>
      </c>
      <c r="D24" s="95">
        <v>0</v>
      </c>
      <c r="E24" s="95">
        <v>0</v>
      </c>
      <c r="F24" s="95">
        <v>0</v>
      </c>
      <c r="G24" s="111">
        <v>0</v>
      </c>
      <c r="H24" s="111">
        <v>0</v>
      </c>
      <c r="I24" s="111">
        <v>0</v>
      </c>
      <c r="J24" s="111">
        <v>0</v>
      </c>
      <c r="K24" s="111">
        <v>0</v>
      </c>
      <c r="L24" s="111">
        <v>0</v>
      </c>
    </row>
    <row r="25" spans="1:12" ht="20" thickBot="1" x14ac:dyDescent="0.25">
      <c r="A25" s="270" t="s">
        <v>671</v>
      </c>
      <c r="B25" s="271">
        <f>B22+B23+B19</f>
        <v>778000</v>
      </c>
      <c r="C25" s="271">
        <f>C22+C23+C19</f>
        <v>1048000</v>
      </c>
      <c r="D25" s="271">
        <f t="shared" ref="D25:L25" si="2">D22+D23+D19</f>
        <v>1332000</v>
      </c>
      <c r="E25" s="271">
        <f t="shared" si="2"/>
        <v>788000</v>
      </c>
      <c r="F25" s="271">
        <f t="shared" si="2"/>
        <v>537000</v>
      </c>
      <c r="G25" s="344">
        <f t="shared" si="2"/>
        <v>323000</v>
      </c>
      <c r="H25" s="344">
        <f t="shared" si="2"/>
        <v>127000</v>
      </c>
      <c r="I25" s="344">
        <f t="shared" si="2"/>
        <v>-33000</v>
      </c>
      <c r="J25" s="344">
        <f t="shared" si="2"/>
        <v>-135900</v>
      </c>
      <c r="K25" s="344">
        <f t="shared" si="2"/>
        <v>-200800</v>
      </c>
      <c r="L25" s="344">
        <f t="shared" si="2"/>
        <v>-265700</v>
      </c>
    </row>
    <row r="26" spans="1:12" ht="19" x14ac:dyDescent="0.25">
      <c r="A26" s="57" t="s">
        <v>672</v>
      </c>
      <c r="B26" s="114">
        <v>0</v>
      </c>
      <c r="C26" s="114">
        <v>0</v>
      </c>
      <c r="D26" s="114">
        <v>0</v>
      </c>
      <c r="E26" s="114">
        <v>0</v>
      </c>
      <c r="F26" s="114">
        <v>0</v>
      </c>
      <c r="G26" s="107">
        <v>0</v>
      </c>
      <c r="H26" s="107">
        <v>0</v>
      </c>
      <c r="I26" s="107">
        <v>0</v>
      </c>
      <c r="J26" s="107">
        <v>0</v>
      </c>
      <c r="K26" s="107">
        <v>0</v>
      </c>
      <c r="L26" s="107">
        <v>0</v>
      </c>
    </row>
    <row r="27" spans="1:12" ht="19" x14ac:dyDescent="0.25">
      <c r="A27" s="57"/>
      <c r="G27" s="98"/>
      <c r="H27" s="98"/>
      <c r="I27" s="98"/>
      <c r="J27" s="98"/>
      <c r="K27" s="98"/>
      <c r="L27" s="98"/>
    </row>
    <row r="28" spans="1:12" ht="19" x14ac:dyDescent="0.25">
      <c r="A28" s="267" t="s">
        <v>673</v>
      </c>
      <c r="G28" s="98"/>
      <c r="H28" s="98"/>
      <c r="I28" s="98"/>
      <c r="J28" s="98"/>
      <c r="K28" s="98"/>
      <c r="L28" s="98"/>
    </row>
    <row r="29" spans="1:12" ht="19" x14ac:dyDescent="0.25">
      <c r="A29" s="57" t="s">
        <v>674</v>
      </c>
      <c r="B29" s="95">
        <f>Forecast!C106</f>
        <v>6212000</v>
      </c>
      <c r="C29" s="95">
        <f>Forecast!D106</f>
        <v>9135000</v>
      </c>
      <c r="D29" s="95">
        <f>Forecast!E106</f>
        <v>11454000</v>
      </c>
      <c r="E29" s="95">
        <f>Forecast!F106</f>
        <v>11209000</v>
      </c>
      <c r="F29" s="95">
        <f>Forecast!G106</f>
        <v>11026000</v>
      </c>
      <c r="G29" s="111">
        <f>Forecast!H106</f>
        <v>11026000</v>
      </c>
      <c r="H29" s="111">
        <f>Forecast!I106</f>
        <v>11026000</v>
      </c>
      <c r="I29" s="111">
        <f>Forecast!J106</f>
        <v>11026000</v>
      </c>
      <c r="J29" s="111">
        <f>Forecast!K106</f>
        <v>11026350</v>
      </c>
      <c r="K29" s="111">
        <f>Forecast!L106</f>
        <v>11026700</v>
      </c>
      <c r="L29" s="111">
        <f>Forecast!M106</f>
        <v>11027050</v>
      </c>
    </row>
    <row r="30" spans="1:12" ht="19" x14ac:dyDescent="0.25">
      <c r="A30" s="57" t="s">
        <v>665</v>
      </c>
      <c r="B30" s="95">
        <v>0</v>
      </c>
      <c r="C30" s="95">
        <v>0</v>
      </c>
      <c r="D30" s="95">
        <v>0</v>
      </c>
      <c r="E30" s="95">
        <v>0</v>
      </c>
      <c r="F30" s="95">
        <v>0</v>
      </c>
      <c r="G30" s="111">
        <v>0</v>
      </c>
      <c r="H30" s="111">
        <v>0</v>
      </c>
      <c r="I30" s="111">
        <v>0</v>
      </c>
      <c r="J30" s="111">
        <v>0</v>
      </c>
      <c r="K30" s="111">
        <v>0</v>
      </c>
      <c r="L30" s="111">
        <v>0</v>
      </c>
    </row>
    <row r="31" spans="1:12" ht="19" x14ac:dyDescent="0.25">
      <c r="A31" s="57" t="s">
        <v>666</v>
      </c>
      <c r="B31" s="95">
        <v>0</v>
      </c>
      <c r="C31" s="95">
        <v>0</v>
      </c>
      <c r="D31" s="95">
        <v>0</v>
      </c>
      <c r="E31" s="95">
        <v>0</v>
      </c>
      <c r="F31" s="95">
        <v>0</v>
      </c>
      <c r="G31" s="111">
        <v>0</v>
      </c>
      <c r="H31" s="111">
        <v>0</v>
      </c>
      <c r="I31" s="111">
        <v>0</v>
      </c>
      <c r="J31" s="111">
        <v>0</v>
      </c>
      <c r="K31" s="111">
        <v>0</v>
      </c>
      <c r="L31" s="111">
        <v>0</v>
      </c>
    </row>
    <row r="32" spans="1:12" ht="20" thickBot="1" x14ac:dyDescent="0.25">
      <c r="A32" s="270" t="s">
        <v>675</v>
      </c>
      <c r="B32" s="271">
        <f>B29+B30+B31</f>
        <v>6212000</v>
      </c>
      <c r="C32" s="271">
        <f t="shared" ref="C32:L32" si="3">C29+C30+C31</f>
        <v>9135000</v>
      </c>
      <c r="D32" s="271">
        <f t="shared" si="3"/>
        <v>11454000</v>
      </c>
      <c r="E32" s="271">
        <f t="shared" si="3"/>
        <v>11209000</v>
      </c>
      <c r="F32" s="271">
        <f t="shared" si="3"/>
        <v>11026000</v>
      </c>
      <c r="G32" s="344">
        <f t="shared" si="3"/>
        <v>11026000</v>
      </c>
      <c r="H32" s="344">
        <f t="shared" si="3"/>
        <v>11026000</v>
      </c>
      <c r="I32" s="344">
        <f t="shared" si="3"/>
        <v>11026000</v>
      </c>
      <c r="J32" s="344">
        <f t="shared" si="3"/>
        <v>11026350</v>
      </c>
      <c r="K32" s="344">
        <f t="shared" si="3"/>
        <v>11026700</v>
      </c>
      <c r="L32" s="344">
        <f t="shared" si="3"/>
        <v>11027050</v>
      </c>
    </row>
    <row r="33" spans="1:12" ht="19" x14ac:dyDescent="0.25">
      <c r="A33" s="57" t="s">
        <v>676</v>
      </c>
      <c r="B33" s="95">
        <v>0</v>
      </c>
      <c r="C33" s="95">
        <v>0</v>
      </c>
      <c r="D33" s="95">
        <v>0</v>
      </c>
      <c r="E33" s="95">
        <v>0</v>
      </c>
      <c r="F33" s="95">
        <v>0</v>
      </c>
      <c r="G33" s="111">
        <v>0</v>
      </c>
      <c r="H33" s="111">
        <v>0</v>
      </c>
      <c r="I33" s="111">
        <v>0</v>
      </c>
      <c r="J33" s="111">
        <v>0</v>
      </c>
      <c r="K33" s="111">
        <v>0</v>
      </c>
      <c r="L33" s="111">
        <v>0</v>
      </c>
    </row>
    <row r="34" spans="1:12" ht="19" x14ac:dyDescent="0.25">
      <c r="A34" s="57"/>
      <c r="G34" s="98"/>
      <c r="H34" s="98"/>
      <c r="I34" s="98"/>
      <c r="J34" s="98"/>
      <c r="K34" s="98"/>
      <c r="L34" s="98"/>
    </row>
    <row r="35" spans="1:12" ht="19" x14ac:dyDescent="0.25">
      <c r="A35" s="267" t="s">
        <v>677</v>
      </c>
      <c r="G35" s="98"/>
      <c r="H35" s="98"/>
      <c r="I35" s="98"/>
      <c r="J35" s="98"/>
      <c r="K35" s="98"/>
      <c r="L35" s="98"/>
    </row>
    <row r="36" spans="1:12" ht="19" x14ac:dyDescent="0.25">
      <c r="A36" s="57" t="s">
        <v>678</v>
      </c>
      <c r="B36" s="95">
        <f>Forecast!C15</f>
        <v>2085000</v>
      </c>
      <c r="C36" s="95">
        <f>Forecast!D15</f>
        <v>2642000</v>
      </c>
      <c r="D36" s="95">
        <f>Forecast!E15</f>
        <v>3038000</v>
      </c>
      <c r="E36" s="95">
        <f>Forecast!F15</f>
        <v>3253000</v>
      </c>
      <c r="F36" s="95">
        <f>Forecast!G15</f>
        <v>2973000</v>
      </c>
      <c r="G36" s="111">
        <f>Forecast!H15</f>
        <v>3216410.4586089109</v>
      </c>
      <c r="H36" s="111">
        <f>Forecast!I15</f>
        <v>3479749.8278670642</v>
      </c>
      <c r="I36" s="111">
        <f>Forecast!J15</f>
        <v>3764649.7610811237</v>
      </c>
      <c r="J36" s="111">
        <f>Forecast!K15</f>
        <v>4072875.5010228259</v>
      </c>
      <c r="K36" s="111">
        <f>Forecast!L15</f>
        <v>4406336.8173904559</v>
      </c>
      <c r="L36" s="111">
        <f>Forecast!M15</f>
        <v>4767099.8397605661</v>
      </c>
    </row>
    <row r="37" spans="1:12" ht="19" x14ac:dyDescent="0.25">
      <c r="A37" s="57"/>
      <c r="G37" s="98"/>
      <c r="H37" s="98"/>
      <c r="I37" s="98"/>
      <c r="J37" s="98"/>
      <c r="K37" s="98"/>
      <c r="L37" s="98"/>
    </row>
    <row r="38" spans="1:12" ht="19" x14ac:dyDescent="0.25">
      <c r="A38" s="57" t="s">
        <v>679</v>
      </c>
      <c r="B38" s="95">
        <v>0</v>
      </c>
      <c r="C38" s="95">
        <f>B41</f>
        <v>2085000</v>
      </c>
      <c r="D38" s="95">
        <f t="shared" ref="D38:L38" si="4">C41</f>
        <v>4151981.8201650726</v>
      </c>
      <c r="E38" s="95">
        <f t="shared" si="4"/>
        <v>6032304.0818263479</v>
      </c>
      <c r="F38" s="95">
        <f t="shared" si="4"/>
        <v>7531636.2277190331</v>
      </c>
      <c r="G38" s="111">
        <f t="shared" si="4"/>
        <v>8094512.634848943</v>
      </c>
      <c r="H38" s="111">
        <f t="shared" si="4"/>
        <v>8639733.9239577018</v>
      </c>
      <c r="I38" s="111">
        <f t="shared" si="4"/>
        <v>9268371.5569187254</v>
      </c>
      <c r="J38" s="111">
        <f t="shared" si="4"/>
        <v>9974458.7042166702</v>
      </c>
      <c r="K38" s="111">
        <f t="shared" si="4"/>
        <v>11553719.529185329</v>
      </c>
      <c r="L38" s="111">
        <f t="shared" si="4"/>
        <v>13071626.464279454</v>
      </c>
    </row>
    <row r="39" spans="1:12" ht="19" x14ac:dyDescent="0.25">
      <c r="A39" s="57" t="s">
        <v>680</v>
      </c>
      <c r="B39" s="95">
        <v>0</v>
      </c>
      <c r="C39" s="95">
        <f>0.27578809584409*C38</f>
        <v>575018.17983492755</v>
      </c>
      <c r="D39" s="95">
        <f>0.278825338954085*D38</f>
        <v>1157677.7383387252</v>
      </c>
      <c r="E39" s="95">
        <f>0.290712774143901*E38</f>
        <v>1753667.8541073152</v>
      </c>
      <c r="F39" s="95">
        <f>0.32*F38</f>
        <v>2410123.5928700906</v>
      </c>
      <c r="G39" s="111">
        <f>0.33*G38</f>
        <v>2671189.1695001512</v>
      </c>
      <c r="H39" s="111">
        <f>0.33*H38</f>
        <v>2851112.1949060415</v>
      </c>
      <c r="I39" s="111">
        <f>0.33*I38</f>
        <v>3058562.6137831793</v>
      </c>
      <c r="J39" s="111">
        <f>0.25*J38</f>
        <v>2493614.6760541676</v>
      </c>
      <c r="K39" s="111">
        <f>0.25*K38</f>
        <v>2888429.8822963322</v>
      </c>
      <c r="L39" s="111">
        <f>0.25*L38</f>
        <v>3267906.6160698636</v>
      </c>
    </row>
    <row r="40" spans="1:12" ht="19" x14ac:dyDescent="0.25">
      <c r="A40" s="57" t="s">
        <v>681</v>
      </c>
      <c r="B40" s="95">
        <f>B36</f>
        <v>2085000</v>
      </c>
      <c r="C40" s="95">
        <f>C36</f>
        <v>2642000</v>
      </c>
      <c r="D40" s="95">
        <f t="shared" ref="D40:L40" si="5">D36</f>
        <v>3038000</v>
      </c>
      <c r="E40" s="95">
        <f t="shared" si="5"/>
        <v>3253000</v>
      </c>
      <c r="F40" s="95">
        <f t="shared" si="5"/>
        <v>2973000</v>
      </c>
      <c r="G40" s="111">
        <f t="shared" si="5"/>
        <v>3216410.4586089109</v>
      </c>
      <c r="H40" s="111">
        <f t="shared" si="5"/>
        <v>3479749.8278670642</v>
      </c>
      <c r="I40" s="111">
        <f t="shared" si="5"/>
        <v>3764649.7610811237</v>
      </c>
      <c r="J40" s="111">
        <f t="shared" si="5"/>
        <v>4072875.5010228259</v>
      </c>
      <c r="K40" s="111">
        <f t="shared" si="5"/>
        <v>4406336.8173904559</v>
      </c>
      <c r="L40" s="111">
        <f t="shared" si="5"/>
        <v>4767099.8397605661</v>
      </c>
    </row>
    <row r="41" spans="1:12" ht="20" thickBot="1" x14ac:dyDescent="0.25">
      <c r="A41" s="270" t="s">
        <v>682</v>
      </c>
      <c r="B41" s="271">
        <f>B38-B39+B40</f>
        <v>2085000</v>
      </c>
      <c r="C41" s="271">
        <f t="shared" ref="C41:L41" si="6">C38-C39+C40</f>
        <v>4151981.8201650726</v>
      </c>
      <c r="D41" s="271">
        <f t="shared" si="6"/>
        <v>6032304.0818263479</v>
      </c>
      <c r="E41" s="271">
        <f t="shared" si="6"/>
        <v>7531636.2277190331</v>
      </c>
      <c r="F41" s="271">
        <f t="shared" si="6"/>
        <v>8094512.634848943</v>
      </c>
      <c r="G41" s="344">
        <f t="shared" si="6"/>
        <v>8639733.9239577018</v>
      </c>
      <c r="H41" s="344">
        <f t="shared" si="6"/>
        <v>9268371.5569187254</v>
      </c>
      <c r="I41" s="344">
        <f t="shared" si="6"/>
        <v>9974458.7042166702</v>
      </c>
      <c r="J41" s="344">
        <f t="shared" si="6"/>
        <v>11553719.529185329</v>
      </c>
      <c r="K41" s="344">
        <f t="shared" si="6"/>
        <v>13071626.464279454</v>
      </c>
      <c r="L41" s="344">
        <f t="shared" si="6"/>
        <v>14570819.687970156</v>
      </c>
    </row>
    <row r="42" spans="1:12" ht="19" x14ac:dyDescent="0.25">
      <c r="A42" s="57" t="s">
        <v>683</v>
      </c>
      <c r="G42" s="345">
        <v>5</v>
      </c>
      <c r="H42" s="98"/>
      <c r="I42" s="98"/>
      <c r="J42" s="98"/>
      <c r="K42" s="98"/>
      <c r="L42" s="98"/>
    </row>
    <row r="43" spans="1:12" ht="19" x14ac:dyDescent="0.25">
      <c r="A43" s="57"/>
      <c r="G43" s="98"/>
      <c r="H43" s="98"/>
      <c r="I43" s="98"/>
      <c r="J43" s="98"/>
      <c r="K43" s="98"/>
      <c r="L43" s="98"/>
    </row>
    <row r="44" spans="1:12" ht="19" x14ac:dyDescent="0.25">
      <c r="A44" s="267" t="s">
        <v>684</v>
      </c>
      <c r="G44" s="98"/>
      <c r="H44" s="98"/>
      <c r="I44" s="98"/>
      <c r="J44" s="98"/>
      <c r="K44" s="98"/>
      <c r="L44" s="98"/>
    </row>
    <row r="45" spans="1:12" ht="19" x14ac:dyDescent="0.25">
      <c r="A45" s="57" t="s">
        <v>685</v>
      </c>
      <c r="B45" s="95">
        <v>0</v>
      </c>
      <c r="C45" s="95">
        <v>0</v>
      </c>
      <c r="D45" s="95">
        <v>0</v>
      </c>
      <c r="E45" s="95">
        <v>0</v>
      </c>
      <c r="F45" s="95">
        <v>0</v>
      </c>
      <c r="G45" s="111">
        <v>0</v>
      </c>
      <c r="H45" s="111">
        <v>0</v>
      </c>
      <c r="I45" s="111">
        <v>0</v>
      </c>
      <c r="J45" s="111">
        <v>0</v>
      </c>
      <c r="K45" s="111">
        <v>0</v>
      </c>
      <c r="L45" s="111">
        <v>0</v>
      </c>
    </row>
    <row r="46" spans="1:12" ht="19" x14ac:dyDescent="0.25">
      <c r="A46" s="57" t="s">
        <v>686</v>
      </c>
      <c r="G46" s="111">
        <v>10</v>
      </c>
      <c r="H46" s="98"/>
      <c r="I46" s="98"/>
      <c r="J46" s="98"/>
      <c r="K46" s="98"/>
      <c r="L46" s="98"/>
    </row>
    <row r="47" spans="1:12" ht="19" x14ac:dyDescent="0.25">
      <c r="A47" s="57" t="s">
        <v>687</v>
      </c>
      <c r="G47" s="346">
        <f>WACC!C36</f>
        <v>3.2500000000000001E-2</v>
      </c>
      <c r="H47" s="98"/>
      <c r="I47" s="98"/>
      <c r="J47" s="98"/>
      <c r="K47" s="98"/>
      <c r="L47" s="98"/>
    </row>
    <row r="48" spans="1:12" ht="19" x14ac:dyDescent="0.25">
      <c r="A48" s="57" t="s">
        <v>688</v>
      </c>
      <c r="G48" s="111">
        <f>(1/(1/G46+G47))</f>
        <v>7.5471698113207539</v>
      </c>
      <c r="H48" s="98"/>
      <c r="I48" s="98"/>
      <c r="J48" s="98"/>
      <c r="K48" s="98"/>
      <c r="L48" s="98"/>
    </row>
    <row r="49" spans="1:12" ht="20" thickBot="1" x14ac:dyDescent="0.25">
      <c r="A49" s="270" t="s">
        <v>684</v>
      </c>
      <c r="B49" s="271">
        <f>B45</f>
        <v>0</v>
      </c>
      <c r="C49" s="271">
        <f t="shared" ref="C49:L49" si="7">C45</f>
        <v>0</v>
      </c>
      <c r="D49" s="271">
        <f t="shared" si="7"/>
        <v>0</v>
      </c>
      <c r="E49" s="271">
        <f t="shared" si="7"/>
        <v>0</v>
      </c>
      <c r="F49" s="271">
        <f t="shared" si="7"/>
        <v>0</v>
      </c>
      <c r="G49" s="344">
        <f t="shared" si="7"/>
        <v>0</v>
      </c>
      <c r="H49" s="344">
        <f t="shared" si="7"/>
        <v>0</v>
      </c>
      <c r="I49" s="344">
        <f t="shared" si="7"/>
        <v>0</v>
      </c>
      <c r="J49" s="344">
        <f t="shared" si="7"/>
        <v>0</v>
      </c>
      <c r="K49" s="344">
        <f t="shared" si="7"/>
        <v>0</v>
      </c>
      <c r="L49" s="344">
        <f t="shared" si="7"/>
        <v>0</v>
      </c>
    </row>
    <row r="50" spans="1:12" ht="19" x14ac:dyDescent="0.25">
      <c r="A50" s="57"/>
      <c r="G50" s="98"/>
      <c r="H50" s="98"/>
      <c r="I50" s="98"/>
      <c r="J50" s="98"/>
      <c r="K50" s="98"/>
      <c r="L50" s="98"/>
    </row>
    <row r="51" spans="1:12" ht="19" x14ac:dyDescent="0.25">
      <c r="A51" s="267" t="s">
        <v>689</v>
      </c>
      <c r="G51" s="98"/>
      <c r="H51" s="98"/>
      <c r="I51" s="98"/>
      <c r="J51" s="98"/>
      <c r="K51" s="98"/>
      <c r="L51" s="98"/>
    </row>
    <row r="52" spans="1:12" ht="19" x14ac:dyDescent="0.25">
      <c r="A52" s="57" t="s">
        <v>690</v>
      </c>
      <c r="B52" s="95">
        <v>0</v>
      </c>
      <c r="C52" s="95">
        <v>0</v>
      </c>
      <c r="D52" s="95">
        <v>0</v>
      </c>
      <c r="E52" s="95">
        <v>0</v>
      </c>
      <c r="F52" s="95">
        <v>0</v>
      </c>
      <c r="G52" s="111">
        <v>0</v>
      </c>
      <c r="H52" s="111">
        <v>0</v>
      </c>
      <c r="I52" s="111">
        <v>0</v>
      </c>
      <c r="J52" s="111">
        <v>0</v>
      </c>
      <c r="K52" s="111">
        <v>0</v>
      </c>
      <c r="L52" s="111">
        <v>0</v>
      </c>
    </row>
    <row r="53" spans="1:12" ht="19" x14ac:dyDescent="0.25">
      <c r="A53" s="57"/>
      <c r="G53" s="98"/>
      <c r="H53" s="98"/>
      <c r="I53" s="98"/>
      <c r="J53" s="98"/>
      <c r="K53" s="98"/>
      <c r="L53" s="98"/>
    </row>
    <row r="54" spans="1:12" ht="19" x14ac:dyDescent="0.25">
      <c r="A54" s="57" t="s">
        <v>691</v>
      </c>
      <c r="B54" s="95">
        <v>0</v>
      </c>
      <c r="C54" s="95">
        <v>0</v>
      </c>
      <c r="D54" s="95">
        <v>0</v>
      </c>
      <c r="E54" s="95">
        <v>0</v>
      </c>
      <c r="F54" s="95">
        <v>0</v>
      </c>
      <c r="G54" s="111">
        <v>0</v>
      </c>
      <c r="H54" s="111">
        <v>0</v>
      </c>
      <c r="I54" s="111">
        <v>0</v>
      </c>
      <c r="J54" s="111">
        <v>0</v>
      </c>
      <c r="K54" s="111">
        <v>0</v>
      </c>
      <c r="L54" s="111">
        <v>0</v>
      </c>
    </row>
    <row r="55" spans="1:12" ht="19" x14ac:dyDescent="0.25">
      <c r="A55" s="57" t="s">
        <v>680</v>
      </c>
      <c r="B55" s="95">
        <v>0</v>
      </c>
      <c r="C55" s="95">
        <v>0</v>
      </c>
      <c r="D55" s="95">
        <v>0</v>
      </c>
      <c r="E55" s="95">
        <v>0</v>
      </c>
      <c r="F55" s="95">
        <v>0</v>
      </c>
      <c r="G55" s="111">
        <v>0</v>
      </c>
      <c r="H55" s="111">
        <v>0</v>
      </c>
      <c r="I55" s="111">
        <v>0</v>
      </c>
      <c r="J55" s="111">
        <v>0</v>
      </c>
      <c r="K55" s="111">
        <v>0</v>
      </c>
      <c r="L55" s="111">
        <v>0</v>
      </c>
    </row>
    <row r="56" spans="1:12" ht="19" x14ac:dyDescent="0.25">
      <c r="A56" s="57" t="s">
        <v>692</v>
      </c>
      <c r="B56" s="95">
        <v>0</v>
      </c>
      <c r="C56" s="95">
        <v>0</v>
      </c>
      <c r="D56" s="95">
        <v>0</v>
      </c>
      <c r="E56" s="95">
        <v>0</v>
      </c>
      <c r="F56" s="95">
        <v>0</v>
      </c>
      <c r="G56" s="111">
        <v>0</v>
      </c>
      <c r="H56" s="111">
        <v>0</v>
      </c>
      <c r="I56" s="111">
        <v>0</v>
      </c>
      <c r="J56" s="111">
        <v>0</v>
      </c>
      <c r="K56" s="111">
        <v>0</v>
      </c>
      <c r="L56" s="111">
        <v>0</v>
      </c>
    </row>
    <row r="57" spans="1:12" ht="20" thickBot="1" x14ac:dyDescent="0.25">
      <c r="A57" s="270" t="s">
        <v>693</v>
      </c>
      <c r="B57" s="271">
        <f>B52</f>
        <v>0</v>
      </c>
      <c r="C57" s="271">
        <f t="shared" ref="C57:L57" si="8">C52</f>
        <v>0</v>
      </c>
      <c r="D57" s="271">
        <f t="shared" si="8"/>
        <v>0</v>
      </c>
      <c r="E57" s="271">
        <f t="shared" si="8"/>
        <v>0</v>
      </c>
      <c r="F57" s="271">
        <f t="shared" si="8"/>
        <v>0</v>
      </c>
      <c r="G57" s="344">
        <f t="shared" si="8"/>
        <v>0</v>
      </c>
      <c r="H57" s="344">
        <f t="shared" si="8"/>
        <v>0</v>
      </c>
      <c r="I57" s="344">
        <f t="shared" si="8"/>
        <v>0</v>
      </c>
      <c r="J57" s="344">
        <f t="shared" si="8"/>
        <v>0</v>
      </c>
      <c r="K57" s="344">
        <f t="shared" si="8"/>
        <v>0</v>
      </c>
      <c r="L57" s="344">
        <f t="shared" si="8"/>
        <v>0</v>
      </c>
    </row>
    <row r="58" spans="1:12" ht="19" x14ac:dyDescent="0.25">
      <c r="A58" s="57" t="s">
        <v>683</v>
      </c>
      <c r="G58" s="111">
        <v>5</v>
      </c>
      <c r="H58" s="98"/>
      <c r="I58" s="98"/>
      <c r="J58" s="98"/>
      <c r="K58" s="98"/>
      <c r="L58" s="98"/>
    </row>
    <row r="59" spans="1:12" ht="19" x14ac:dyDescent="0.25">
      <c r="A59" s="57"/>
      <c r="G59" s="98"/>
      <c r="H59" s="98"/>
      <c r="I59" s="98"/>
      <c r="J59" s="98"/>
      <c r="K59" s="98"/>
      <c r="L59" s="98"/>
    </row>
    <row r="60" spans="1:12" ht="20" thickBot="1" x14ac:dyDescent="0.25">
      <c r="A60" s="270" t="s">
        <v>694</v>
      </c>
      <c r="B60" s="272">
        <f>+Forecast!C109-Forecast!C122</f>
        <v>1292000</v>
      </c>
      <c r="C60" s="272">
        <f>Forecast!D109-Forecast!D122</f>
        <v>1305000</v>
      </c>
      <c r="D60" s="272">
        <f>Forecast!E109-Forecast!E122</f>
        <v>1737000</v>
      </c>
      <c r="E60" s="274">
        <f>Forecast!F109-Forecast!F122</f>
        <v>-470000</v>
      </c>
      <c r="F60" s="272">
        <f>Forecast!G109-Forecast!G122</f>
        <v>300000</v>
      </c>
      <c r="G60" s="343">
        <f>Forecast!H109-Forecast!H122</f>
        <v>327645.89935044153</v>
      </c>
      <c r="H60" s="343">
        <f>Forecast!I109-Forecast!I122</f>
        <v>356000.30188642303</v>
      </c>
      <c r="I60" s="343">
        <f>Forecast!J109-Forecast!J122</f>
        <v>385077.8664021208</v>
      </c>
      <c r="J60" s="343">
        <f>Forecast!K109-Forecast!K122</f>
        <v>414893.53104819078</v>
      </c>
      <c r="K60" s="343">
        <f>Forecast!L109-Forecast!L122</f>
        <v>445462.51845277566</v>
      </c>
      <c r="L60" s="343">
        <f>Forecast!M109-Forecast!M122</f>
        <v>476800.34093451779</v>
      </c>
    </row>
    <row r="61" spans="1:12" ht="19" x14ac:dyDescent="0.25">
      <c r="A61" s="57"/>
      <c r="G61" s="98"/>
      <c r="H61" s="98"/>
      <c r="I61" s="98"/>
      <c r="J61" s="98"/>
      <c r="K61" s="98"/>
      <c r="L61" s="98"/>
    </row>
    <row r="62" spans="1:12" ht="20" thickBot="1" x14ac:dyDescent="0.25">
      <c r="A62" s="269" t="s">
        <v>695</v>
      </c>
      <c r="B62" s="275">
        <f>B10+B18+B25+B41+B49+B57+B60+B32</f>
        <v>14966000</v>
      </c>
      <c r="C62" s="275">
        <f t="shared" ref="C62:L62" si="9">C10+C18+C25+C41+C49+C57+C60+C32</f>
        <v>19466981.820165072</v>
      </c>
      <c r="D62" s="275">
        <f t="shared" si="9"/>
        <v>25801304.081826348</v>
      </c>
      <c r="E62" s="275">
        <f t="shared" si="9"/>
        <v>25448636.227719031</v>
      </c>
      <c r="F62" s="275">
        <f t="shared" si="9"/>
        <v>23884512.634848945</v>
      </c>
      <c r="G62" s="347">
        <f t="shared" si="9"/>
        <v>24733063.242869638</v>
      </c>
      <c r="H62" s="347">
        <f t="shared" si="9"/>
        <v>25624164.553878166</v>
      </c>
      <c r="I62" s="347">
        <f t="shared" si="9"/>
        <v>26428932.78644564</v>
      </c>
      <c r="J62" s="347">
        <f t="shared" si="9"/>
        <v>28561548.914402753</v>
      </c>
      <c r="K62" s="347">
        <f>K10+K18+K25+K41+K49+K57+K60+K32</f>
        <v>29804693.993145842</v>
      </c>
      <c r="L62" s="347">
        <f t="shared" si="9"/>
        <v>31652745.480785202</v>
      </c>
    </row>
    <row r="63" spans="1:12" ht="20" thickTop="1" x14ac:dyDescent="0.25">
      <c r="A63" s="57"/>
      <c r="G63" s="98"/>
      <c r="H63" s="98"/>
      <c r="I63" s="98"/>
      <c r="J63" s="98"/>
      <c r="K63" s="98"/>
      <c r="L63" s="98"/>
    </row>
    <row r="64" spans="1:12" ht="19" x14ac:dyDescent="0.25">
      <c r="A64" s="57" t="s">
        <v>696</v>
      </c>
      <c r="B64" s="95">
        <f>Forecast!C5</f>
        <v>17772000</v>
      </c>
      <c r="C64" s="95">
        <f>Forecast!D5</f>
        <v>21454000</v>
      </c>
      <c r="D64" s="95">
        <f>Forecast!E5</f>
        <v>25371000</v>
      </c>
      <c r="E64" s="95">
        <f>Forecast!F5</f>
        <v>27518000</v>
      </c>
      <c r="F64" s="95">
        <f>Forecast!G5</f>
        <v>29771000</v>
      </c>
      <c r="G64" s="111">
        <f>Forecast!H5</f>
        <v>32208461.407079004</v>
      </c>
      <c r="H64" s="111">
        <f>Forecast!I5</f>
        <v>34845486.755946979</v>
      </c>
      <c r="I64" s="111">
        <f>Forecast!J5</f>
        <v>37698415.081448413</v>
      </c>
      <c r="J64" s="111">
        <f>Forecast!K5</f>
        <v>40784923.155381955</v>
      </c>
      <c r="K64" s="111">
        <f>Forecast!L5</f>
        <v>44124135.011951312</v>
      </c>
      <c r="L64" s="111">
        <f>Forecast!M5</f>
        <v>47736740.440468147</v>
      </c>
    </row>
    <row r="65" spans="1:12" ht="19" x14ac:dyDescent="0.25">
      <c r="A65" s="57"/>
      <c r="G65" s="98"/>
      <c r="H65" s="98"/>
      <c r="I65" s="98"/>
      <c r="J65" s="98"/>
      <c r="K65" s="98"/>
      <c r="L65" s="98"/>
    </row>
    <row r="66" spans="1:12" ht="19" x14ac:dyDescent="0.25">
      <c r="A66" s="57" t="s">
        <v>697</v>
      </c>
      <c r="B66" s="95">
        <f>Forecast!C83</f>
        <v>4712000</v>
      </c>
      <c r="C66" s="95">
        <f>Forecast!D83</f>
        <v>5976000</v>
      </c>
      <c r="D66" s="95">
        <f>Forecast!E83</f>
        <v>6931000</v>
      </c>
      <c r="E66" s="95">
        <f>Forecast!F83</f>
        <v>6585000</v>
      </c>
      <c r="F66" s="95">
        <f>Forecast!G83</f>
        <v>7184000</v>
      </c>
      <c r="G66" s="111">
        <f>Forecast!H83</f>
        <v>7086768.7688276749</v>
      </c>
      <c r="H66" s="111">
        <f>Forecast!I83</f>
        <v>7666988.626236232</v>
      </c>
      <c r="I66" s="111">
        <f>Forecast!J83</f>
        <v>8294713.2201351468</v>
      </c>
      <c r="J66" s="111">
        <f>Forecast!K83</f>
        <v>8973831.9382456336</v>
      </c>
      <c r="K66" s="111">
        <f>Forecast!L83</f>
        <v>9708552.6067850441</v>
      </c>
      <c r="L66" s="111">
        <f>Forecast!M83</f>
        <v>10503427.5621992</v>
      </c>
    </row>
    <row r="67" spans="1:12" ht="19" x14ac:dyDescent="0.25">
      <c r="A67" s="57" t="s">
        <v>698</v>
      </c>
      <c r="B67" s="95">
        <f>B36-B39</f>
        <v>2085000</v>
      </c>
      <c r="C67" s="95">
        <f t="shared" ref="C67:L67" si="10">C36-C39</f>
        <v>2066981.8201650726</v>
      </c>
      <c r="D67" s="95">
        <f t="shared" si="10"/>
        <v>1880322.2616612748</v>
      </c>
      <c r="E67" s="95">
        <f t="shared" si="10"/>
        <v>1499332.1458926848</v>
      </c>
      <c r="F67" s="95">
        <f t="shared" si="10"/>
        <v>562876.40712990938</v>
      </c>
      <c r="G67" s="111">
        <f t="shared" si="10"/>
        <v>545221.28910875972</v>
      </c>
      <c r="H67" s="111">
        <f t="shared" si="10"/>
        <v>628637.63296102267</v>
      </c>
      <c r="I67" s="111">
        <f t="shared" si="10"/>
        <v>706087.14729794441</v>
      </c>
      <c r="J67" s="111">
        <f t="shared" si="10"/>
        <v>1579260.8249686584</v>
      </c>
      <c r="K67" s="111">
        <f t="shared" si="10"/>
        <v>1517906.9350941237</v>
      </c>
      <c r="L67" s="111">
        <f t="shared" si="10"/>
        <v>1499193.2236907026</v>
      </c>
    </row>
    <row r="68" spans="1:12" ht="19" x14ac:dyDescent="0.25">
      <c r="A68" s="57" t="s">
        <v>699</v>
      </c>
      <c r="B68" s="95">
        <v>0</v>
      </c>
      <c r="C68" s="95">
        <v>0</v>
      </c>
      <c r="D68" s="95">
        <v>0</v>
      </c>
      <c r="E68" s="95">
        <v>0</v>
      </c>
      <c r="F68" s="95">
        <v>0</v>
      </c>
      <c r="G68" s="111">
        <v>0</v>
      </c>
      <c r="H68" s="111">
        <v>0</v>
      </c>
      <c r="I68" s="111">
        <v>0</v>
      </c>
      <c r="J68" s="111">
        <v>0</v>
      </c>
      <c r="K68" s="111">
        <v>0</v>
      </c>
      <c r="L68" s="111">
        <v>0</v>
      </c>
    </row>
    <row r="69" spans="1:12" ht="19" x14ac:dyDescent="0.25">
      <c r="A69" s="57" t="s">
        <v>700</v>
      </c>
      <c r="B69" s="95">
        <v>0</v>
      </c>
      <c r="C69" s="95">
        <v>0</v>
      </c>
      <c r="D69" s="95">
        <v>0</v>
      </c>
      <c r="E69" s="95">
        <v>0</v>
      </c>
      <c r="F69" s="95">
        <v>0</v>
      </c>
      <c r="G69" s="111">
        <v>0</v>
      </c>
      <c r="H69" s="111">
        <v>0</v>
      </c>
      <c r="I69" s="111">
        <v>0</v>
      </c>
      <c r="J69" s="111">
        <v>0</v>
      </c>
      <c r="K69" s="111">
        <v>0</v>
      </c>
      <c r="L69" s="111">
        <v>0</v>
      </c>
    </row>
    <row r="70" spans="1:12" ht="19" x14ac:dyDescent="0.25">
      <c r="A70" s="57" t="s">
        <v>434</v>
      </c>
      <c r="B70" s="115">
        <f>-Forecast!C140</f>
        <v>-912000</v>
      </c>
      <c r="C70" s="115">
        <f>-Forecast!D140</f>
        <v>-1189000</v>
      </c>
      <c r="D70" s="115">
        <f>-Forecast!E140</f>
        <v>-822000</v>
      </c>
      <c r="E70" s="115">
        <f>-Forecast!F140</f>
        <v>-846000</v>
      </c>
      <c r="F70" s="115">
        <f>-Forecast!G140</f>
        <v>-846000</v>
      </c>
      <c r="G70" s="116">
        <f>-Forecast!H140</f>
        <v>-915265.13554764155</v>
      </c>
      <c r="H70" s="116">
        <f>-Forecast!I140</f>
        <v>-990201.26282392745</v>
      </c>
      <c r="I70" s="116">
        <f>-Forecast!J140</f>
        <v>-1071272.6868061321</v>
      </c>
      <c r="J70" s="116">
        <f>-Forecast!K140</f>
        <v>-1158981.726829906</v>
      </c>
      <c r="K70" s="116">
        <f>-Forecast!L140</f>
        <v>-1253871.8289647915</v>
      </c>
      <c r="L70" s="116">
        <f>-Forecast!M140</f>
        <v>-1356530.933211382</v>
      </c>
    </row>
    <row r="71" spans="1:12" ht="20" thickBot="1" x14ac:dyDescent="0.25">
      <c r="A71" s="266" t="s">
        <v>701</v>
      </c>
      <c r="B71" s="273">
        <f>B66+B70+B68+B67+B69</f>
        <v>5885000</v>
      </c>
      <c r="C71" s="273">
        <f t="shared" ref="C71:L71" si="11">C66+C70+C68+C67+C69</f>
        <v>6853981.8201650726</v>
      </c>
      <c r="D71" s="273">
        <f t="shared" si="11"/>
        <v>7989322.2616612744</v>
      </c>
      <c r="E71" s="273">
        <f t="shared" si="11"/>
        <v>7238332.1458926853</v>
      </c>
      <c r="F71" s="273">
        <f t="shared" si="11"/>
        <v>6900876.4071299098</v>
      </c>
      <c r="G71" s="348">
        <f t="shared" si="11"/>
        <v>6716724.922388793</v>
      </c>
      <c r="H71" s="348">
        <f t="shared" si="11"/>
        <v>7305424.9963733274</v>
      </c>
      <c r="I71" s="348">
        <f t="shared" si="11"/>
        <v>7929527.6806269586</v>
      </c>
      <c r="J71" s="348">
        <f t="shared" si="11"/>
        <v>9394111.0363843851</v>
      </c>
      <c r="K71" s="348">
        <f t="shared" si="11"/>
        <v>9972587.7129143756</v>
      </c>
      <c r="L71" s="348">
        <f t="shared" si="11"/>
        <v>10646089.852678519</v>
      </c>
    </row>
    <row r="72" spans="1:12" ht="19" x14ac:dyDescent="0.25">
      <c r="A72" s="57" t="s">
        <v>702</v>
      </c>
      <c r="B72" s="230">
        <f>B71/B64</f>
        <v>0.33113887013279314</v>
      </c>
      <c r="C72" s="230">
        <f t="shared" ref="C72:L72" si="12">C71/C64</f>
        <v>0.31947337653421609</v>
      </c>
      <c r="D72" s="230">
        <f t="shared" si="12"/>
        <v>0.3148997777644269</v>
      </c>
      <c r="E72" s="230">
        <f t="shared" si="12"/>
        <v>0.26303990645732556</v>
      </c>
      <c r="F72" s="230">
        <f t="shared" si="12"/>
        <v>0.23179860962446375</v>
      </c>
      <c r="G72" s="342">
        <f t="shared" si="12"/>
        <v>0.20853914247864519</v>
      </c>
      <c r="H72" s="342">
        <f t="shared" si="12"/>
        <v>0.20965197150321144</v>
      </c>
      <c r="I72" s="342">
        <f t="shared" si="12"/>
        <v>0.2103411420213557</v>
      </c>
      <c r="J72" s="342">
        <f t="shared" si="12"/>
        <v>0.23033293456493231</v>
      </c>
      <c r="K72" s="342">
        <f t="shared" si="12"/>
        <v>0.22601208409441306</v>
      </c>
      <c r="L72" s="342">
        <f t="shared" si="12"/>
        <v>0.22301669017295211</v>
      </c>
    </row>
    <row r="73" spans="1:12" ht="19" x14ac:dyDescent="0.25">
      <c r="A73" s="57"/>
      <c r="G73" s="98"/>
      <c r="H73" s="98"/>
      <c r="I73" s="98"/>
      <c r="J73" s="98"/>
      <c r="K73" s="98"/>
      <c r="L73" s="98"/>
    </row>
    <row r="74" spans="1:12" ht="19" x14ac:dyDescent="0.25">
      <c r="A74" s="267" t="s">
        <v>703</v>
      </c>
      <c r="G74" s="98"/>
      <c r="H74" s="98"/>
      <c r="I74" s="98"/>
      <c r="J74" s="98"/>
      <c r="K74" s="98"/>
      <c r="L74" s="98"/>
    </row>
    <row r="75" spans="1:12" ht="19" x14ac:dyDescent="0.25">
      <c r="A75" s="57" t="s">
        <v>704</v>
      </c>
      <c r="B75" s="229">
        <v>0.18</v>
      </c>
      <c r="C75" s="233">
        <v>0.17</v>
      </c>
      <c r="D75" s="230">
        <v>-1.7000000000000001E-2</v>
      </c>
      <c r="E75" s="233">
        <v>0.28100000000000003</v>
      </c>
      <c r="F75" s="233">
        <v>0.2</v>
      </c>
      <c r="G75" s="349">
        <v>0.17</v>
      </c>
      <c r="H75" s="349">
        <v>0.17</v>
      </c>
      <c r="I75" s="349">
        <v>0.17</v>
      </c>
      <c r="J75" s="349">
        <v>0.17</v>
      </c>
      <c r="K75" s="349">
        <v>0.17</v>
      </c>
      <c r="L75" s="349">
        <v>0.17</v>
      </c>
    </row>
    <row r="76" spans="1:12" ht="19" x14ac:dyDescent="0.25">
      <c r="A76" s="57" t="s">
        <v>705</v>
      </c>
      <c r="G76" s="98"/>
      <c r="H76" s="98"/>
      <c r="I76" s="98"/>
      <c r="J76" s="98"/>
      <c r="K76" s="98"/>
      <c r="L76" s="98"/>
    </row>
    <row r="77" spans="1:12" ht="19" x14ac:dyDescent="0.25">
      <c r="A77" s="57"/>
      <c r="G77" s="98"/>
      <c r="H77" s="98"/>
      <c r="I77" s="98"/>
      <c r="J77" s="98"/>
      <c r="K77" s="98"/>
      <c r="L77" s="98"/>
    </row>
    <row r="78" spans="1:12" ht="19" x14ac:dyDescent="0.25">
      <c r="A78" s="57" t="s">
        <v>706</v>
      </c>
      <c r="B78" s="115">
        <f>-B91*B71</f>
        <v>-1235850</v>
      </c>
      <c r="C78" s="115">
        <f t="shared" ref="C78:L78" si="13">-C91*C71</f>
        <v>-1439336.1822346651</v>
      </c>
      <c r="D78" s="115">
        <f t="shared" si="13"/>
        <v>-1677757.6749488676</v>
      </c>
      <c r="E78" s="115">
        <f t="shared" si="13"/>
        <v>-1520049.7506374638</v>
      </c>
      <c r="F78" s="115">
        <f t="shared" si="13"/>
        <v>-1449184.045497281</v>
      </c>
      <c r="G78" s="116">
        <f t="shared" si="13"/>
        <v>-1410512.2337016466</v>
      </c>
      <c r="H78" s="116">
        <f t="shared" si="13"/>
        <v>-1534139.2492383986</v>
      </c>
      <c r="I78" s="116">
        <f t="shared" si="13"/>
        <v>-1665200.8129316613</v>
      </c>
      <c r="J78" s="116">
        <f t="shared" si="13"/>
        <v>-1972763.3176407209</v>
      </c>
      <c r="K78" s="116">
        <f t="shared" si="13"/>
        <v>-2094243.4197120187</v>
      </c>
      <c r="L78" s="116">
        <f t="shared" si="13"/>
        <v>-2235678.8690624889</v>
      </c>
    </row>
    <row r="79" spans="1:12" ht="19" x14ac:dyDescent="0.25">
      <c r="A79" s="57" t="s">
        <v>442</v>
      </c>
      <c r="B79" s="115">
        <f>Forecast!C148</f>
        <v>-477000</v>
      </c>
      <c r="C79" s="115">
        <f>Forecast!D148</f>
        <v>-1749000</v>
      </c>
      <c r="D79" s="115">
        <f>Forecast!E148</f>
        <v>-528000</v>
      </c>
      <c r="E79" s="115">
        <f>Forecast!F148</f>
        <v>-507000</v>
      </c>
      <c r="F79" s="115">
        <f>Forecast!G148</f>
        <v>-869000</v>
      </c>
      <c r="G79" s="111">
        <f>Forecast!H148</f>
        <v>0</v>
      </c>
      <c r="H79" s="111">
        <f>Forecast!I148</f>
        <v>0</v>
      </c>
      <c r="I79" s="111">
        <f>Forecast!J148</f>
        <v>0</v>
      </c>
      <c r="J79" s="111">
        <f>Forecast!K148</f>
        <v>0</v>
      </c>
      <c r="K79" s="111">
        <f>Forecast!L148</f>
        <v>0</v>
      </c>
      <c r="L79" s="111">
        <f>Forecast!M148</f>
        <v>0</v>
      </c>
    </row>
    <row r="80" spans="1:12" ht="19" x14ac:dyDescent="0.25">
      <c r="A80" s="57" t="s">
        <v>707</v>
      </c>
      <c r="B80" s="114">
        <v>0</v>
      </c>
      <c r="C80" s="114">
        <v>0</v>
      </c>
      <c r="D80" s="114">
        <v>0</v>
      </c>
      <c r="E80" s="114">
        <v>0</v>
      </c>
      <c r="F80" s="114">
        <v>0</v>
      </c>
      <c r="G80" s="107">
        <v>0</v>
      </c>
      <c r="H80" s="107">
        <v>0</v>
      </c>
      <c r="I80" s="107">
        <v>0</v>
      </c>
      <c r="J80" s="107">
        <v>0</v>
      </c>
      <c r="K80" s="107">
        <v>0</v>
      </c>
      <c r="L80" s="107">
        <v>0</v>
      </c>
    </row>
    <row r="81" spans="1:12" ht="19" x14ac:dyDescent="0.25">
      <c r="A81" s="57"/>
      <c r="G81" s="98"/>
      <c r="H81" s="98"/>
      <c r="I81" s="98"/>
      <c r="J81" s="98"/>
      <c r="K81" s="98"/>
      <c r="L81" s="98"/>
    </row>
    <row r="82" spans="1:12" ht="19" x14ac:dyDescent="0.25">
      <c r="A82" s="267" t="s">
        <v>485</v>
      </c>
      <c r="G82" s="98"/>
      <c r="H82" s="98"/>
      <c r="I82" s="98"/>
      <c r="J82" s="98"/>
      <c r="K82" s="98"/>
      <c r="L82" s="98"/>
    </row>
    <row r="83" spans="1:12" ht="19" x14ac:dyDescent="0.25">
      <c r="A83" s="57" t="s">
        <v>708</v>
      </c>
      <c r="B83" s="114">
        <v>0</v>
      </c>
      <c r="C83" s="114">
        <v>0</v>
      </c>
      <c r="D83" s="114">
        <v>0</v>
      </c>
      <c r="E83" s="114">
        <v>0</v>
      </c>
      <c r="F83" s="114">
        <v>0</v>
      </c>
      <c r="G83" s="107">
        <v>0</v>
      </c>
      <c r="H83" s="107">
        <v>0</v>
      </c>
      <c r="I83" s="107">
        <v>0</v>
      </c>
      <c r="J83" s="107">
        <v>0</v>
      </c>
      <c r="K83" s="107">
        <v>0</v>
      </c>
      <c r="L83" s="107">
        <v>0</v>
      </c>
    </row>
    <row r="84" spans="1:12" ht="20" thickBot="1" x14ac:dyDescent="0.25">
      <c r="A84" s="266" t="s">
        <v>709</v>
      </c>
      <c r="B84" s="273">
        <f>B71+B78+B83+B79+B80</f>
        <v>4172150</v>
      </c>
      <c r="C84" s="273">
        <f t="shared" ref="C84:L84" si="14">C71+C78+C83+C79+C80</f>
        <v>3665645.6379304072</v>
      </c>
      <c r="D84" s="273">
        <f t="shared" si="14"/>
        <v>5783564.5867124069</v>
      </c>
      <c r="E84" s="273">
        <f t="shared" si="14"/>
        <v>5211282.3952552211</v>
      </c>
      <c r="F84" s="273">
        <f t="shared" si="14"/>
        <v>4582692.3616326284</v>
      </c>
      <c r="G84" s="348">
        <f t="shared" si="14"/>
        <v>5306212.6886871466</v>
      </c>
      <c r="H84" s="348">
        <f t="shared" si="14"/>
        <v>5771285.7471349286</v>
      </c>
      <c r="I84" s="348">
        <f t="shared" si="14"/>
        <v>6264326.8676952971</v>
      </c>
      <c r="J84" s="348">
        <f t="shared" si="14"/>
        <v>7421347.7187436642</v>
      </c>
      <c r="K84" s="348">
        <f t="shared" si="14"/>
        <v>7878344.2932023574</v>
      </c>
      <c r="L84" s="348">
        <f t="shared" si="14"/>
        <v>8410410.9836160298</v>
      </c>
    </row>
    <row r="85" spans="1:12" ht="19" x14ac:dyDescent="0.25">
      <c r="A85" s="57"/>
      <c r="G85" s="98"/>
      <c r="H85" s="98"/>
      <c r="I85" s="98"/>
      <c r="J85" s="98"/>
      <c r="K85" s="98"/>
      <c r="L85" s="98"/>
    </row>
    <row r="86" spans="1:12" ht="19" x14ac:dyDescent="0.25">
      <c r="A86" s="57" t="s">
        <v>710</v>
      </c>
      <c r="B86" s="115">
        <f>Forecast!C160</f>
        <v>-687000</v>
      </c>
      <c r="C86" s="115">
        <f>Forecast!D160</f>
        <v>-746000</v>
      </c>
      <c r="D86" s="115">
        <f>Forecast!E160</f>
        <v>-903000</v>
      </c>
      <c r="E86" s="115">
        <f>Forecast!F160</f>
        <v>-701000</v>
      </c>
      <c r="F86" s="115">
        <f>Forecast!G160</f>
        <v>-578000</v>
      </c>
      <c r="G86" s="116">
        <f>Forecast!H160</f>
        <v>-998462.30361944914</v>
      </c>
      <c r="H86" s="116">
        <f>Forecast!I160</f>
        <v>-1080210.0894343564</v>
      </c>
      <c r="I86" s="116">
        <f>Forecast!J160</f>
        <v>-1168650.8675249007</v>
      </c>
      <c r="J86" s="116">
        <f>Forecast!K160</f>
        <v>-1264332.6178168405</v>
      </c>
      <c r="K86" s="116">
        <f>Forecast!L160</f>
        <v>-1367848.1853704907</v>
      </c>
      <c r="L86" s="116">
        <f>Forecast!M160</f>
        <v>-1479838.9536545125</v>
      </c>
    </row>
    <row r="87" spans="1:12" ht="19" x14ac:dyDescent="0.25">
      <c r="A87" s="57"/>
      <c r="G87" s="98"/>
      <c r="H87" s="98"/>
      <c r="I87" s="98"/>
      <c r="J87" s="98"/>
      <c r="K87" s="98"/>
      <c r="L87" s="98"/>
    </row>
    <row r="88" spans="1:12" ht="31" customHeight="1" x14ac:dyDescent="0.25">
      <c r="A88" s="276"/>
      <c r="B88" s="61"/>
      <c r="C88" s="61"/>
      <c r="D88" s="61"/>
      <c r="E88" s="61"/>
      <c r="F88" s="61"/>
      <c r="G88" s="61"/>
      <c r="H88" s="61"/>
      <c r="I88" s="61"/>
      <c r="J88" s="61"/>
      <c r="K88" s="61"/>
      <c r="L88" s="61"/>
    </row>
    <row r="89" spans="1:12" ht="19" x14ac:dyDescent="0.25">
      <c r="A89" s="57"/>
      <c r="G89" s="98"/>
      <c r="H89" s="98"/>
      <c r="I89" s="98"/>
      <c r="J89" s="98"/>
      <c r="K89" s="98"/>
      <c r="L89" s="98"/>
    </row>
    <row r="90" spans="1:12" ht="19" x14ac:dyDescent="0.25">
      <c r="A90" s="57" t="s">
        <v>540</v>
      </c>
      <c r="B90" s="277">
        <f t="shared" ref="B90:L90" si="15">WACC</f>
        <v>0.11251257228715404</v>
      </c>
      <c r="C90" s="277">
        <f t="shared" si="15"/>
        <v>0.11251257228715404</v>
      </c>
      <c r="D90" s="277">
        <f t="shared" si="15"/>
        <v>0.11251257228715404</v>
      </c>
      <c r="E90" s="277">
        <f t="shared" si="15"/>
        <v>0.11251257228715404</v>
      </c>
      <c r="F90" s="277">
        <f t="shared" si="15"/>
        <v>0.11251257228715404</v>
      </c>
      <c r="G90" s="350">
        <f t="shared" si="15"/>
        <v>0.11251257228715404</v>
      </c>
      <c r="H90" s="350">
        <f t="shared" si="15"/>
        <v>0.11251257228715404</v>
      </c>
      <c r="I90" s="350">
        <f t="shared" si="15"/>
        <v>0.11251257228715404</v>
      </c>
      <c r="J90" s="350">
        <f t="shared" si="15"/>
        <v>0.11251257228715404</v>
      </c>
      <c r="K90" s="350">
        <f t="shared" si="15"/>
        <v>0.11251257228715404</v>
      </c>
      <c r="L90" s="350">
        <f t="shared" si="15"/>
        <v>0.11251257228715404</v>
      </c>
    </row>
    <row r="91" spans="1:12" ht="19" x14ac:dyDescent="0.25">
      <c r="A91" s="57" t="s">
        <v>711</v>
      </c>
      <c r="B91" s="233">
        <v>0.21</v>
      </c>
      <c r="C91" s="233">
        <v>0.21</v>
      </c>
      <c r="D91" s="233">
        <v>0.21</v>
      </c>
      <c r="E91" s="233">
        <v>0.21</v>
      </c>
      <c r="F91" s="233">
        <v>0.21</v>
      </c>
      <c r="G91" s="349">
        <v>0.21</v>
      </c>
      <c r="H91" s="349">
        <v>0.21</v>
      </c>
      <c r="I91" s="349">
        <v>0.21</v>
      </c>
      <c r="J91" s="349">
        <v>0.21</v>
      </c>
      <c r="K91" s="349">
        <v>0.21</v>
      </c>
      <c r="L91" s="349">
        <v>0.21</v>
      </c>
    </row>
    <row r="92" spans="1:12" ht="19" x14ac:dyDescent="0.25">
      <c r="A92" s="57" t="s">
        <v>712</v>
      </c>
      <c r="B92" s="219"/>
      <c r="C92" s="230">
        <f>C84/((C62+B62)/2)</f>
        <v>0.21291479530150284</v>
      </c>
      <c r="D92" s="230">
        <f t="shared" ref="D92:L92" si="16">D84/((D62+C62)/2)</f>
        <v>0.25552390471484493</v>
      </c>
      <c r="E92" s="230">
        <f t="shared" si="16"/>
        <v>0.20336735472390829</v>
      </c>
      <c r="F92" s="230">
        <f t="shared" si="16"/>
        <v>0.18578552017423694</v>
      </c>
      <c r="G92" s="342">
        <f t="shared" si="16"/>
        <v>0.21828372118071737</v>
      </c>
      <c r="H92" s="342">
        <f t="shared" si="16"/>
        <v>0.22921379907682896</v>
      </c>
      <c r="I92" s="342">
        <f t="shared" si="16"/>
        <v>0.24068987967186847</v>
      </c>
      <c r="J92" s="342">
        <f t="shared" si="16"/>
        <v>0.26991390106805219</v>
      </c>
      <c r="K92" s="342">
        <f t="shared" si="16"/>
        <v>0.26996235840232369</v>
      </c>
      <c r="L92" s="342">
        <f t="shared" si="16"/>
        <v>0.27369871103020976</v>
      </c>
    </row>
    <row r="93" spans="1:12" ht="19" x14ac:dyDescent="0.25">
      <c r="A93" s="57" t="s">
        <v>713</v>
      </c>
      <c r="C93" s="233">
        <f>((C84-C78-C79-C80)-(C71*C91))/((C62+B62)/2)</f>
        <v>0.31450344127672475</v>
      </c>
      <c r="D93" s="233">
        <f t="shared" ref="D93:L93" si="17">((D84-D78-D79-D80)-(D71*D91))/((D62+C62)/2)</f>
        <v>0.27885149441608309</v>
      </c>
      <c r="E93" s="233">
        <f t="shared" si="17"/>
        <v>0.22315274362144699</v>
      </c>
      <c r="F93" s="233">
        <f t="shared" si="17"/>
        <v>0.22101538163801074</v>
      </c>
      <c r="G93" s="349">
        <f t="shared" si="17"/>
        <v>0.21828372118071737</v>
      </c>
      <c r="H93" s="349">
        <f t="shared" si="17"/>
        <v>0.22921379907682896</v>
      </c>
      <c r="I93" s="349">
        <f t="shared" si="17"/>
        <v>0.24068987967186847</v>
      </c>
      <c r="J93" s="349">
        <f t="shared" si="17"/>
        <v>0.26991390106805219</v>
      </c>
      <c r="K93" s="349">
        <f>((K84-K78-K79-K80)-(K71*K91))/((K62+J62)/2)</f>
        <v>0.26996235840232369</v>
      </c>
      <c r="L93" s="349">
        <f t="shared" si="17"/>
        <v>0.27369871103020976</v>
      </c>
    </row>
    <row r="94" spans="1:12" ht="19" x14ac:dyDescent="0.25">
      <c r="A94" s="57" t="s">
        <v>773</v>
      </c>
      <c r="C94" s="233">
        <f>C84/((C62+B62+C32+B32)/2)</f>
        <v>0.14727388415579989</v>
      </c>
      <c r="D94" s="233">
        <f t="shared" ref="D94:K94" si="18">D84/((D62+C62+D32+C32)/2)</f>
        <v>0.17563932395633453</v>
      </c>
      <c r="E94" s="233">
        <f t="shared" si="18"/>
        <v>0.14101136752050486</v>
      </c>
      <c r="F94" s="233">
        <f t="shared" si="18"/>
        <v>0.12806513608260997</v>
      </c>
      <c r="G94" s="349">
        <f t="shared" si="18"/>
        <v>0.15016964861565393</v>
      </c>
      <c r="H94" s="349">
        <f t="shared" si="18"/>
        <v>0.15940746567094702</v>
      </c>
      <c r="I94" s="349">
        <f t="shared" si="18"/>
        <v>0.1690660181964731</v>
      </c>
      <c r="J94" s="349">
        <f t="shared" si="18"/>
        <v>0.19265511287436077</v>
      </c>
      <c r="K94" s="349">
        <f t="shared" si="18"/>
        <v>0.19593169768999183</v>
      </c>
      <c r="L94" s="349">
        <f>L84/((L62+K62+L32+K32)/2)</f>
        <v>0.20141997824714097</v>
      </c>
    </row>
    <row r="95" spans="1:12" ht="19" x14ac:dyDescent="0.25">
      <c r="A95" s="57" t="s">
        <v>653</v>
      </c>
      <c r="C95" s="233">
        <f>C84/((C62+B62-C32-B32)/2)</f>
        <v>0.38411915849752226</v>
      </c>
      <c r="D95" s="233">
        <f t="shared" ref="D95:L95" si="19">D84/((D62+C62-D32-C32)/2)</f>
        <v>0.46869788774931448</v>
      </c>
      <c r="E95" s="233">
        <f t="shared" si="19"/>
        <v>0.36459182681506747</v>
      </c>
      <c r="F95" s="233">
        <f t="shared" si="19"/>
        <v>0.33822918199131524</v>
      </c>
      <c r="G95" s="349">
        <f t="shared" si="19"/>
        <v>0.3994803435176153</v>
      </c>
      <c r="H95" s="349">
        <f t="shared" si="19"/>
        <v>0.40778938707555884</v>
      </c>
      <c r="I95" s="349">
        <f t="shared" si="19"/>
        <v>0.41760651596403808</v>
      </c>
      <c r="J95" s="349">
        <f t="shared" si="19"/>
        <v>0.45062347713865697</v>
      </c>
      <c r="K95" s="349">
        <f t="shared" si="19"/>
        <v>0.43391085511319216</v>
      </c>
      <c r="L95" s="349">
        <f t="shared" si="19"/>
        <v>0.42688444132523407</v>
      </c>
    </row>
    <row r="96" spans="1:12" ht="19" x14ac:dyDescent="0.25">
      <c r="A96" s="57" t="s">
        <v>714</v>
      </c>
      <c r="C96" s="233">
        <f>(C84-B84)/(C62-B62)</f>
        <v>-0.11253197242441139</v>
      </c>
      <c r="D96" s="233">
        <f t="shared" ref="D96:L96" si="20">(D84-C84)/(D62-C62)</f>
        <v>0.33435604651831247</v>
      </c>
      <c r="E96" s="233">
        <f t="shared" si="20"/>
        <v>1.6227228674010101</v>
      </c>
      <c r="F96" s="233">
        <f t="shared" si="20"/>
        <v>0.40188002820746554</v>
      </c>
      <c r="G96" s="349">
        <f t="shared" si="20"/>
        <v>0.85265430277892662</v>
      </c>
      <c r="H96" s="349">
        <f t="shared" si="20"/>
        <v>0.52190817441557014</v>
      </c>
      <c r="I96" s="349">
        <f t="shared" si="20"/>
        <v>0.61264982961293823</v>
      </c>
      <c r="J96" s="349">
        <f t="shared" si="20"/>
        <v>0.54253591909046783</v>
      </c>
      <c r="K96" s="349">
        <f t="shared" si="20"/>
        <v>0.36761322734813079</v>
      </c>
      <c r="L96" s="349">
        <f t="shared" si="20"/>
        <v>0.28790685431243956</v>
      </c>
    </row>
    <row r="97" spans="1:15" ht="19" x14ac:dyDescent="0.25">
      <c r="A97" s="57"/>
      <c r="G97" s="98"/>
      <c r="H97" s="98"/>
      <c r="I97" s="98"/>
      <c r="J97" s="98"/>
      <c r="K97" s="98"/>
      <c r="L97" s="98"/>
    </row>
    <row r="98" spans="1:15" ht="19" x14ac:dyDescent="0.25">
      <c r="A98" s="57" t="s">
        <v>715</v>
      </c>
      <c r="C98" s="95">
        <f>C84-((C90*(C62+B62)/2))</f>
        <v>1728573.9598786156</v>
      </c>
      <c r="D98" s="95">
        <f t="shared" ref="D98:L98" si="21">D84-((D90*(D62+C62)/2))</f>
        <v>3236938.9417807241</v>
      </c>
      <c r="E98" s="95">
        <f t="shared" si="21"/>
        <v>2328151.0883601937</v>
      </c>
      <c r="F98" s="95">
        <f t="shared" si="21"/>
        <v>1807392.6228563231</v>
      </c>
      <c r="G98" s="111">
        <f t="shared" si="21"/>
        <v>2571168.4285031422</v>
      </c>
      <c r="H98" s="111">
        <f t="shared" si="21"/>
        <v>2938375.1308037937</v>
      </c>
      <c r="I98" s="111">
        <f t="shared" si="21"/>
        <v>3336012.9290585732</v>
      </c>
      <c r="J98" s="111">
        <f t="shared" si="21"/>
        <v>4327787.4450076008</v>
      </c>
      <c r="K98" s="111">
        <f t="shared" si="21"/>
        <v>4594876.2310697809</v>
      </c>
      <c r="L98" s="111">
        <f t="shared" si="21"/>
        <v>4953043.6829189993</v>
      </c>
      <c r="M98" s="219"/>
      <c r="N98" s="219"/>
      <c r="O98" s="219"/>
    </row>
    <row r="99" spans="1:15" ht="19" x14ac:dyDescent="0.25">
      <c r="A99" s="57"/>
      <c r="G99" s="98"/>
      <c r="H99" s="98"/>
      <c r="I99" s="98"/>
      <c r="J99" s="98"/>
      <c r="K99" s="98"/>
      <c r="L99" s="98"/>
    </row>
    <row r="100" spans="1:15" ht="19" x14ac:dyDescent="0.25">
      <c r="A100" s="57" t="s">
        <v>716</v>
      </c>
      <c r="B100" s="95">
        <f>B10</f>
        <v>2906000</v>
      </c>
      <c r="C100" s="95">
        <f t="shared" ref="C100:L100" si="22">C10</f>
        <v>2020000</v>
      </c>
      <c r="D100" s="95">
        <f t="shared" si="22"/>
        <v>3337000</v>
      </c>
      <c r="E100" s="95">
        <f t="shared" si="22"/>
        <v>4660000</v>
      </c>
      <c r="F100" s="95">
        <f t="shared" si="22"/>
        <v>2439000</v>
      </c>
      <c r="G100" s="111">
        <f t="shared" si="22"/>
        <v>2845486.2514896858</v>
      </c>
      <c r="H100" s="111">
        <f t="shared" si="22"/>
        <v>3185586.7003907794</v>
      </c>
      <c r="I100" s="111">
        <f t="shared" si="22"/>
        <v>3317812.040425845</v>
      </c>
      <c r="J100" s="111">
        <f t="shared" si="22"/>
        <v>3838550.7877812949</v>
      </c>
      <c r="K100" s="111">
        <f t="shared" si="22"/>
        <v>3483793.5876199733</v>
      </c>
      <c r="L100" s="111">
        <f t="shared" si="22"/>
        <v>3742556.0086437576</v>
      </c>
    </row>
    <row r="101" spans="1:15" ht="19" x14ac:dyDescent="0.25">
      <c r="A101" s="57" t="str">
        <f>+A18</f>
        <v>Net PP&amp;E, Adjusted</v>
      </c>
      <c r="B101" s="95">
        <f>B18</f>
        <v>1693000</v>
      </c>
      <c r="C101" s="95">
        <f t="shared" ref="C101:L101" si="23">C18</f>
        <v>1807000</v>
      </c>
      <c r="D101" s="95">
        <f t="shared" si="23"/>
        <v>1909000</v>
      </c>
      <c r="E101" s="95">
        <f t="shared" si="23"/>
        <v>1730000</v>
      </c>
      <c r="F101" s="95">
        <f t="shared" si="23"/>
        <v>1488000</v>
      </c>
      <c r="G101" s="111">
        <f t="shared" si="23"/>
        <v>1571197.1680718076</v>
      </c>
      <c r="H101" s="111">
        <f t="shared" si="23"/>
        <v>1661205.9946822366</v>
      </c>
      <c r="I101" s="111">
        <f t="shared" si="23"/>
        <v>1758584.1754010052</v>
      </c>
      <c r="J101" s="111">
        <f t="shared" si="23"/>
        <v>1863935.0663879397</v>
      </c>
      <c r="K101" s="111">
        <f t="shared" si="23"/>
        <v>1977911.4227936389</v>
      </c>
      <c r="L101" s="111">
        <f t="shared" si="23"/>
        <v>2101219.4432367692</v>
      </c>
    </row>
    <row r="102" spans="1:15" ht="19" x14ac:dyDescent="0.25">
      <c r="A102" s="57" t="str">
        <f>+A25</f>
        <v xml:space="preserve">Net Intangibles, Adjusted                      </v>
      </c>
      <c r="B102" s="95">
        <f>B25</f>
        <v>778000</v>
      </c>
      <c r="C102" s="95">
        <f t="shared" ref="C102:L102" si="24">C25</f>
        <v>1048000</v>
      </c>
      <c r="D102" s="95">
        <f t="shared" si="24"/>
        <v>1332000</v>
      </c>
      <c r="E102" s="95">
        <f t="shared" si="24"/>
        <v>788000</v>
      </c>
      <c r="F102" s="95">
        <f t="shared" si="24"/>
        <v>537000</v>
      </c>
      <c r="G102" s="111">
        <f t="shared" si="24"/>
        <v>323000</v>
      </c>
      <c r="H102" s="111">
        <f t="shared" si="24"/>
        <v>127000</v>
      </c>
      <c r="I102" s="111">
        <f t="shared" si="24"/>
        <v>-33000</v>
      </c>
      <c r="J102" s="111">
        <f t="shared" si="24"/>
        <v>-135900</v>
      </c>
      <c r="K102" s="111">
        <f t="shared" si="24"/>
        <v>-200800</v>
      </c>
      <c r="L102" s="111">
        <f t="shared" si="24"/>
        <v>-265700</v>
      </c>
    </row>
    <row r="103" spans="1:15" ht="19" x14ac:dyDescent="0.25">
      <c r="A103" s="57" t="str">
        <f>+A32</f>
        <v>Goodwill, Adjusted</v>
      </c>
      <c r="B103" s="95">
        <f>B32</f>
        <v>6212000</v>
      </c>
      <c r="C103" s="95">
        <f t="shared" ref="C103:L103" si="25">C32</f>
        <v>9135000</v>
      </c>
      <c r="D103" s="95">
        <f t="shared" si="25"/>
        <v>11454000</v>
      </c>
      <c r="E103" s="95">
        <f t="shared" si="25"/>
        <v>11209000</v>
      </c>
      <c r="F103" s="95">
        <f t="shared" si="25"/>
        <v>11026000</v>
      </c>
      <c r="G103" s="111">
        <f t="shared" si="25"/>
        <v>11026000</v>
      </c>
      <c r="H103" s="111">
        <f t="shared" si="25"/>
        <v>11026000</v>
      </c>
      <c r="I103" s="111">
        <f t="shared" si="25"/>
        <v>11026000</v>
      </c>
      <c r="J103" s="111">
        <f t="shared" si="25"/>
        <v>11026350</v>
      </c>
      <c r="K103" s="111">
        <f t="shared" si="25"/>
        <v>11026700</v>
      </c>
      <c r="L103" s="111">
        <f t="shared" si="25"/>
        <v>11027050</v>
      </c>
    </row>
    <row r="104" spans="1:15" ht="19" x14ac:dyDescent="0.25">
      <c r="A104" s="57" t="s">
        <v>717</v>
      </c>
      <c r="B104" s="95">
        <f>B57</f>
        <v>0</v>
      </c>
      <c r="C104" s="95">
        <f t="shared" ref="C104:L104" si="26">C57</f>
        <v>0</v>
      </c>
      <c r="D104" s="95">
        <f t="shared" si="26"/>
        <v>0</v>
      </c>
      <c r="E104" s="95">
        <f t="shared" si="26"/>
        <v>0</v>
      </c>
      <c r="F104" s="95">
        <f t="shared" si="26"/>
        <v>0</v>
      </c>
      <c r="G104" s="111">
        <f t="shared" si="26"/>
        <v>0</v>
      </c>
      <c r="H104" s="111">
        <f t="shared" si="26"/>
        <v>0</v>
      </c>
      <c r="I104" s="111">
        <f t="shared" si="26"/>
        <v>0</v>
      </c>
      <c r="J104" s="111">
        <f t="shared" si="26"/>
        <v>0</v>
      </c>
      <c r="K104" s="111">
        <f t="shared" si="26"/>
        <v>0</v>
      </c>
      <c r="L104" s="111">
        <f t="shared" si="26"/>
        <v>0</v>
      </c>
    </row>
    <row r="105" spans="1:15" ht="19" x14ac:dyDescent="0.25">
      <c r="A105" s="57" t="str">
        <f>+A60</f>
        <v>Net Other Assets</v>
      </c>
      <c r="B105" s="95">
        <f>B60</f>
        <v>1292000</v>
      </c>
      <c r="C105" s="95">
        <f t="shared" ref="C105:L105" si="27">C60</f>
        <v>1305000</v>
      </c>
      <c r="D105" s="95">
        <f t="shared" si="27"/>
        <v>1737000</v>
      </c>
      <c r="E105" s="95">
        <f t="shared" si="27"/>
        <v>-470000</v>
      </c>
      <c r="F105" s="95">
        <f t="shared" si="27"/>
        <v>300000</v>
      </c>
      <c r="G105" s="111">
        <f t="shared" si="27"/>
        <v>327645.89935044153</v>
      </c>
      <c r="H105" s="111">
        <f t="shared" si="27"/>
        <v>356000.30188642303</v>
      </c>
      <c r="I105" s="111">
        <f t="shared" si="27"/>
        <v>385077.8664021208</v>
      </c>
      <c r="J105" s="111">
        <f t="shared" si="27"/>
        <v>414893.53104819078</v>
      </c>
      <c r="K105" s="111">
        <f t="shared" si="27"/>
        <v>445462.51845277566</v>
      </c>
      <c r="L105" s="111">
        <f t="shared" si="27"/>
        <v>476800.34093451779</v>
      </c>
    </row>
    <row r="106" spans="1:15" ht="19" x14ac:dyDescent="0.25">
      <c r="A106" s="57" t="s">
        <v>718</v>
      </c>
      <c r="C106" s="233">
        <f>C64/B64-1</f>
        <v>0.20717983344586988</v>
      </c>
      <c r="D106" s="233">
        <f t="shared" ref="D106:L106" si="28">D64/C64-1</f>
        <v>0.18257667567819524</v>
      </c>
      <c r="E106" s="233">
        <f t="shared" si="28"/>
        <v>8.4624177210200546E-2</v>
      </c>
      <c r="F106" s="233">
        <f t="shared" si="28"/>
        <v>8.1873682680427384E-2</v>
      </c>
      <c r="G106" s="349">
        <f t="shared" si="28"/>
        <v>8.1873682680427384E-2</v>
      </c>
      <c r="H106" s="349">
        <f t="shared" si="28"/>
        <v>8.1873682680427384E-2</v>
      </c>
      <c r="I106" s="349">
        <f t="shared" si="28"/>
        <v>8.1873682680427384E-2</v>
      </c>
      <c r="J106" s="349">
        <f t="shared" si="28"/>
        <v>8.1873682680427384E-2</v>
      </c>
      <c r="K106" s="349">
        <f t="shared" si="28"/>
        <v>8.1873682680427384E-2</v>
      </c>
      <c r="L106" s="349">
        <f t="shared" si="28"/>
        <v>8.1873682680427384E-2</v>
      </c>
    </row>
    <row r="107" spans="1:15" ht="19" x14ac:dyDescent="0.25">
      <c r="A107" s="57" t="s">
        <v>719</v>
      </c>
      <c r="B107" s="233">
        <f t="shared" ref="B107:L107" si="29">B71/B64</f>
        <v>0.33113887013279314</v>
      </c>
      <c r="C107" s="233">
        <f t="shared" si="29"/>
        <v>0.31947337653421609</v>
      </c>
      <c r="D107" s="233">
        <f t="shared" si="29"/>
        <v>0.3148997777644269</v>
      </c>
      <c r="E107" s="233">
        <f t="shared" si="29"/>
        <v>0.26303990645732556</v>
      </c>
      <c r="F107" s="233">
        <f t="shared" si="29"/>
        <v>0.23179860962446375</v>
      </c>
      <c r="G107" s="349">
        <f t="shared" si="29"/>
        <v>0.20853914247864519</v>
      </c>
      <c r="H107" s="349">
        <f t="shared" si="29"/>
        <v>0.20965197150321144</v>
      </c>
      <c r="I107" s="349">
        <f t="shared" si="29"/>
        <v>0.2103411420213557</v>
      </c>
      <c r="J107" s="349">
        <f t="shared" si="29"/>
        <v>0.23033293456493231</v>
      </c>
      <c r="K107" s="349">
        <f t="shared" si="29"/>
        <v>0.22601208409441306</v>
      </c>
      <c r="L107" s="349">
        <f t="shared" si="29"/>
        <v>0.22301669017295211</v>
      </c>
    </row>
    <row r="108" spans="1:15" ht="19" x14ac:dyDescent="0.25">
      <c r="A108" s="57" t="s">
        <v>720</v>
      </c>
      <c r="B108" s="221">
        <f>B64/B62</f>
        <v>1.1874916477348656</v>
      </c>
      <c r="C108" s="221">
        <f t="shared" ref="C108:L108" si="30">C64/C62</f>
        <v>1.1020711992331886</v>
      </c>
      <c r="D108" s="221">
        <f t="shared" si="30"/>
        <v>0.98332239019928291</v>
      </c>
      <c r="E108" s="221">
        <f t="shared" si="30"/>
        <v>1.0813153111138816</v>
      </c>
      <c r="F108" s="221">
        <f t="shared" si="30"/>
        <v>1.2464562478265651</v>
      </c>
      <c r="G108" s="351">
        <f t="shared" si="30"/>
        <v>1.3022431184849077</v>
      </c>
      <c r="H108" s="351">
        <f t="shared" si="30"/>
        <v>1.3598682088807139</v>
      </c>
      <c r="I108" s="351">
        <f t="shared" si="30"/>
        <v>1.4264070133313309</v>
      </c>
      <c r="J108" s="351">
        <f t="shared" si="30"/>
        <v>1.4279660839687625</v>
      </c>
      <c r="K108" s="351">
        <f t="shared" si="30"/>
        <v>1.4804424773526781</v>
      </c>
      <c r="L108" s="351">
        <f t="shared" si="30"/>
        <v>1.50813901654903</v>
      </c>
    </row>
    <row r="109" spans="1:15" ht="19" x14ac:dyDescent="0.25">
      <c r="A109" s="57"/>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A6385-76E8-214D-8C0F-B4FD98C5AC5B}">
  <dimension ref="B2:S73"/>
  <sheetViews>
    <sheetView showGridLines="0" zoomScale="75" workbookViewId="0">
      <pane xSplit="2" ySplit="2" topLeftCell="C3" activePane="bottomRight" state="frozen"/>
      <selection pane="topRight" activeCell="C1" sqref="C1"/>
      <selection pane="bottomLeft" activeCell="A3" sqref="A3"/>
      <selection pane="bottomRight" activeCell="J13" sqref="J13"/>
    </sheetView>
  </sheetViews>
  <sheetFormatPr baseColWidth="10" defaultRowHeight="16" x14ac:dyDescent="0.2"/>
  <cols>
    <col min="2" max="2" width="48.6640625" bestFit="1" customWidth="1"/>
    <col min="3" max="3" width="21.1640625" bestFit="1" customWidth="1"/>
    <col min="4" max="7" width="17" bestFit="1" customWidth="1"/>
    <col min="8" max="8" width="18.6640625" bestFit="1" customWidth="1"/>
    <col min="9" max="13" width="17" bestFit="1" customWidth="1"/>
    <col min="14" max="14" width="15.33203125" bestFit="1" customWidth="1"/>
  </cols>
  <sheetData>
    <row r="2" spans="2:13" ht="19" x14ac:dyDescent="0.25">
      <c r="B2" s="23" t="s">
        <v>481</v>
      </c>
      <c r="C2" s="23">
        <v>2019</v>
      </c>
      <c r="D2" s="23">
        <v>2020</v>
      </c>
      <c r="E2" s="23">
        <v>2021</v>
      </c>
      <c r="F2" s="23">
        <v>2022</v>
      </c>
      <c r="G2" s="23">
        <v>2023</v>
      </c>
      <c r="H2" s="23">
        <v>2024</v>
      </c>
      <c r="I2" s="23">
        <v>2025</v>
      </c>
      <c r="J2" s="23">
        <v>2026</v>
      </c>
      <c r="K2" s="23">
        <v>2027</v>
      </c>
      <c r="L2" s="23">
        <v>2028</v>
      </c>
      <c r="M2" s="23">
        <v>2029</v>
      </c>
    </row>
    <row r="3" spans="2:13" x14ac:dyDescent="0.2">
      <c r="B3" s="140"/>
      <c r="H3" s="98"/>
      <c r="I3" s="98"/>
      <c r="J3" s="98"/>
      <c r="K3" s="98"/>
      <c r="L3" s="98"/>
      <c r="M3" s="98"/>
    </row>
    <row r="4" spans="2:13" ht="19" x14ac:dyDescent="0.25">
      <c r="B4" s="64" t="s">
        <v>592</v>
      </c>
      <c r="H4" s="111">
        <f>SUM(H55:M55)</f>
        <v>25887945.25123449</v>
      </c>
      <c r="I4" s="98"/>
      <c r="J4" s="98"/>
      <c r="K4" s="98"/>
      <c r="L4" s="98"/>
      <c r="M4" s="98"/>
    </row>
    <row r="5" spans="2:13" ht="19" x14ac:dyDescent="0.25">
      <c r="B5" s="64" t="s">
        <v>591</v>
      </c>
      <c r="H5" s="111">
        <f>H60</f>
        <v>19479555.117744938</v>
      </c>
      <c r="I5" s="98"/>
      <c r="J5" s="98"/>
      <c r="K5" s="98"/>
      <c r="L5" s="98"/>
      <c r="M5" s="98"/>
    </row>
    <row r="6" spans="2:13" ht="20" thickBot="1" x14ac:dyDescent="0.3">
      <c r="B6" s="64" t="s">
        <v>593</v>
      </c>
      <c r="H6" s="239">
        <f>H62</f>
        <v>46607044.333871752</v>
      </c>
      <c r="I6" s="98"/>
      <c r="J6" s="98"/>
      <c r="K6" s="98"/>
      <c r="L6" s="98"/>
      <c r="M6" s="98"/>
    </row>
    <row r="7" spans="2:13" ht="19" x14ac:dyDescent="0.25">
      <c r="B7" s="141" t="s">
        <v>482</v>
      </c>
      <c r="H7" s="240">
        <f>SUM(H4:H6)</f>
        <v>91974544.702851176</v>
      </c>
      <c r="I7" s="98"/>
      <c r="J7" s="98"/>
      <c r="K7" s="98"/>
      <c r="L7" s="98"/>
      <c r="M7" s="98"/>
    </row>
    <row r="8" spans="2:13" ht="19" x14ac:dyDescent="0.25">
      <c r="B8" s="64"/>
      <c r="H8" s="98"/>
      <c r="I8" s="98"/>
      <c r="J8" s="98"/>
      <c r="K8" s="98"/>
      <c r="L8" s="98"/>
      <c r="M8" s="98"/>
    </row>
    <row r="9" spans="2:13" ht="19" x14ac:dyDescent="0.25">
      <c r="B9" s="64" t="s">
        <v>483</v>
      </c>
      <c r="H9" s="111">
        <f>WACC!C30</f>
        <v>16134839.974829763</v>
      </c>
      <c r="I9" s="98"/>
      <c r="J9" s="98"/>
      <c r="K9" s="98"/>
      <c r="L9" s="98"/>
      <c r="M9" s="98"/>
    </row>
    <row r="10" spans="2:13" ht="19" x14ac:dyDescent="0.25">
      <c r="B10" s="64" t="s">
        <v>484</v>
      </c>
      <c r="H10" s="111">
        <f>-(Forecast!G115+Forecast!G120)</f>
        <v>-9676000</v>
      </c>
      <c r="I10" s="98"/>
      <c r="J10" s="98"/>
      <c r="K10" s="98"/>
      <c r="L10" s="98"/>
      <c r="M10" s="98"/>
    </row>
    <row r="11" spans="2:13" ht="19" x14ac:dyDescent="0.25">
      <c r="B11" s="64" t="s">
        <v>419</v>
      </c>
      <c r="H11" s="107">
        <v>0</v>
      </c>
      <c r="I11" s="98"/>
      <c r="J11" s="98"/>
      <c r="K11" s="98"/>
      <c r="L11" s="98"/>
      <c r="M11" s="98"/>
    </row>
    <row r="12" spans="2:13" ht="20" thickBot="1" x14ac:dyDescent="0.3">
      <c r="B12" s="64" t="s">
        <v>485</v>
      </c>
      <c r="H12" s="239">
        <f>Forecast!H180</f>
        <v>-50000</v>
      </c>
      <c r="I12" s="98"/>
      <c r="J12" s="98"/>
      <c r="K12" s="98"/>
      <c r="L12" s="98"/>
      <c r="M12" s="98"/>
    </row>
    <row r="13" spans="2:13" ht="19" x14ac:dyDescent="0.25">
      <c r="B13" s="141" t="s">
        <v>486</v>
      </c>
      <c r="H13" s="240">
        <f>H7+H9+H10+H11+H12</f>
        <v>98383384.677680939</v>
      </c>
      <c r="I13" s="98"/>
      <c r="J13" s="98"/>
      <c r="K13" s="98"/>
      <c r="L13" s="98"/>
      <c r="M13" s="98"/>
    </row>
    <row r="14" spans="2:13" ht="19" x14ac:dyDescent="0.25">
      <c r="B14" s="64"/>
      <c r="H14" s="107"/>
      <c r="I14" s="98"/>
      <c r="J14" s="98"/>
      <c r="K14" s="98"/>
      <c r="L14" s="98"/>
      <c r="M14" s="98"/>
    </row>
    <row r="15" spans="2:13" ht="19" x14ac:dyDescent="0.25">
      <c r="B15" s="64" t="s">
        <v>487</v>
      </c>
      <c r="H15" s="111">
        <f>Forecast!G48+Forecast!H182</f>
        <v>1096506.4935064935</v>
      </c>
      <c r="I15" s="98"/>
      <c r="J15" s="98"/>
      <c r="K15" s="98"/>
      <c r="L15" s="98"/>
      <c r="M15" s="98"/>
    </row>
    <row r="16" spans="2:13" ht="19" x14ac:dyDescent="0.25">
      <c r="B16" s="64"/>
      <c r="H16" s="107"/>
      <c r="I16" s="98"/>
      <c r="J16" s="98"/>
      <c r="K16" s="98"/>
      <c r="L16" s="98"/>
      <c r="M16" s="98"/>
    </row>
    <row r="17" spans="2:19" ht="19" x14ac:dyDescent="0.25">
      <c r="B17" s="141" t="s">
        <v>488</v>
      </c>
      <c r="H17" s="241">
        <f>H13/H15</f>
        <v>89.724397675989053</v>
      </c>
      <c r="I17" s="98"/>
      <c r="J17" s="98"/>
      <c r="K17" s="98"/>
      <c r="L17" s="98"/>
      <c r="M17" s="98"/>
    </row>
    <row r="18" spans="2:19" ht="19" x14ac:dyDescent="0.25">
      <c r="B18" s="141"/>
      <c r="H18" s="241"/>
      <c r="I18" s="98"/>
      <c r="J18" s="98"/>
      <c r="K18" s="98"/>
      <c r="L18" s="98"/>
      <c r="M18" s="98"/>
    </row>
    <row r="19" spans="2:19" ht="19" x14ac:dyDescent="0.25">
      <c r="B19" s="151" t="s">
        <v>638</v>
      </c>
      <c r="H19" s="240">
        <f>H20*Forecast!H48+Forecast!H115+Forecast!H120+Forecast!H126-Forecast!H95-Forecast!H96</f>
        <v>88020950.777986705</v>
      </c>
      <c r="I19" s="240">
        <f>I20*Forecast!I48+Forecast!I115+Forecast!I120+Forecast!I126-Forecast!I95-Forecast!I96</f>
        <v>92957891.475905672</v>
      </c>
      <c r="J19" s="240">
        <f>J20*Forecast!J48+Forecast!J115+Forecast!J120+Forecast!J126-Forecast!J95-Forecast!J96</f>
        <v>97809128.925837368</v>
      </c>
      <c r="K19" s="240">
        <f>K20*Forecast!K48+Forecast!K115+Forecast!K120+Forecast!K126-Forecast!K95-Forecast!K96</f>
        <v>103131695.25957577</v>
      </c>
      <c r="L19" s="240">
        <f>L20*Forecast!L48+Forecast!L115+Forecast!L120+Forecast!L126-Forecast!L95-Forecast!L96</f>
        <v>107563395.6083035</v>
      </c>
      <c r="M19" s="240">
        <f>M20*Forecast!M48+Forecast!M115+Forecast!M120+Forecast!M126-Forecast!M95-Forecast!M96</f>
        <v>112454900.06493625</v>
      </c>
      <c r="O19" s="229"/>
      <c r="P19" s="229"/>
      <c r="Q19" s="229"/>
      <c r="R19" s="229"/>
      <c r="S19" s="229"/>
    </row>
    <row r="20" spans="2:19" ht="19" x14ac:dyDescent="0.25">
      <c r="B20" s="238" t="s">
        <v>639</v>
      </c>
      <c r="H20" s="241">
        <f>H17</f>
        <v>89.724397675989053</v>
      </c>
      <c r="I20" s="242">
        <f>H20*(1+WACC!$I$71)</f>
        <v>101.34227158466682</v>
      </c>
      <c r="J20" s="242">
        <f>I20*(1+WACC!$I$71)</f>
        <v>114.4644742785358</v>
      </c>
      <c r="K20" s="242">
        <f>J20*(1+WACC!$I$71)</f>
        <v>129.28579226601772</v>
      </c>
      <c r="L20" s="242">
        <f>K20*(1+WACC!$I$71)</f>
        <v>146.02623379179076</v>
      </c>
      <c r="M20" s="242">
        <f>L20*(1+WACC!$I$71)</f>
        <v>164.93429464808699</v>
      </c>
    </row>
    <row r="21" spans="2:19" x14ac:dyDescent="0.2">
      <c r="B21" s="218"/>
      <c r="H21" s="98"/>
      <c r="I21" s="98"/>
      <c r="J21" s="98"/>
      <c r="K21" s="98"/>
      <c r="L21" s="98"/>
      <c r="M21" s="98"/>
    </row>
    <row r="22" spans="2:19" ht="19" x14ac:dyDescent="0.25">
      <c r="B22" s="23" t="s">
        <v>489</v>
      </c>
      <c r="C22" s="23"/>
      <c r="D22" s="23"/>
      <c r="E22" s="23"/>
      <c r="F22" s="23"/>
      <c r="G22" s="23"/>
      <c r="H22" s="23"/>
      <c r="I22" s="23"/>
      <c r="J22" s="23"/>
      <c r="K22" s="23"/>
      <c r="L22" s="23"/>
      <c r="M22" s="23"/>
    </row>
    <row r="23" spans="2:19" x14ac:dyDescent="0.2">
      <c r="H23" s="98"/>
      <c r="I23" s="98"/>
      <c r="J23" s="98"/>
      <c r="K23" s="98"/>
      <c r="L23" s="98"/>
      <c r="M23" s="98"/>
    </row>
    <row r="24" spans="2:19" ht="19" x14ac:dyDescent="0.25">
      <c r="B24" s="142" t="s">
        <v>490</v>
      </c>
      <c r="C24" s="95">
        <f>Forecast!C23</f>
        <v>2790000</v>
      </c>
      <c r="D24" s="95">
        <f>Forecast!D23</f>
        <v>3428000</v>
      </c>
      <c r="E24" s="95">
        <f>Forecast!E23</f>
        <v>4324000</v>
      </c>
      <c r="F24" s="95">
        <f>Forecast!F23</f>
        <v>4044000</v>
      </c>
      <c r="G24" s="95">
        <f>Forecast!G23</f>
        <v>4944000</v>
      </c>
      <c r="H24" s="111">
        <f>Forecast!H23</f>
        <v>5348783.4871720318</v>
      </c>
      <c r="I24" s="111">
        <f>Forecast!I23</f>
        <v>5786708.0891270619</v>
      </c>
      <c r="J24" s="111">
        <f>Forecast!J23</f>
        <v>6260487.1909805164</v>
      </c>
      <c r="K24" s="111">
        <f>Forecast!K23</f>
        <v>6773056.3326797318</v>
      </c>
      <c r="L24" s="111">
        <f>Forecast!L23</f>
        <v>7327591.3976382129</v>
      </c>
      <c r="M24" s="111">
        <f>Forecast!M23</f>
        <v>7927528.2905402742</v>
      </c>
    </row>
    <row r="25" spans="2:19" ht="19" x14ac:dyDescent="0.25">
      <c r="B25" s="142" t="str">
        <f>"  + Amortization"</f>
        <v xml:space="preserve">  + Amortization</v>
      </c>
      <c r="C25" s="114">
        <f>Forecast!C143</f>
        <v>0</v>
      </c>
      <c r="D25" s="114">
        <f>Forecast!D143</f>
        <v>0</v>
      </c>
      <c r="E25" s="95">
        <f>Forecast!E143</f>
        <v>516000</v>
      </c>
      <c r="F25" s="95">
        <f>Forecast!F143</f>
        <v>401000</v>
      </c>
      <c r="G25" s="115">
        <f>Forecast!G143</f>
        <v>-141000</v>
      </c>
      <c r="H25" s="111">
        <f>Forecast!H143</f>
        <v>214000</v>
      </c>
      <c r="I25" s="111">
        <f>Forecast!I143</f>
        <v>196000</v>
      </c>
      <c r="J25" s="111">
        <f>Forecast!J143</f>
        <v>160000</v>
      </c>
      <c r="K25" s="111">
        <f>Forecast!K143</f>
        <v>103000</v>
      </c>
      <c r="L25" s="111">
        <f>Forecast!L143</f>
        <v>65000</v>
      </c>
      <c r="M25" s="111">
        <f>Forecast!M143</f>
        <v>65000</v>
      </c>
    </row>
    <row r="26" spans="2:19" ht="19" x14ac:dyDescent="0.25">
      <c r="B26" s="142" t="str">
        <f>"  + Other Non-Cash Charges"</f>
        <v xml:space="preserve">  + Other Non-Cash Charges</v>
      </c>
      <c r="C26" s="95">
        <f>Forecast!C146+Forecast!C147+Forecast!C149</f>
        <v>1231000</v>
      </c>
      <c r="D26" s="95">
        <f>Forecast!D146+Forecast!D147+Forecast!D149</f>
        <v>1788000</v>
      </c>
      <c r="E26" s="95">
        <f>Forecast!E146+Forecast!E147+Forecast!E149</f>
        <v>1087000</v>
      </c>
      <c r="F26" s="95">
        <f>Forecast!F146+Forecast!F147+Forecast!F149</f>
        <v>1847000</v>
      </c>
      <c r="G26" s="115">
        <f>Forecast!G146+Forecast!G147+Forecast!G149</f>
        <v>-10195000</v>
      </c>
      <c r="H26" s="111">
        <f>Forecast!H146+Forecast!H147+Forecast!H149</f>
        <v>0</v>
      </c>
      <c r="I26" s="111">
        <f>Forecast!I146+Forecast!I147+Forecast!I149</f>
        <v>0</v>
      </c>
      <c r="J26" s="111">
        <f>Forecast!J146+Forecast!J147+Forecast!J149</f>
        <v>0</v>
      </c>
      <c r="K26" s="111">
        <f>Forecast!K146+Forecast!K147+Forecast!K149</f>
        <v>0</v>
      </c>
      <c r="L26" s="111">
        <f>Forecast!L146+Forecast!L147+Forecast!L149</f>
        <v>0</v>
      </c>
      <c r="M26" s="111">
        <f>Forecast!M146+Forecast!M147+Forecast!M149</f>
        <v>0</v>
      </c>
    </row>
    <row r="27" spans="2:19" ht="19" x14ac:dyDescent="0.25">
      <c r="B27" s="142" t="str">
        <f>" - Restructuring &amp; Other Cash Charges"</f>
        <v xml:space="preserve"> - Restructuring &amp; Other Cash Charges</v>
      </c>
      <c r="C27" s="115">
        <f>-Forecast!C35</f>
        <v>-71000</v>
      </c>
      <c r="D27" s="115">
        <f>-Forecast!D35</f>
        <v>-139000</v>
      </c>
      <c r="E27" s="115">
        <f>-Forecast!E35</f>
        <v>-62000</v>
      </c>
      <c r="F27" s="115">
        <f>-Forecast!F35</f>
        <v>-207000</v>
      </c>
      <c r="G27" s="95">
        <f>-Forecast!G35</f>
        <v>84000</v>
      </c>
      <c r="H27" s="116">
        <f>-Forecast!H35</f>
        <v>-197424.89478945098</v>
      </c>
      <c r="I27" s="116">
        <f>-Forecast!I35</f>
        <v>-213588.79797865925</v>
      </c>
      <c r="J27" s="116">
        <f>-Forecast!J35</f>
        <v>-231076.09944845788</v>
      </c>
      <c r="K27" s="116">
        <f>-Forecast!K35</f>
        <v>-249995.15068973179</v>
      </c>
      <c r="L27" s="116">
        <f>-Forecast!L35</f>
        <v>-270463.17432894849</v>
      </c>
      <c r="M27" s="116">
        <f>-Forecast!M35</f>
        <v>-292606.99044069793</v>
      </c>
    </row>
    <row r="28" spans="2:19" ht="19" x14ac:dyDescent="0.25">
      <c r="B28" s="142" t="str">
        <f>"  + After-Tax Operating Adjustments"</f>
        <v xml:space="preserve">  + After-Tax Operating Adjustments</v>
      </c>
      <c r="C28" s="114">
        <v>0</v>
      </c>
      <c r="D28" s="114">
        <v>0</v>
      </c>
      <c r="E28" s="114">
        <v>0</v>
      </c>
      <c r="F28" s="114">
        <v>0</v>
      </c>
      <c r="G28" s="114">
        <v>0</v>
      </c>
      <c r="H28" s="107">
        <v>0</v>
      </c>
      <c r="I28" s="107">
        <v>0</v>
      </c>
      <c r="J28" s="107">
        <v>0</v>
      </c>
      <c r="K28" s="107">
        <v>0</v>
      </c>
      <c r="L28" s="107">
        <v>0</v>
      </c>
      <c r="M28" s="107">
        <v>0</v>
      </c>
    </row>
    <row r="29" spans="2:19" ht="19" x14ac:dyDescent="0.25">
      <c r="B29" s="142" t="str">
        <f>"  - Cash Taxes"</f>
        <v xml:space="preserve">  - Cash Taxes</v>
      </c>
      <c r="C29" s="115">
        <f>-(C30+C31+C32)</f>
        <v>-1001240</v>
      </c>
      <c r="D29" s="115">
        <f t="shared" ref="D29:M29" si="0">-(D30+D31+D32)</f>
        <v>-2632570</v>
      </c>
      <c r="E29" s="115">
        <f t="shared" si="0"/>
        <v>-460975</v>
      </c>
      <c r="F29" s="115">
        <f t="shared" si="0"/>
        <v>-1490530</v>
      </c>
      <c r="G29" s="115">
        <f t="shared" si="0"/>
        <v>-2005405</v>
      </c>
      <c r="H29" s="116">
        <f t="shared" si="0"/>
        <v>-1152636.1323061266</v>
      </c>
      <c r="I29" s="116">
        <f t="shared" si="0"/>
        <v>-1229119.7038654957</v>
      </c>
      <c r="J29" s="116">
        <f t="shared" si="0"/>
        <v>-1323097.6985456683</v>
      </c>
      <c r="K29" s="116">
        <f t="shared" si="0"/>
        <v>-1424770.0177412264</v>
      </c>
      <c r="L29" s="116">
        <f t="shared" si="0"/>
        <v>-1534766.6241359862</v>
      </c>
      <c r="M29" s="116">
        <f t="shared" si="0"/>
        <v>-1653769.0577786337</v>
      </c>
    </row>
    <row r="30" spans="2:19" ht="19" x14ac:dyDescent="0.25">
      <c r="B30" s="143" t="s">
        <v>491</v>
      </c>
      <c r="C30" s="95">
        <f>Forecast!C40</f>
        <v>539000</v>
      </c>
      <c r="D30" s="95">
        <f>Forecast!D40</f>
        <v>863000</v>
      </c>
      <c r="E30" s="115">
        <f>Forecast!E40</f>
        <v>-70000</v>
      </c>
      <c r="F30" s="95">
        <f>Forecast!F40</f>
        <v>947000</v>
      </c>
      <c r="G30" s="95">
        <f>Forecast!G40</f>
        <v>1165000</v>
      </c>
      <c r="H30" s="111">
        <f>Forecast!H40</f>
        <v>1123244.5323061266</v>
      </c>
      <c r="I30" s="111">
        <f>Forecast!I40</f>
        <v>1215208.6987166828</v>
      </c>
      <c r="J30" s="111">
        <f>Forecast!J40</f>
        <v>1314702.3101059084</v>
      </c>
      <c r="K30" s="111">
        <f>Forecast!K40</f>
        <v>1422341.8298627436</v>
      </c>
      <c r="L30" s="111">
        <f>Forecast!L40</f>
        <v>1538794.1935040248</v>
      </c>
      <c r="M30" s="111">
        <f>Forecast!M40</f>
        <v>1664780.9410134575</v>
      </c>
    </row>
    <row r="31" spans="2:19" ht="19" x14ac:dyDescent="0.25">
      <c r="B31" s="143" t="s">
        <v>492</v>
      </c>
      <c r="C31" s="115">
        <f>(Forecast!C27-Forecast!C28)*Forecast!C67</f>
        <v>-14760</v>
      </c>
      <c r="D31" s="95">
        <f>(Forecast!D27-Forecast!D28)*Forecast!D67</f>
        <v>20570</v>
      </c>
      <c r="E31" s="95">
        <f>(Forecast!E27-Forecast!E28)*Forecast!E67</f>
        <v>2975</v>
      </c>
      <c r="F31" s="95">
        <f>(Forecast!F27-Forecast!F28)*Forecast!F67</f>
        <v>36530</v>
      </c>
      <c r="G31" s="115">
        <f>(Forecast!G27-Forecast!G28)*Forecast!G67</f>
        <v>-28595</v>
      </c>
      <c r="H31" s="111">
        <f>(Forecast!H27-Forecast!H28)*Forecast!H67</f>
        <v>29391.599999999999</v>
      </c>
      <c r="I31" s="111">
        <f>(Forecast!I27-Forecast!I28)*Forecast!I67</f>
        <v>13911.005148812974</v>
      </c>
      <c r="J31" s="111">
        <f>(Forecast!J27-Forecast!J28)*Forecast!J67</f>
        <v>8395.3884397598249</v>
      </c>
      <c r="K31" s="111">
        <f>(Forecast!K27-Forecast!K28)*Forecast!K67</f>
        <v>2428.1878784828291</v>
      </c>
      <c r="L31" s="116">
        <f>(Forecast!L27-Forecast!L28)*Forecast!L67</f>
        <v>-4027.5693680386617</v>
      </c>
      <c r="M31" s="116">
        <f>(Forecast!M27-Forecast!M28)*Forecast!M67</f>
        <v>-11011.883234823727</v>
      </c>
    </row>
    <row r="32" spans="2:19" ht="19" x14ac:dyDescent="0.25">
      <c r="B32" s="143" t="s">
        <v>493</v>
      </c>
      <c r="C32" s="95">
        <f>-Forecast!C148</f>
        <v>477000</v>
      </c>
      <c r="D32" s="95">
        <f>-Forecast!D148</f>
        <v>1749000</v>
      </c>
      <c r="E32" s="95">
        <f>-Forecast!E148</f>
        <v>528000</v>
      </c>
      <c r="F32" s="95">
        <f>-Forecast!F148</f>
        <v>507000</v>
      </c>
      <c r="G32" s="95">
        <f>-Forecast!G148</f>
        <v>869000</v>
      </c>
      <c r="H32" s="111">
        <f>-Forecast!H148</f>
        <v>0</v>
      </c>
      <c r="I32" s="111">
        <f>-Forecast!I148</f>
        <v>0</v>
      </c>
      <c r="J32" s="111">
        <f>-Forecast!J148</f>
        <v>0</v>
      </c>
      <c r="K32" s="111">
        <f>-Forecast!K148</f>
        <v>0</v>
      </c>
      <c r="L32" s="111">
        <f>-Forecast!L148</f>
        <v>0</v>
      </c>
      <c r="M32" s="111">
        <f>-Forecast!M148</f>
        <v>0</v>
      </c>
    </row>
    <row r="33" spans="2:13" ht="19" x14ac:dyDescent="0.25">
      <c r="B33" s="142" t="str">
        <f>"  + Pension Adjustment"</f>
        <v xml:space="preserve">  + Pension Adjustment</v>
      </c>
      <c r="C33" s="95">
        <v>0</v>
      </c>
      <c r="D33" s="95">
        <v>0</v>
      </c>
      <c r="E33" s="95">
        <v>0</v>
      </c>
      <c r="F33" s="95">
        <v>0</v>
      </c>
      <c r="G33" s="95">
        <v>0</v>
      </c>
      <c r="H33" s="111">
        <v>0</v>
      </c>
      <c r="I33" s="111">
        <v>0</v>
      </c>
      <c r="J33" s="111">
        <v>0</v>
      </c>
      <c r="K33" s="111">
        <v>0</v>
      </c>
      <c r="L33" s="111">
        <v>0</v>
      </c>
      <c r="M33" s="111">
        <v>0</v>
      </c>
    </row>
    <row r="34" spans="2:13" ht="19" x14ac:dyDescent="0.25">
      <c r="B34" s="64"/>
      <c r="H34" s="98"/>
      <c r="I34" s="98"/>
      <c r="J34" s="98"/>
      <c r="K34" s="98"/>
      <c r="L34" s="98"/>
      <c r="M34" s="98"/>
    </row>
    <row r="35" spans="2:13" ht="19" x14ac:dyDescent="0.25">
      <c r="B35" s="144" t="s">
        <v>494</v>
      </c>
      <c r="C35" s="144">
        <f>SUM(C24:C33)</f>
        <v>3950000</v>
      </c>
      <c r="D35" s="144">
        <f t="shared" ref="D35:M35" si="1">SUM(D24:D33)</f>
        <v>5077000</v>
      </c>
      <c r="E35" s="144">
        <f t="shared" si="1"/>
        <v>5865000</v>
      </c>
      <c r="F35" s="144">
        <f t="shared" si="1"/>
        <v>6085000</v>
      </c>
      <c r="G35" s="144">
        <f t="shared" si="1"/>
        <v>-5308000</v>
      </c>
      <c r="H35" s="243">
        <f t="shared" si="1"/>
        <v>5365358.59238258</v>
      </c>
      <c r="I35" s="243">
        <f t="shared" si="1"/>
        <v>5769119.2911484037</v>
      </c>
      <c r="J35" s="243">
        <f t="shared" si="1"/>
        <v>6189411.0915320581</v>
      </c>
      <c r="K35" s="243">
        <f t="shared" si="1"/>
        <v>6626061.1819900004</v>
      </c>
      <c r="L35" s="243">
        <f t="shared" si="1"/>
        <v>7122128.2233092654</v>
      </c>
      <c r="M35" s="243">
        <f t="shared" si="1"/>
        <v>7699921.300099575</v>
      </c>
    </row>
    <row r="36" spans="2:13" ht="19" x14ac:dyDescent="0.25">
      <c r="B36" s="145" t="s">
        <v>495</v>
      </c>
      <c r="C36" s="146">
        <v>-8.0000000000000002E-3</v>
      </c>
      <c r="D36" s="146">
        <f>D35/C35-1</f>
        <v>0.28531645569620245</v>
      </c>
      <c r="E36" s="146">
        <f t="shared" ref="E36:M36" si="2">E35/D35-1</f>
        <v>0.15520976954894627</v>
      </c>
      <c r="F36" s="146">
        <f t="shared" si="2"/>
        <v>3.7510656436487544E-2</v>
      </c>
      <c r="G36" s="146">
        <f t="shared" si="2"/>
        <v>-1.8723089564502877</v>
      </c>
      <c r="H36" s="234">
        <f>H35/G35-1</f>
        <v>-2.0108060648799135</v>
      </c>
      <c r="I36" s="234">
        <f t="shared" si="2"/>
        <v>7.525325508327807E-2</v>
      </c>
      <c r="J36" s="234">
        <f t="shared" si="2"/>
        <v>7.285198644245594E-2</v>
      </c>
      <c r="K36" s="234">
        <f t="shared" si="2"/>
        <v>7.0547921926746415E-2</v>
      </c>
      <c r="L36" s="234">
        <f t="shared" si="2"/>
        <v>7.4866052047271037E-2</v>
      </c>
      <c r="M36" s="234">
        <f t="shared" si="2"/>
        <v>8.1126463702143381E-2</v>
      </c>
    </row>
    <row r="37" spans="2:13" ht="19" x14ac:dyDescent="0.25">
      <c r="B37" s="64"/>
      <c r="H37" s="98"/>
      <c r="I37" s="98"/>
      <c r="J37" s="98"/>
      <c r="K37" s="98"/>
      <c r="L37" s="98"/>
      <c r="M37" s="98"/>
    </row>
    <row r="38" spans="2:13" ht="19" x14ac:dyDescent="0.25">
      <c r="B38" s="142" t="s">
        <v>434</v>
      </c>
      <c r="C38" s="95">
        <f>Forecast!C140</f>
        <v>912000</v>
      </c>
      <c r="D38" s="95">
        <f>Forecast!D140</f>
        <v>1189000</v>
      </c>
      <c r="E38" s="95">
        <f>Forecast!E140</f>
        <v>822000</v>
      </c>
      <c r="F38" s="95">
        <f>Forecast!F140</f>
        <v>846000</v>
      </c>
      <c r="G38" s="95">
        <f>Forecast!G140</f>
        <v>846000</v>
      </c>
      <c r="H38" s="111">
        <f>Forecast!H140</f>
        <v>915265.13554764155</v>
      </c>
      <c r="I38" s="111">
        <f>Forecast!I140</f>
        <v>990201.26282392745</v>
      </c>
      <c r="J38" s="111">
        <f>Forecast!J140</f>
        <v>1071272.6868061321</v>
      </c>
      <c r="K38" s="111">
        <f>Forecast!K140</f>
        <v>1158981.726829906</v>
      </c>
      <c r="L38" s="111">
        <f>Forecast!L140</f>
        <v>1253871.8289647915</v>
      </c>
      <c r="M38" s="111">
        <f>Forecast!M140</f>
        <v>1356530.933211382</v>
      </c>
    </row>
    <row r="39" spans="2:13" ht="19" x14ac:dyDescent="0.25">
      <c r="B39" s="147" t="s">
        <v>451</v>
      </c>
      <c r="C39" s="115">
        <f>Forecast!C160</f>
        <v>-687000</v>
      </c>
      <c r="D39" s="115">
        <f>Forecast!D160</f>
        <v>-746000</v>
      </c>
      <c r="E39" s="115">
        <f>Forecast!E160</f>
        <v>-903000</v>
      </c>
      <c r="F39" s="115">
        <f>Forecast!F160</f>
        <v>-701000</v>
      </c>
      <c r="G39" s="115">
        <f>Forecast!G160</f>
        <v>-578000</v>
      </c>
      <c r="H39" s="116">
        <f>Forecast!H160</f>
        <v>-998462.30361944914</v>
      </c>
      <c r="I39" s="116">
        <f>Forecast!I160</f>
        <v>-1080210.0894343564</v>
      </c>
      <c r="J39" s="116">
        <f>Forecast!J160</f>
        <v>-1168650.8675249007</v>
      </c>
      <c r="K39" s="116">
        <f>Forecast!K160</f>
        <v>-1264332.6178168405</v>
      </c>
      <c r="L39" s="116">
        <f>Forecast!L160</f>
        <v>-1367848.1853704907</v>
      </c>
      <c r="M39" s="116">
        <f>Forecast!M160</f>
        <v>-1479838.9536545125</v>
      </c>
    </row>
    <row r="40" spans="2:13" ht="19" x14ac:dyDescent="0.25">
      <c r="B40" s="147" t="s">
        <v>496</v>
      </c>
      <c r="C40" s="115">
        <f>SUM(Forecast!C151:C155)</f>
        <v>-1075000</v>
      </c>
      <c r="D40" s="115">
        <f>SUM(Forecast!D151:D155)</f>
        <v>-587000</v>
      </c>
      <c r="E40" s="115">
        <f>SUM(Forecast!E151:E155)</f>
        <v>-1645000</v>
      </c>
      <c r="F40" s="115">
        <f>SUM(Forecast!F151:F155)</f>
        <v>-454000</v>
      </c>
      <c r="G40" s="148">
        <f>SUM(Forecast!G151:G155)</f>
        <v>9481000</v>
      </c>
      <c r="H40" s="116">
        <f>SUM(Forecast!H151:H155)</f>
        <v>-79439.438494553789</v>
      </c>
      <c r="I40" s="116">
        <f>SUM(Forecast!I151:I155)</f>
        <v>-117400.19925802574</v>
      </c>
      <c r="J40" s="116">
        <f>SUM(Forecast!J151:J155)</f>
        <v>108708.19918013643</v>
      </c>
      <c r="K40" s="116">
        <f>SUM(Forecast!K151:K155)</f>
        <v>-260079.09200347401</v>
      </c>
      <c r="L40" s="116">
        <f>SUM(Forecast!L151:L155)</f>
        <v>636758.02142317872</v>
      </c>
      <c r="M40" s="116">
        <f>SUM(Forecast!M151:M155)</f>
        <v>46326.845993682742</v>
      </c>
    </row>
    <row r="41" spans="2:13" ht="19" x14ac:dyDescent="0.25">
      <c r="B41" s="147" t="s">
        <v>497</v>
      </c>
      <c r="C41" s="115">
        <f>Forecast!C176</f>
        <v>-1973000</v>
      </c>
      <c r="D41" s="115">
        <f>Forecast!D176</f>
        <v>-13000</v>
      </c>
      <c r="E41" s="115">
        <f>Forecast!E176</f>
        <v>-432000</v>
      </c>
      <c r="F41" s="115">
        <f>Forecast!F176</f>
        <v>-3643000</v>
      </c>
      <c r="G41" s="95">
        <f>Forecast!G176</f>
        <v>-866000</v>
      </c>
      <c r="H41" s="111">
        <f>Forecast!H176</f>
        <v>-87105.899350441527</v>
      </c>
      <c r="I41" s="111">
        <f>Forecast!I176</f>
        <v>-88409.002535981126</v>
      </c>
      <c r="J41" s="111">
        <f>Forecast!J176</f>
        <v>-89732.710515697487</v>
      </c>
      <c r="K41" s="111">
        <f>Forecast!K176</f>
        <v>-91077.362106070388</v>
      </c>
      <c r="L41" s="111">
        <f>Forecast!L176</f>
        <v>-92443.301839184947</v>
      </c>
      <c r="M41" s="111">
        <f>Forecast!M176</f>
        <v>-93830.880060688592</v>
      </c>
    </row>
    <row r="42" spans="2:13" ht="19" x14ac:dyDescent="0.25">
      <c r="B42" s="147" t="s">
        <v>498</v>
      </c>
      <c r="C42" s="115">
        <f>Forecast!C163</f>
        <v>-70</v>
      </c>
      <c r="D42" s="115">
        <f>Forecast!D163</f>
        <v>-3489</v>
      </c>
      <c r="E42" s="115">
        <f>Forecast!E163</f>
        <v>-2763</v>
      </c>
      <c r="F42" s="95">
        <f>Forecast!F163</f>
        <v>0</v>
      </c>
      <c r="G42" s="95">
        <f>Forecast!G163</f>
        <v>0</v>
      </c>
      <c r="H42" s="111">
        <f>Forecast!H163</f>
        <v>0</v>
      </c>
      <c r="I42" s="111">
        <f>Forecast!I163</f>
        <v>0</v>
      </c>
      <c r="J42" s="111">
        <f>Forecast!J163</f>
        <v>0</v>
      </c>
      <c r="K42" s="116">
        <f>Forecast!K163</f>
        <v>-500</v>
      </c>
      <c r="L42" s="116">
        <f>Forecast!L163</f>
        <v>-500</v>
      </c>
      <c r="M42" s="116">
        <f>Forecast!M163</f>
        <v>-500</v>
      </c>
    </row>
    <row r="43" spans="2:13" ht="19" x14ac:dyDescent="0.25">
      <c r="B43" s="64"/>
      <c r="H43" s="98"/>
      <c r="I43" s="98"/>
      <c r="J43" s="98"/>
      <c r="K43" s="98"/>
      <c r="L43" s="98"/>
      <c r="M43" s="98"/>
    </row>
    <row r="44" spans="2:13" ht="19" x14ac:dyDescent="0.25">
      <c r="B44" s="144" t="s">
        <v>499</v>
      </c>
      <c r="C44" s="144">
        <f>SUM(C38:C42)</f>
        <v>-2823070</v>
      </c>
      <c r="D44" s="144">
        <f t="shared" ref="D44:M44" si="3">SUM(D38:D42)</f>
        <v>-160489</v>
      </c>
      <c r="E44" s="144">
        <f t="shared" si="3"/>
        <v>-2160763</v>
      </c>
      <c r="F44" s="144">
        <f t="shared" si="3"/>
        <v>-3952000</v>
      </c>
      <c r="G44" s="144">
        <f t="shared" si="3"/>
        <v>8883000</v>
      </c>
      <c r="H44" s="243">
        <f t="shared" si="3"/>
        <v>-249742.50591680291</v>
      </c>
      <c r="I44" s="243">
        <f t="shared" si="3"/>
        <v>-295818.02840443584</v>
      </c>
      <c r="J44" s="243">
        <f t="shared" si="3"/>
        <v>-78402.692054329673</v>
      </c>
      <c r="K44" s="243">
        <f t="shared" si="3"/>
        <v>-457007.34509647894</v>
      </c>
      <c r="L44" s="243">
        <f t="shared" si="3"/>
        <v>429838.36317829462</v>
      </c>
      <c r="M44" s="243">
        <f t="shared" si="3"/>
        <v>-171312.05451013637</v>
      </c>
    </row>
    <row r="45" spans="2:13" x14ac:dyDescent="0.2">
      <c r="H45" s="98"/>
      <c r="I45" s="98"/>
      <c r="J45" s="98"/>
      <c r="K45" s="98"/>
      <c r="L45" s="98"/>
      <c r="M45" s="98"/>
    </row>
    <row r="46" spans="2:13" ht="19" x14ac:dyDescent="0.25">
      <c r="B46" s="149" t="s">
        <v>500</v>
      </c>
      <c r="C46" s="150">
        <f>-C44/C35</f>
        <v>0.71470126582278481</v>
      </c>
      <c r="D46" s="150">
        <f t="shared" ref="D46:M46" si="4">-D44/D35</f>
        <v>3.1610990742564508E-2</v>
      </c>
      <c r="E46" s="150">
        <f t="shared" si="4"/>
        <v>0.36841653878942882</v>
      </c>
      <c r="F46" s="150">
        <f t="shared" si="4"/>
        <v>0.64946589975349223</v>
      </c>
      <c r="G46" s="150">
        <f t="shared" si="4"/>
        <v>1.6735116804822909</v>
      </c>
      <c r="H46" s="235">
        <f t="shared" si="4"/>
        <v>4.6547216111775383E-2</v>
      </c>
      <c r="I46" s="235">
        <f t="shared" si="4"/>
        <v>5.1276115725031254E-2</v>
      </c>
      <c r="J46" s="235">
        <f t="shared" si="4"/>
        <v>1.2667229708105032E-2</v>
      </c>
      <c r="K46" s="235">
        <f t="shared" si="4"/>
        <v>6.897119307299035E-2</v>
      </c>
      <c r="L46" s="235">
        <f t="shared" si="4"/>
        <v>-6.03525167900687E-2</v>
      </c>
      <c r="M46" s="235">
        <f t="shared" si="4"/>
        <v>2.2248546164740798E-2</v>
      </c>
    </row>
    <row r="47" spans="2:13" ht="19" x14ac:dyDescent="0.25">
      <c r="B47" s="149" t="s">
        <v>501</v>
      </c>
      <c r="C47" s="150">
        <f>-C36/C46</f>
        <v>1.1193487940433641E-2</v>
      </c>
      <c r="D47" s="150">
        <f t="shared" ref="D47:M47" si="5">-D36/D46</f>
        <v>-9.0258624925672155</v>
      </c>
      <c r="E47" s="150">
        <f t="shared" si="5"/>
        <v>-0.42128882177479432</v>
      </c>
      <c r="F47" s="150">
        <f t="shared" si="5"/>
        <v>-5.7756160024298252E-2</v>
      </c>
      <c r="G47" s="150">
        <f t="shared" si="5"/>
        <v>1.1187904920452694</v>
      </c>
      <c r="H47" s="235">
        <f>H36/H46</f>
        <v>-43.199276623789871</v>
      </c>
      <c r="I47" s="235">
        <f>-I36/I46</f>
        <v>-1.467608340047138</v>
      </c>
      <c r="J47" s="235">
        <f t="shared" si="5"/>
        <v>-5.7512169686038099</v>
      </c>
      <c r="K47" s="235">
        <f t="shared" si="5"/>
        <v>-1.0228606869550227</v>
      </c>
      <c r="L47" s="235">
        <f t="shared" si="5"/>
        <v>1.2404793706894857</v>
      </c>
      <c r="M47" s="235">
        <f t="shared" si="5"/>
        <v>-3.646371457327469</v>
      </c>
    </row>
    <row r="48" spans="2:13" ht="19" x14ac:dyDescent="0.25">
      <c r="B48" s="149"/>
      <c r="C48" s="150"/>
      <c r="D48" s="150"/>
      <c r="E48" s="150"/>
      <c r="F48" s="150"/>
      <c r="G48" s="150"/>
      <c r="H48" s="235"/>
      <c r="I48" s="235"/>
      <c r="J48" s="235"/>
      <c r="K48" s="235"/>
      <c r="L48" s="235"/>
      <c r="M48" s="235"/>
    </row>
    <row r="49" spans="2:14" ht="19" x14ac:dyDescent="0.25">
      <c r="B49" s="141" t="s">
        <v>651</v>
      </c>
      <c r="C49" s="150"/>
      <c r="D49" s="150"/>
      <c r="E49" s="150"/>
      <c r="F49" s="150"/>
      <c r="G49" s="150"/>
      <c r="H49" s="235"/>
      <c r="I49" s="235"/>
      <c r="J49" s="235"/>
      <c r="K49" s="235"/>
      <c r="L49" s="235"/>
      <c r="M49" s="235"/>
    </row>
    <row r="50" spans="2:14" ht="19" x14ac:dyDescent="0.25">
      <c r="B50" s="64" t="s">
        <v>653</v>
      </c>
      <c r="C50" s="150"/>
      <c r="D50" s="150">
        <f>ROIC!C95</f>
        <v>0.38411915849752226</v>
      </c>
      <c r="E50" s="150">
        <f>ROIC!D95</f>
        <v>0.46869788774931448</v>
      </c>
      <c r="F50" s="150">
        <f>ROIC!E95</f>
        <v>0.36459182681506747</v>
      </c>
      <c r="G50" s="150">
        <f>ROIC!F95</f>
        <v>0.33822918199131524</v>
      </c>
      <c r="H50" s="235">
        <f>ROIC!G95</f>
        <v>0.3994803435176153</v>
      </c>
      <c r="I50" s="235">
        <f>ROIC!H95</f>
        <v>0.40778938707555884</v>
      </c>
      <c r="J50" s="235">
        <f>ROIC!I95</f>
        <v>0.41760651596403808</v>
      </c>
      <c r="K50" s="235">
        <f>ROIC!J95</f>
        <v>0.45062347713865697</v>
      </c>
      <c r="L50" s="235">
        <f>ROIC!K95</f>
        <v>0.43391085511319216</v>
      </c>
      <c r="M50" s="235">
        <f>ROIC!L95</f>
        <v>0.42688444132523407</v>
      </c>
    </row>
    <row r="51" spans="2:14" ht="19" x14ac:dyDescent="0.25">
      <c r="B51" s="141" t="s">
        <v>652</v>
      </c>
      <c r="C51" s="150"/>
      <c r="D51" s="150">
        <f>ROIC!C92</f>
        <v>0.21291479530150284</v>
      </c>
      <c r="E51" s="150">
        <f>ROIC!D92</f>
        <v>0.25552390471484493</v>
      </c>
      <c r="F51" s="150">
        <f>ROIC!E92</f>
        <v>0.20336735472390829</v>
      </c>
      <c r="G51" s="150">
        <f>ROIC!F92</f>
        <v>0.18578552017423694</v>
      </c>
      <c r="H51" s="235">
        <f>ROIC!G92</f>
        <v>0.21828372118071737</v>
      </c>
      <c r="I51" s="235">
        <f>ROIC!H92</f>
        <v>0.22921379907682896</v>
      </c>
      <c r="J51" s="235">
        <f>ROIC!I92</f>
        <v>0.24068987967186847</v>
      </c>
      <c r="K51" s="235">
        <f>ROIC!J92</f>
        <v>0.26991390106805219</v>
      </c>
      <c r="L51" s="235">
        <f>ROIC!K92</f>
        <v>0.26996235840232369</v>
      </c>
      <c r="M51" s="235">
        <f>ROIC!L92</f>
        <v>0.27369871103020976</v>
      </c>
    </row>
    <row r="52" spans="2:14" ht="19" x14ac:dyDescent="0.25">
      <c r="B52" s="141" t="s">
        <v>714</v>
      </c>
      <c r="C52" s="150"/>
      <c r="D52" s="150">
        <f>ROIC!C96</f>
        <v>-0.11253197242441139</v>
      </c>
      <c r="E52" s="150">
        <f>ROIC!D96</f>
        <v>0.33435604651831247</v>
      </c>
      <c r="F52" s="150">
        <f>ROIC!E96</f>
        <v>1.6227228674010101</v>
      </c>
      <c r="G52" s="150">
        <f>ROIC!F96</f>
        <v>0.40188002820746554</v>
      </c>
      <c r="H52" s="235">
        <f>ROIC!G96</f>
        <v>0.85265430277892662</v>
      </c>
      <c r="I52" s="235">
        <f>ROIC!H96</f>
        <v>0.52190817441557014</v>
      </c>
      <c r="J52" s="235">
        <f>ROIC!I96</f>
        <v>0.61264982961293823</v>
      </c>
      <c r="K52" s="235">
        <f>ROIC!J96</f>
        <v>0.54253591909046783</v>
      </c>
      <c r="L52" s="235">
        <f>ROIC!K96</f>
        <v>0.36761322734813079</v>
      </c>
      <c r="M52" s="235">
        <f>ROIC!L96</f>
        <v>0.28790685431243956</v>
      </c>
    </row>
    <row r="53" spans="2:14" x14ac:dyDescent="0.2">
      <c r="B53" s="218"/>
      <c r="H53" s="98"/>
      <c r="I53" s="98"/>
      <c r="J53" s="98"/>
      <c r="K53" s="98"/>
      <c r="L53" s="98"/>
      <c r="M53" s="98"/>
    </row>
    <row r="54" spans="2:14" ht="19" x14ac:dyDescent="0.25">
      <c r="B54" s="151" t="s">
        <v>502</v>
      </c>
      <c r="C54" s="95">
        <f>C35+C44</f>
        <v>1126930</v>
      </c>
      <c r="D54" s="95">
        <f t="shared" ref="D54:M54" si="6">D35+D44</f>
        <v>4916511</v>
      </c>
      <c r="E54" s="95">
        <f t="shared" si="6"/>
        <v>3704237</v>
      </c>
      <c r="F54" s="95">
        <f t="shared" si="6"/>
        <v>2133000</v>
      </c>
      <c r="G54" s="95">
        <f t="shared" si="6"/>
        <v>3575000</v>
      </c>
      <c r="H54" s="111">
        <f t="shared" si="6"/>
        <v>5115616.0864657769</v>
      </c>
      <c r="I54" s="111">
        <f t="shared" si="6"/>
        <v>5473301.2627439676</v>
      </c>
      <c r="J54" s="111">
        <f t="shared" si="6"/>
        <v>6111008.3994777286</v>
      </c>
      <c r="K54" s="111">
        <f t="shared" si="6"/>
        <v>6169053.8368935212</v>
      </c>
      <c r="L54" s="111">
        <f t="shared" si="6"/>
        <v>7551966.5864875596</v>
      </c>
      <c r="M54" s="111">
        <f t="shared" si="6"/>
        <v>7528609.2455894388</v>
      </c>
    </row>
    <row r="55" spans="2:14" ht="19" x14ac:dyDescent="0.25">
      <c r="B55" s="142" t="s">
        <v>503</v>
      </c>
      <c r="C55" s="114">
        <v>0</v>
      </c>
      <c r="D55" s="114">
        <v>0</v>
      </c>
      <c r="E55" s="114">
        <v>0</v>
      </c>
      <c r="F55" s="114">
        <v>0</v>
      </c>
      <c r="G55" s="114">
        <v>0</v>
      </c>
      <c r="H55" s="108">
        <f>H54/(1+WACC)^1</f>
        <v>4598254.6300118305</v>
      </c>
      <c r="I55" s="108">
        <f>I54/(1+WACC)^2</f>
        <v>4422211.3838371327</v>
      </c>
      <c r="J55" s="108">
        <f>J54/(1+WACC)^3</f>
        <v>4438110.3660284271</v>
      </c>
      <c r="K55" s="108">
        <f>K54/(1+WACC)^4</f>
        <v>4027159.6802328476</v>
      </c>
      <c r="L55" s="108">
        <f>L54/(1+WACC)^5</f>
        <v>4431343.5599319041</v>
      </c>
      <c r="M55" s="108">
        <f>M54/(1+WACC)^6</f>
        <v>3970865.6311923466</v>
      </c>
      <c r="N55" s="353"/>
    </row>
    <row r="56" spans="2:14" ht="19" x14ac:dyDescent="0.25">
      <c r="B56" s="64"/>
      <c r="H56" s="354"/>
      <c r="I56" s="354"/>
      <c r="J56" s="354"/>
      <c r="K56" s="354"/>
      <c r="L56" s="354"/>
      <c r="M56" s="355"/>
    </row>
    <row r="57" spans="2:14" ht="19" x14ac:dyDescent="0.25">
      <c r="B57" s="141" t="s">
        <v>504</v>
      </c>
      <c r="H57" s="352"/>
      <c r="I57" s="98"/>
      <c r="J57" s="98"/>
      <c r="K57" s="98"/>
      <c r="L57" s="98"/>
      <c r="M57" s="98"/>
    </row>
    <row r="58" spans="2:14" ht="19" x14ac:dyDescent="0.25">
      <c r="B58" s="64" t="s">
        <v>505</v>
      </c>
      <c r="H58" s="108">
        <f>M35*(1-Growth/50%)</f>
        <v>7029774.2215720797</v>
      </c>
      <c r="I58" s="98"/>
      <c r="J58" s="98"/>
      <c r="K58" s="98"/>
      <c r="L58" s="98"/>
      <c r="M58" s="98"/>
    </row>
    <row r="59" spans="2:14" ht="19" x14ac:dyDescent="0.25">
      <c r="B59" s="64" t="s">
        <v>506</v>
      </c>
      <c r="H59" s="108">
        <f>(H58*(1+Growth)/(WACC-Growth))-(H58*((1+Growth)^(5+1))/(WACC-Growth))/((1+WACC)^6)</f>
        <v>36932490.89251788</v>
      </c>
      <c r="I59" s="98"/>
      <c r="J59" s="98"/>
      <c r="K59" s="98"/>
      <c r="L59" s="98"/>
      <c r="M59" s="98"/>
    </row>
    <row r="60" spans="2:14" ht="19" x14ac:dyDescent="0.25">
      <c r="B60" s="64" t="s">
        <v>507</v>
      </c>
      <c r="H60" s="244">
        <f>H59/((1+WACC)^6)</f>
        <v>19479555.117744938</v>
      </c>
      <c r="I60" s="98"/>
      <c r="J60" s="98"/>
      <c r="K60" s="98"/>
      <c r="L60" s="98"/>
      <c r="M60" s="98"/>
    </row>
    <row r="61" spans="2:14" ht="19" x14ac:dyDescent="0.25">
      <c r="B61" s="64" t="s">
        <v>508</v>
      </c>
      <c r="H61" s="111">
        <f>M35*((1+Growth)^(5+1))/WACC</f>
        <v>88365172.098815605</v>
      </c>
      <c r="I61" s="98"/>
      <c r="J61" s="98"/>
      <c r="K61" s="98"/>
      <c r="L61" s="98"/>
      <c r="M61" s="98"/>
    </row>
    <row r="62" spans="2:14" ht="19" x14ac:dyDescent="0.25">
      <c r="B62" s="64" t="s">
        <v>507</v>
      </c>
      <c r="H62" s="245">
        <f>H61/((1+WACC)^(1+5))</f>
        <v>46607044.333871752</v>
      </c>
      <c r="I62" s="98"/>
      <c r="J62" s="98"/>
      <c r="K62" s="98"/>
      <c r="L62" s="98"/>
      <c r="M62" s="98"/>
    </row>
    <row r="63" spans="2:14" ht="19" x14ac:dyDescent="0.25">
      <c r="B63" s="64"/>
    </row>
    <row r="64" spans="2:14" ht="19" x14ac:dyDescent="0.25">
      <c r="B64" s="56"/>
      <c r="C64" s="56"/>
      <c r="D64" s="56"/>
      <c r="E64" s="56"/>
      <c r="F64" s="56"/>
      <c r="G64" s="56"/>
      <c r="H64" s="56"/>
      <c r="I64" s="56"/>
    </row>
    <row r="65" spans="2:8" ht="19" x14ac:dyDescent="0.25">
      <c r="B65" s="64"/>
    </row>
    <row r="66" spans="2:8" ht="19" x14ac:dyDescent="0.25">
      <c r="B66" s="339"/>
      <c r="C66" s="336"/>
      <c r="D66" s="340"/>
      <c r="E66" s="340"/>
      <c r="F66" s="340"/>
      <c r="G66" s="340"/>
      <c r="H66" s="340"/>
    </row>
    <row r="67" spans="2:8" ht="19" x14ac:dyDescent="0.25">
      <c r="B67" s="341"/>
      <c r="C67" s="340"/>
    </row>
    <row r="68" spans="2:8" ht="19" x14ac:dyDescent="0.25">
      <c r="B68" s="341"/>
      <c r="C68" s="340"/>
    </row>
    <row r="69" spans="2:8" x14ac:dyDescent="0.2">
      <c r="C69" s="340"/>
    </row>
    <row r="70" spans="2:8" x14ac:dyDescent="0.2">
      <c r="C70" s="340"/>
    </row>
    <row r="71" spans="2:8" x14ac:dyDescent="0.2">
      <c r="C71" s="340"/>
    </row>
    <row r="72" spans="2:8" x14ac:dyDescent="0.2">
      <c r="C72" s="340"/>
    </row>
    <row r="73" spans="2:8" x14ac:dyDescent="0.2">
      <c r="C73" s="340"/>
    </row>
  </sheetData>
  <pageMargins left="0.7" right="0.7" top="0.75" bottom="0.75" header="0.3" footer="0.3"/>
  <drawing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CE088-4E4E-E14E-9B8E-E55B5BB61947}">
  <dimension ref="B2:L111"/>
  <sheetViews>
    <sheetView zoomScale="50" workbookViewId="0">
      <selection activeCell="C27" sqref="C27"/>
    </sheetView>
  </sheetViews>
  <sheetFormatPr baseColWidth="10" defaultRowHeight="16" x14ac:dyDescent="0.2"/>
  <cols>
    <col min="2" max="2" width="54.5" bestFit="1" customWidth="1"/>
    <col min="3" max="3" width="22.33203125" bestFit="1" customWidth="1"/>
    <col min="4" max="4" width="14.83203125" customWidth="1"/>
    <col min="5" max="5" width="15.33203125" customWidth="1"/>
    <col min="6" max="6" width="17.1640625" customWidth="1"/>
    <col min="8" max="8" width="47.5" bestFit="1" customWidth="1"/>
    <col min="9" max="9" width="23.5" bestFit="1" customWidth="1"/>
    <col min="12" max="12" width="0" hidden="1" customWidth="1"/>
  </cols>
  <sheetData>
    <row r="2" spans="2:6" ht="19" x14ac:dyDescent="0.25">
      <c r="B2" s="23" t="s">
        <v>509</v>
      </c>
      <c r="C2" s="23"/>
      <c r="F2" s="56"/>
    </row>
    <row r="3" spans="2:6" ht="19" x14ac:dyDescent="0.2">
      <c r="F3" s="169"/>
    </row>
    <row r="4" spans="2:6" ht="19" x14ac:dyDescent="0.25">
      <c r="B4" s="64" t="s">
        <v>510</v>
      </c>
      <c r="C4" s="155" t="s">
        <v>541</v>
      </c>
      <c r="D4" s="155"/>
      <c r="E4" s="155"/>
      <c r="F4" s="170"/>
    </row>
    <row r="5" spans="2:6" ht="19" x14ac:dyDescent="0.25">
      <c r="B5" s="64" t="s">
        <v>511</v>
      </c>
      <c r="C5" s="152" t="s">
        <v>542</v>
      </c>
      <c r="D5" s="64"/>
      <c r="E5" s="64"/>
      <c r="F5" s="169"/>
    </row>
    <row r="6" spans="2:6" ht="19" x14ac:dyDescent="0.25">
      <c r="B6" s="64" t="s">
        <v>512</v>
      </c>
      <c r="C6" s="153" t="s">
        <v>543</v>
      </c>
      <c r="D6" s="64"/>
      <c r="E6" s="154"/>
      <c r="F6" s="169"/>
    </row>
    <row r="7" spans="2:6" ht="19" x14ac:dyDescent="0.25">
      <c r="B7" s="64"/>
      <c r="C7" s="57"/>
      <c r="F7" s="170"/>
    </row>
    <row r="8" spans="2:6" ht="19" x14ac:dyDescent="0.25">
      <c r="B8" s="64" t="s">
        <v>513</v>
      </c>
      <c r="C8" s="57" t="s">
        <v>544</v>
      </c>
      <c r="F8" s="169"/>
    </row>
    <row r="9" spans="2:6" ht="19" x14ac:dyDescent="0.25">
      <c r="B9" s="64"/>
      <c r="C9" s="57"/>
      <c r="F9" s="169"/>
    </row>
    <row r="10" spans="2:6" ht="19" x14ac:dyDescent="0.25">
      <c r="B10" s="64" t="s">
        <v>514</v>
      </c>
      <c r="C10" s="216">
        <v>45291</v>
      </c>
      <c r="F10" s="170"/>
    </row>
    <row r="11" spans="2:6" ht="19" x14ac:dyDescent="0.25">
      <c r="B11" s="64" t="s">
        <v>515</v>
      </c>
      <c r="C11" s="157" t="s">
        <v>545</v>
      </c>
      <c r="F11" s="169"/>
    </row>
    <row r="12" spans="2:6" ht="19" x14ac:dyDescent="0.25">
      <c r="B12" s="64" t="s">
        <v>516</v>
      </c>
      <c r="C12" s="156" t="s">
        <v>546</v>
      </c>
      <c r="F12" s="170"/>
    </row>
    <row r="13" spans="2:6" ht="19" x14ac:dyDescent="0.25">
      <c r="B13" s="64" t="s">
        <v>517</v>
      </c>
      <c r="C13" s="57"/>
      <c r="F13" s="169"/>
    </row>
    <row r="14" spans="2:6" ht="19" x14ac:dyDescent="0.25">
      <c r="B14" s="64" t="s">
        <v>518</v>
      </c>
      <c r="C14" s="57" t="s">
        <v>547</v>
      </c>
    </row>
    <row r="15" spans="2:6" ht="19" x14ac:dyDescent="0.25">
      <c r="B15" s="64"/>
      <c r="C15" s="57"/>
    </row>
    <row r="16" spans="2:6" ht="19" x14ac:dyDescent="0.25">
      <c r="B16" s="64" t="s">
        <v>519</v>
      </c>
      <c r="C16" s="57" t="s">
        <v>548</v>
      </c>
    </row>
    <row r="17" spans="2:12" ht="19" x14ac:dyDescent="0.25">
      <c r="B17" s="64" t="s">
        <v>520</v>
      </c>
      <c r="C17" s="57" t="s">
        <v>549</v>
      </c>
    </row>
    <row r="18" spans="2:12" ht="19" x14ac:dyDescent="0.25">
      <c r="B18" s="64" t="s">
        <v>521</v>
      </c>
      <c r="C18" s="57" t="s">
        <v>550</v>
      </c>
    </row>
    <row r="19" spans="2:12" ht="19" x14ac:dyDescent="0.25">
      <c r="B19" s="64" t="s">
        <v>522</v>
      </c>
      <c r="C19" s="57" t="s">
        <v>551</v>
      </c>
    </row>
    <row r="20" spans="2:12" ht="19" x14ac:dyDescent="0.25">
      <c r="B20" s="64" t="s">
        <v>523</v>
      </c>
      <c r="C20" s="57" t="s">
        <v>552</v>
      </c>
    </row>
    <row r="21" spans="2:12" ht="19" x14ac:dyDescent="0.25">
      <c r="B21" s="64" t="s">
        <v>524</v>
      </c>
      <c r="C21" s="57" t="s">
        <v>764</v>
      </c>
    </row>
    <row r="22" spans="2:12" ht="19" x14ac:dyDescent="0.25">
      <c r="B22" s="64"/>
      <c r="C22" s="57"/>
    </row>
    <row r="23" spans="2:12" ht="19" x14ac:dyDescent="0.25">
      <c r="B23" s="64" t="s">
        <v>525</v>
      </c>
      <c r="C23" s="156">
        <v>5</v>
      </c>
    </row>
    <row r="24" spans="2:12" ht="19" x14ac:dyDescent="0.25">
      <c r="B24" s="64"/>
      <c r="C24" s="57"/>
    </row>
    <row r="25" spans="2:12" ht="19" x14ac:dyDescent="0.25">
      <c r="B25" s="64" t="s">
        <v>526</v>
      </c>
      <c r="C25" s="57" t="s">
        <v>489</v>
      </c>
    </row>
    <row r="26" spans="2:12" ht="19" x14ac:dyDescent="0.25">
      <c r="B26" s="64"/>
      <c r="C26" s="57"/>
    </row>
    <row r="27" spans="2:12" ht="19" x14ac:dyDescent="0.25">
      <c r="B27" s="141" t="s">
        <v>481</v>
      </c>
      <c r="C27" s="223">
        <f>'Fair Value Estimate'!H17</f>
        <v>89.724397675989053</v>
      </c>
    </row>
    <row r="28" spans="2:12" ht="19" x14ac:dyDescent="0.25">
      <c r="B28" s="64"/>
      <c r="C28" s="57"/>
      <c r="L28" t="s">
        <v>763</v>
      </c>
    </row>
    <row r="29" spans="2:12" ht="19" x14ac:dyDescent="0.25">
      <c r="B29" s="64" t="s">
        <v>527</v>
      </c>
      <c r="C29" s="158">
        <v>1</v>
      </c>
      <c r="L29" t="s">
        <v>764</v>
      </c>
    </row>
    <row r="30" spans="2:12" ht="19" x14ac:dyDescent="0.25">
      <c r="B30" s="64" t="s">
        <v>528</v>
      </c>
      <c r="C30" s="159">
        <f>C29*(Forecast!H95+Forecast!H96)</f>
        <v>16134839.974829763</v>
      </c>
    </row>
    <row r="31" spans="2:12" ht="19" x14ac:dyDescent="0.25">
      <c r="B31" s="64"/>
      <c r="C31" s="57"/>
    </row>
    <row r="32" spans="2:12" ht="19" x14ac:dyDescent="0.25">
      <c r="B32" s="141" t="s">
        <v>529</v>
      </c>
      <c r="C32" s="57"/>
    </row>
    <row r="33" spans="2:9" ht="19" x14ac:dyDescent="0.25">
      <c r="B33" s="64" t="s">
        <v>530</v>
      </c>
      <c r="C33" s="57"/>
    </row>
    <row r="34" spans="2:9" ht="19" x14ac:dyDescent="0.25">
      <c r="B34" s="64" t="s">
        <v>531</v>
      </c>
      <c r="C34" s="205">
        <f>I67</f>
        <v>5.6700000000000007E-2</v>
      </c>
    </row>
    <row r="35" spans="2:9" ht="19" x14ac:dyDescent="0.25">
      <c r="B35" s="64" t="s">
        <v>532</v>
      </c>
      <c r="C35" s="205">
        <f>I71</f>
        <v>0.12948400000000002</v>
      </c>
    </row>
    <row r="36" spans="2:9" ht="19" x14ac:dyDescent="0.25">
      <c r="B36" s="64" t="s">
        <v>533</v>
      </c>
      <c r="C36" s="205">
        <f>I80</f>
        <v>3.2500000000000001E-2</v>
      </c>
    </row>
    <row r="37" spans="2:9" ht="19" x14ac:dyDescent="0.25">
      <c r="B37" s="64" t="s">
        <v>534</v>
      </c>
      <c r="C37" s="57"/>
    </row>
    <row r="38" spans="2:9" ht="19" x14ac:dyDescent="0.25">
      <c r="B38" s="64" t="s">
        <v>535</v>
      </c>
      <c r="C38" s="57"/>
    </row>
    <row r="39" spans="2:9" ht="19" x14ac:dyDescent="0.25">
      <c r="B39" s="64" t="s">
        <v>536</v>
      </c>
      <c r="C39" s="203">
        <f>I78/I79</f>
        <v>0.83651294480395766</v>
      </c>
    </row>
    <row r="40" spans="2:9" ht="19" x14ac:dyDescent="0.25">
      <c r="B40" s="64" t="s">
        <v>537</v>
      </c>
      <c r="C40" s="203">
        <f>I77/I79</f>
        <v>0.16348705519604229</v>
      </c>
    </row>
    <row r="41" spans="2:9" ht="19" x14ac:dyDescent="0.25">
      <c r="B41" s="64" t="s">
        <v>538</v>
      </c>
      <c r="C41" s="204">
        <f>SUM(C39:C40)</f>
        <v>1</v>
      </c>
    </row>
    <row r="42" spans="2:9" ht="19" x14ac:dyDescent="0.25">
      <c r="B42" s="64"/>
      <c r="C42" s="57"/>
    </row>
    <row r="43" spans="2:9" ht="19" x14ac:dyDescent="0.25">
      <c r="B43" s="64" t="s">
        <v>539</v>
      </c>
      <c r="C43" s="202">
        <f>Assumptions!F19</f>
        <v>0.21</v>
      </c>
    </row>
    <row r="44" spans="2:9" ht="19" x14ac:dyDescent="0.25">
      <c r="B44" s="64"/>
      <c r="C44" s="57"/>
    </row>
    <row r="45" spans="2:9" ht="19" x14ac:dyDescent="0.25">
      <c r="B45" s="141" t="s">
        <v>540</v>
      </c>
      <c r="C45" s="201">
        <f>I82</f>
        <v>0.11251257228715404</v>
      </c>
    </row>
    <row r="46" spans="2:9" ht="19" x14ac:dyDescent="0.25">
      <c r="B46" s="141" t="s">
        <v>589</v>
      </c>
      <c r="C46" s="201">
        <f>I83</f>
        <v>4.3516488832089008E-2</v>
      </c>
    </row>
    <row r="48" spans="2:9" ht="19" customHeight="1" x14ac:dyDescent="0.2">
      <c r="B48" s="211" t="s">
        <v>553</v>
      </c>
      <c r="C48" s="209" t="s">
        <v>558</v>
      </c>
      <c r="D48" s="210"/>
      <c r="E48" s="207" t="s">
        <v>557</v>
      </c>
      <c r="F48" s="167"/>
      <c r="H48" s="365" t="s">
        <v>560</v>
      </c>
      <c r="I48" s="366">
        <v>2024</v>
      </c>
    </row>
    <row r="49" spans="2:9" ht="19" customHeight="1" x14ac:dyDescent="0.2">
      <c r="B49" s="212" t="s">
        <v>554</v>
      </c>
      <c r="C49" s="208" t="s">
        <v>555</v>
      </c>
      <c r="D49" s="206" t="s">
        <v>556</v>
      </c>
      <c r="E49" s="208" t="s">
        <v>555</v>
      </c>
      <c r="F49" s="206" t="s">
        <v>556</v>
      </c>
      <c r="H49" s="365"/>
      <c r="I49" s="366"/>
    </row>
    <row r="50" spans="2:9" ht="19" x14ac:dyDescent="0.25">
      <c r="B50" s="165">
        <v>43525</v>
      </c>
      <c r="C50" s="160">
        <v>260.32403599999998</v>
      </c>
      <c r="D50" s="161"/>
      <c r="E50" s="160">
        <v>103.839996</v>
      </c>
      <c r="F50" s="168"/>
      <c r="H50" s="171"/>
      <c r="I50" s="172"/>
    </row>
    <row r="51" spans="2:9" ht="19" x14ac:dyDescent="0.25">
      <c r="B51" s="165">
        <v>43556</v>
      </c>
      <c r="C51" s="160">
        <v>272.15237400000001</v>
      </c>
      <c r="D51" s="161">
        <f>C51/C50-1</f>
        <v>4.5436979933731525E-2</v>
      </c>
      <c r="E51" s="160">
        <v>112.769997</v>
      </c>
      <c r="F51" s="161">
        <f>E51/E50-1</f>
        <v>8.5997701694826789E-2</v>
      </c>
      <c r="H51" s="173" t="s">
        <v>561</v>
      </c>
      <c r="I51" s="174">
        <f>Forecast!H5</f>
        <v>32208461.407079004</v>
      </c>
    </row>
    <row r="52" spans="2:9" ht="22" x14ac:dyDescent="0.4">
      <c r="B52" s="165">
        <v>43586</v>
      </c>
      <c r="C52" s="160">
        <v>254.79695100000001</v>
      </c>
      <c r="D52" s="161">
        <f t="shared" ref="D52:D110" si="0">C52/C51-1</f>
        <v>-6.3770977797900863E-2</v>
      </c>
      <c r="E52" s="160">
        <v>109.75</v>
      </c>
      <c r="F52" s="161">
        <f t="shared" ref="F52:F110" si="1">E52/E51-1</f>
        <v>-2.6780146141176187E-2</v>
      </c>
      <c r="H52" s="175" t="s">
        <v>562</v>
      </c>
      <c r="I52" s="176">
        <f>Forecast!H8</f>
        <v>17382464.459626429</v>
      </c>
    </row>
    <row r="53" spans="2:9" ht="19" x14ac:dyDescent="0.25">
      <c r="B53" s="165">
        <v>43617</v>
      </c>
      <c r="C53" s="160">
        <v>271.208282</v>
      </c>
      <c r="D53" s="161">
        <f t="shared" si="0"/>
        <v>6.440944813346694E-2</v>
      </c>
      <c r="E53" s="160">
        <v>114.459999</v>
      </c>
      <c r="F53" s="161">
        <f t="shared" si="1"/>
        <v>4.291570842824588E-2</v>
      </c>
      <c r="H53" s="177" t="s">
        <v>568</v>
      </c>
      <c r="I53" s="178">
        <f>Forecast!H9</f>
        <v>14825996.947452575</v>
      </c>
    </row>
    <row r="54" spans="2:9" ht="19" x14ac:dyDescent="0.25">
      <c r="B54" s="165">
        <v>43647</v>
      </c>
      <c r="C54" s="160">
        <v>276.64779700000003</v>
      </c>
      <c r="D54" s="161">
        <f t="shared" si="0"/>
        <v>2.0056596206748711E-2</v>
      </c>
      <c r="E54" s="160">
        <v>110.400002</v>
      </c>
      <c r="F54" s="161">
        <f t="shared" si="1"/>
        <v>-3.5470880966895657E-2</v>
      </c>
      <c r="H54" s="173" t="s">
        <v>563</v>
      </c>
      <c r="I54" s="174">
        <f>Forecast!H15</f>
        <v>3216410.4586089109</v>
      </c>
    </row>
    <row r="55" spans="2:9" ht="19" x14ac:dyDescent="0.25">
      <c r="B55" s="165">
        <v>43678</v>
      </c>
      <c r="C55" s="160">
        <v>272.01586900000001</v>
      </c>
      <c r="D55" s="161">
        <f t="shared" si="0"/>
        <v>-1.6743050370287338E-2</v>
      </c>
      <c r="E55" s="160">
        <v>109.050003</v>
      </c>
      <c r="F55" s="161">
        <f t="shared" si="1"/>
        <v>-1.2228251590067907E-2</v>
      </c>
      <c r="H55" s="173" t="s">
        <v>564</v>
      </c>
      <c r="I55" s="174">
        <f>Forecast!H14</f>
        <v>4184687.404607893</v>
      </c>
    </row>
    <row r="56" spans="2:9" ht="22" x14ac:dyDescent="0.4">
      <c r="B56" s="165">
        <v>43709</v>
      </c>
      <c r="C56" s="160">
        <v>276.03381300000001</v>
      </c>
      <c r="D56" s="161">
        <f t="shared" si="0"/>
        <v>1.4770991173312709E-2</v>
      </c>
      <c r="E56" s="160">
        <v>103.589996</v>
      </c>
      <c r="F56" s="161">
        <f t="shared" si="1"/>
        <v>-5.0068838604250265E-2</v>
      </c>
      <c r="H56" s="175" t="s">
        <v>572</v>
      </c>
      <c r="I56" s="176">
        <f>Forecast!H21</f>
        <v>2076115.5970637402</v>
      </c>
    </row>
    <row r="57" spans="2:9" ht="19" x14ac:dyDescent="0.25">
      <c r="B57" s="165">
        <v>43739</v>
      </c>
      <c r="C57" s="160">
        <v>283.43847699999998</v>
      </c>
      <c r="D57" s="161">
        <f t="shared" si="0"/>
        <v>2.6825206374263999E-2</v>
      </c>
      <c r="E57" s="160">
        <v>104.099998</v>
      </c>
      <c r="F57" s="161">
        <f t="shared" si="1"/>
        <v>4.923274637446573E-3</v>
      </c>
      <c r="H57" s="177" t="s">
        <v>569</v>
      </c>
      <c r="I57" s="178">
        <f>Forecast!H23</f>
        <v>5348783.4871720318</v>
      </c>
    </row>
    <row r="58" spans="2:9" ht="19" x14ac:dyDescent="0.25">
      <c r="B58" s="165">
        <v>43770</v>
      </c>
      <c r="C58" s="160">
        <v>293.698395</v>
      </c>
      <c r="D58" s="161">
        <f t="shared" si="0"/>
        <v>3.61980423709376E-2</v>
      </c>
      <c r="E58" s="160">
        <v>108.010002</v>
      </c>
      <c r="F58" s="161">
        <f t="shared" si="1"/>
        <v>3.7560077570798711E-2</v>
      </c>
      <c r="H58" s="173" t="s">
        <v>565</v>
      </c>
      <c r="I58" s="174">
        <f>Forecast!H37+Forecast!H33</f>
        <v>270468.42067010677</v>
      </c>
    </row>
    <row r="59" spans="2:9" ht="22" x14ac:dyDescent="0.4">
      <c r="B59" s="165">
        <v>43800</v>
      </c>
      <c r="C59" s="160">
        <v>300.75341800000001</v>
      </c>
      <c r="D59" s="161">
        <f t="shared" si="0"/>
        <v>2.4021319558113374E-2</v>
      </c>
      <c r="E59" s="160">
        <v>108.16999800000001</v>
      </c>
      <c r="F59" s="161">
        <f t="shared" si="1"/>
        <v>1.481307258933251E-3</v>
      </c>
      <c r="H59" s="175" t="s">
        <v>566</v>
      </c>
      <c r="I59" s="176">
        <f>-(Forecast!H36+Forecast!H30)</f>
        <v>-337384.89478945098</v>
      </c>
    </row>
    <row r="60" spans="2:9" ht="19" x14ac:dyDescent="0.25">
      <c r="B60" s="165">
        <v>43831</v>
      </c>
      <c r="C60" s="160">
        <v>302.10995500000001</v>
      </c>
      <c r="D60" s="161">
        <f t="shared" si="0"/>
        <v>4.5104624546610239E-3</v>
      </c>
      <c r="E60" s="160">
        <v>113.889999</v>
      </c>
      <c r="F60" s="161">
        <f t="shared" si="1"/>
        <v>5.2879736579083625E-2</v>
      </c>
      <c r="H60" s="177" t="s">
        <v>570</v>
      </c>
      <c r="I60" s="178">
        <f>I57+I58+I59</f>
        <v>5281867.013052688</v>
      </c>
    </row>
    <row r="61" spans="2:9" ht="22" x14ac:dyDescent="0.4">
      <c r="B61" s="165">
        <v>43862</v>
      </c>
      <c r="C61" s="160">
        <v>278.19317599999999</v>
      </c>
      <c r="D61" s="161">
        <f t="shared" si="0"/>
        <v>-7.9165809018110656E-2</v>
      </c>
      <c r="E61" s="160">
        <v>107.989998</v>
      </c>
      <c r="F61" s="161">
        <f t="shared" si="1"/>
        <v>-5.1804381875532379E-2</v>
      </c>
      <c r="H61" s="175" t="s">
        <v>567</v>
      </c>
      <c r="I61" s="176">
        <f>-Forecast!H40</f>
        <v>-1123244.5323061266</v>
      </c>
    </row>
    <row r="62" spans="2:9" ht="19" x14ac:dyDescent="0.25">
      <c r="B62" s="165">
        <v>43891</v>
      </c>
      <c r="C62" s="160">
        <v>242.03160099999999</v>
      </c>
      <c r="D62" s="161">
        <f t="shared" si="0"/>
        <v>-0.12998728264995252</v>
      </c>
      <c r="E62" s="160">
        <v>95.739998</v>
      </c>
      <c r="F62" s="161">
        <f t="shared" si="1"/>
        <v>-0.11343643139987836</v>
      </c>
      <c r="H62" s="179" t="s">
        <v>571</v>
      </c>
      <c r="I62" s="180">
        <f>I60+I61</f>
        <v>4158622.4807465617</v>
      </c>
    </row>
    <row r="63" spans="2:9" ht="19" x14ac:dyDescent="0.25">
      <c r="B63" s="165">
        <v>43922</v>
      </c>
      <c r="C63" s="160">
        <v>274.36965900000001</v>
      </c>
      <c r="D63" s="161">
        <f t="shared" si="0"/>
        <v>0.13361089157940165</v>
      </c>
      <c r="E63" s="160">
        <v>123</v>
      </c>
      <c r="F63" s="161">
        <f t="shared" si="1"/>
        <v>0.28472950250113849</v>
      </c>
      <c r="H63" s="61"/>
      <c r="I63" s="61"/>
    </row>
    <row r="64" spans="2:9" ht="19" x14ac:dyDescent="0.25">
      <c r="B64" s="165">
        <v>43952</v>
      </c>
      <c r="C64" s="160">
        <v>287.44201700000002</v>
      </c>
      <c r="D64" s="161">
        <f t="shared" si="0"/>
        <v>4.764505684646414E-2</v>
      </c>
      <c r="E64" s="160">
        <v>155.009995</v>
      </c>
      <c r="F64" s="161">
        <f t="shared" si="1"/>
        <v>0.26024386178861802</v>
      </c>
      <c r="H64" s="61"/>
      <c r="I64" s="61"/>
    </row>
    <row r="65" spans="2:11" ht="19" x14ac:dyDescent="0.25">
      <c r="B65" s="165">
        <v>43983</v>
      </c>
      <c r="C65" s="160">
        <v>291.25793499999997</v>
      </c>
      <c r="D65" s="161">
        <f t="shared" si="0"/>
        <v>1.3275435650731415E-2</v>
      </c>
      <c r="E65" s="160">
        <v>174.229996</v>
      </c>
      <c r="F65" s="161">
        <f t="shared" si="1"/>
        <v>0.1239920109667767</v>
      </c>
      <c r="H65" s="181" t="s">
        <v>772</v>
      </c>
      <c r="I65" s="184">
        <v>4.3299999999999998E-2</v>
      </c>
    </row>
    <row r="66" spans="2:11" ht="19" x14ac:dyDescent="0.25">
      <c r="B66" s="165">
        <v>44013</v>
      </c>
      <c r="C66" s="160">
        <v>309.76791400000002</v>
      </c>
      <c r="D66" s="161">
        <f t="shared" si="0"/>
        <v>6.3551844518845657E-2</v>
      </c>
      <c r="E66" s="160">
        <v>196.070007</v>
      </c>
      <c r="F66" s="161">
        <f t="shared" si="1"/>
        <v>0.12535161281872509</v>
      </c>
      <c r="H66" s="182" t="s">
        <v>573</v>
      </c>
      <c r="I66" s="185">
        <v>0.1</v>
      </c>
      <c r="K66" s="336"/>
    </row>
    <row r="67" spans="2:11" ht="19" x14ac:dyDescent="0.25">
      <c r="B67" s="165">
        <v>44044</v>
      </c>
      <c r="C67" s="160">
        <v>331.38867199999999</v>
      </c>
      <c r="D67" s="161">
        <f t="shared" si="0"/>
        <v>6.9796634909062849E-2</v>
      </c>
      <c r="E67" s="160">
        <v>204.13999899999999</v>
      </c>
      <c r="F67" s="161">
        <f t="shared" si="1"/>
        <v>4.1158727555918206E-2</v>
      </c>
      <c r="H67" s="182" t="s">
        <v>574</v>
      </c>
      <c r="I67" s="185">
        <f>I66-I65</f>
        <v>5.6700000000000007E-2</v>
      </c>
    </row>
    <row r="68" spans="2:11" ht="19" x14ac:dyDescent="0.25">
      <c r="B68" s="165">
        <v>44075</v>
      </c>
      <c r="C68" s="160">
        <v>317.70855699999998</v>
      </c>
      <c r="D68" s="161">
        <f t="shared" si="0"/>
        <v>-4.128117873624837E-2</v>
      </c>
      <c r="E68" s="160">
        <v>197.029999</v>
      </c>
      <c r="F68" s="161">
        <f t="shared" si="1"/>
        <v>-3.4829039065489509E-2</v>
      </c>
      <c r="H68" s="182" t="s">
        <v>578</v>
      </c>
      <c r="I68" s="187">
        <v>1.52</v>
      </c>
    </row>
    <row r="69" spans="2:11" ht="19" x14ac:dyDescent="0.25">
      <c r="B69" s="165">
        <v>44105</v>
      </c>
      <c r="C69" s="160">
        <v>311.02697799999999</v>
      </c>
      <c r="D69" s="161">
        <f t="shared" si="0"/>
        <v>-2.1030528932212578E-2</v>
      </c>
      <c r="E69" s="160">
        <v>186.13000500000001</v>
      </c>
      <c r="F69" s="161">
        <f t="shared" si="1"/>
        <v>-5.5321494469479204E-2</v>
      </c>
      <c r="H69" s="182" t="s">
        <v>575</v>
      </c>
      <c r="I69" s="200">
        <f>I68/(1+(1-I76)*I77/I78)</f>
        <v>1.3167051687273092</v>
      </c>
    </row>
    <row r="70" spans="2:11" ht="19" x14ac:dyDescent="0.25">
      <c r="B70" s="165">
        <v>44136</v>
      </c>
      <c r="C70" s="160">
        <v>344.85949699999998</v>
      </c>
      <c r="D70" s="161">
        <f t="shared" si="0"/>
        <v>0.10877679877659996</v>
      </c>
      <c r="E70" s="160">
        <v>214.11999499999999</v>
      </c>
      <c r="F70" s="161">
        <f t="shared" si="1"/>
        <v>0.15037870976256618</v>
      </c>
      <c r="H70" s="182" t="s">
        <v>576</v>
      </c>
      <c r="I70" s="185">
        <f>I67*I68</f>
        <v>8.6184000000000011E-2</v>
      </c>
      <c r="K70" s="113"/>
    </row>
    <row r="71" spans="2:11" ht="19" x14ac:dyDescent="0.25">
      <c r="B71" s="165">
        <v>44166</v>
      </c>
      <c r="C71" s="160">
        <v>356.11798099999999</v>
      </c>
      <c r="D71" s="161">
        <f t="shared" si="0"/>
        <v>3.2646582442820149E-2</v>
      </c>
      <c r="E71" s="160">
        <v>234.199997</v>
      </c>
      <c r="F71" s="161">
        <f t="shared" si="1"/>
        <v>9.3779200770110371E-2</v>
      </c>
      <c r="H71" s="183" t="s">
        <v>577</v>
      </c>
      <c r="I71" s="186">
        <f>I65+I67*I68</f>
        <v>0.12948400000000002</v>
      </c>
    </row>
    <row r="72" spans="2:11" ht="19" x14ac:dyDescent="0.25">
      <c r="B72" s="165">
        <v>44197</v>
      </c>
      <c r="C72" s="160">
        <v>353.99151599999999</v>
      </c>
      <c r="D72" s="161">
        <f t="shared" si="0"/>
        <v>-5.9712373804567953E-3</v>
      </c>
      <c r="E72" s="160">
        <v>234.30999800000001</v>
      </c>
      <c r="F72" s="161">
        <f t="shared" si="1"/>
        <v>4.6968830661442418E-4</v>
      </c>
      <c r="H72" s="61"/>
      <c r="I72" s="61"/>
    </row>
    <row r="73" spans="2:11" ht="19" x14ac:dyDescent="0.25">
      <c r="B73" s="165">
        <v>44228</v>
      </c>
      <c r="C73" s="160">
        <v>363.834473</v>
      </c>
      <c r="D73" s="161">
        <f t="shared" si="0"/>
        <v>2.7805629669384491E-2</v>
      </c>
      <c r="E73" s="160">
        <v>259.85000600000001</v>
      </c>
      <c r="F73" s="161">
        <f t="shared" si="1"/>
        <v>0.10900093132176125</v>
      </c>
      <c r="H73" s="188" t="s">
        <v>579</v>
      </c>
      <c r="I73" s="192">
        <v>59.16</v>
      </c>
    </row>
    <row r="74" spans="2:11" ht="19" x14ac:dyDescent="0.25">
      <c r="B74" s="165">
        <v>44256</v>
      </c>
      <c r="C74" s="160">
        <v>379.11056500000001</v>
      </c>
      <c r="D74" s="161">
        <f t="shared" si="0"/>
        <v>4.1986378789345746E-2</v>
      </c>
      <c r="E74" s="160">
        <v>242.83999600000001</v>
      </c>
      <c r="F74" s="161">
        <f t="shared" si="1"/>
        <v>-6.5460879766152447E-2</v>
      </c>
      <c r="H74" s="189" t="s">
        <v>587</v>
      </c>
      <c r="I74" s="193">
        <v>1094000</v>
      </c>
    </row>
    <row r="75" spans="2:11" ht="19" x14ac:dyDescent="0.25">
      <c r="B75" s="165">
        <v>44287</v>
      </c>
      <c r="C75" s="160">
        <v>400.47689800000001</v>
      </c>
      <c r="D75" s="161">
        <f t="shared" si="0"/>
        <v>5.6359107269933206E-2</v>
      </c>
      <c r="E75" s="160">
        <v>262.290009</v>
      </c>
      <c r="F75" s="161">
        <f t="shared" si="1"/>
        <v>8.0093943832876713E-2</v>
      </c>
      <c r="H75" s="189" t="s">
        <v>580</v>
      </c>
      <c r="I75" s="195">
        <v>3.2500000000000001E-2</v>
      </c>
    </row>
    <row r="76" spans="2:11" ht="19" x14ac:dyDescent="0.25">
      <c r="B76" s="165">
        <v>44317</v>
      </c>
      <c r="C76" s="160">
        <v>403.10644500000001</v>
      </c>
      <c r="D76" s="161">
        <f t="shared" si="0"/>
        <v>6.5660391726265477E-3</v>
      </c>
      <c r="E76" s="160">
        <v>260.01998900000001</v>
      </c>
      <c r="F76" s="161">
        <f t="shared" si="1"/>
        <v>-8.6546186362744804E-3</v>
      </c>
      <c r="H76" s="190" t="s">
        <v>581</v>
      </c>
      <c r="I76" s="194">
        <v>0.21</v>
      </c>
    </row>
    <row r="77" spans="2:11" ht="19" x14ac:dyDescent="0.25">
      <c r="B77" s="165">
        <v>44348</v>
      </c>
      <c r="C77" s="160">
        <v>410.80313100000001</v>
      </c>
      <c r="D77" s="161">
        <f t="shared" si="0"/>
        <v>1.9093433249374181E-2</v>
      </c>
      <c r="E77" s="160">
        <v>291.48001099999999</v>
      </c>
      <c r="F77" s="161">
        <f t="shared" si="1"/>
        <v>0.12099078275093689</v>
      </c>
      <c r="H77" s="189" t="s">
        <v>586</v>
      </c>
      <c r="I77" s="198">
        <f>'Balance Sheet'!G97</f>
        <v>12649000</v>
      </c>
    </row>
    <row r="78" spans="2:11" ht="19" x14ac:dyDescent="0.25">
      <c r="B78" s="165">
        <v>44378</v>
      </c>
      <c r="C78" s="160">
        <v>422.20864899999998</v>
      </c>
      <c r="D78" s="161">
        <f t="shared" si="0"/>
        <v>2.7763951000655762E-2</v>
      </c>
      <c r="E78" s="160">
        <v>275.52999899999998</v>
      </c>
      <c r="F78" s="161">
        <f t="shared" si="1"/>
        <v>-5.4720774660599325E-2</v>
      </c>
      <c r="H78" s="189" t="s">
        <v>585</v>
      </c>
      <c r="I78" s="197">
        <f>I73*I74</f>
        <v>64721039.999999993</v>
      </c>
    </row>
    <row r="79" spans="2:11" ht="19" x14ac:dyDescent="0.25">
      <c r="B79" s="165">
        <v>44409</v>
      </c>
      <c r="C79" s="160">
        <v>434.773438</v>
      </c>
      <c r="D79" s="161">
        <f t="shared" si="0"/>
        <v>2.975966747663672E-2</v>
      </c>
      <c r="E79" s="160">
        <v>288.66000400000001</v>
      </c>
      <c r="F79" s="161">
        <f t="shared" si="1"/>
        <v>4.7653631356489923E-2</v>
      </c>
      <c r="H79" s="190" t="s">
        <v>588</v>
      </c>
      <c r="I79" s="197">
        <f>I77+I78</f>
        <v>77370040</v>
      </c>
    </row>
    <row r="80" spans="2:11" ht="19" x14ac:dyDescent="0.25">
      <c r="B80" s="165">
        <v>44440</v>
      </c>
      <c r="C80" s="160">
        <v>413.18695100000002</v>
      </c>
      <c r="D80" s="161">
        <f t="shared" si="0"/>
        <v>-4.9649967346901192E-2</v>
      </c>
      <c r="E80" s="160">
        <v>260.209991</v>
      </c>
      <c r="F80" s="161">
        <f t="shared" si="1"/>
        <v>-9.8558901842182522E-2</v>
      </c>
      <c r="H80" s="189" t="s">
        <v>582</v>
      </c>
      <c r="I80" s="196">
        <f>I75</f>
        <v>3.2500000000000001E-2</v>
      </c>
    </row>
    <row r="81" spans="2:9" ht="19" x14ac:dyDescent="0.25">
      <c r="B81" s="165">
        <v>44470</v>
      </c>
      <c r="C81" s="160">
        <v>443.594269</v>
      </c>
      <c r="D81" s="161">
        <f t="shared" si="0"/>
        <v>7.3592154656403785E-2</v>
      </c>
      <c r="E81" s="160">
        <v>232.58999600000001</v>
      </c>
      <c r="F81" s="161">
        <f t="shared" si="1"/>
        <v>-0.10614502115716218</v>
      </c>
      <c r="H81" s="190" t="s">
        <v>583</v>
      </c>
      <c r="I81" s="196">
        <f>I71</f>
        <v>0.12948400000000002</v>
      </c>
    </row>
    <row r="82" spans="2:9" ht="19" x14ac:dyDescent="0.25">
      <c r="B82" s="165">
        <v>44501</v>
      </c>
      <c r="C82" s="160">
        <v>440.02999899999998</v>
      </c>
      <c r="D82" s="161">
        <f t="shared" si="0"/>
        <v>-8.0349775664031453E-3</v>
      </c>
      <c r="E82" s="160">
        <v>184.88999899999999</v>
      </c>
      <c r="F82" s="161">
        <f t="shared" si="1"/>
        <v>-0.20508189440787483</v>
      </c>
      <c r="H82" s="191" t="s">
        <v>584</v>
      </c>
      <c r="I82" s="217">
        <f>(I80*(1-I76)*(I77/I79)+I81*I78/I79)</f>
        <v>0.11251257228715404</v>
      </c>
    </row>
    <row r="83" spans="2:9" ht="19" x14ac:dyDescent="0.25">
      <c r="B83" s="165">
        <v>44531</v>
      </c>
      <c r="C83" s="160">
        <v>458.76861600000001</v>
      </c>
      <c r="D83" s="161">
        <f t="shared" si="0"/>
        <v>4.2584862492522912E-2</v>
      </c>
      <c r="E83" s="160">
        <v>188.58000200000001</v>
      </c>
      <c r="F83" s="161">
        <f t="shared" si="1"/>
        <v>1.9957829087337675E-2</v>
      </c>
      <c r="H83" s="191" t="s">
        <v>590</v>
      </c>
      <c r="I83" s="199">
        <f>(I79*I82-'Fair Value Estimate'!H54)/(I79+'Fair Value Estimate'!H54)</f>
        <v>4.3516488832089008E-2</v>
      </c>
    </row>
    <row r="84" spans="2:9" ht="19" x14ac:dyDescent="0.25">
      <c r="B84" s="165">
        <v>44562</v>
      </c>
      <c r="C84" s="160">
        <v>436.09939600000001</v>
      </c>
      <c r="D84" s="161">
        <f t="shared" si="0"/>
        <v>-4.9413188281388409E-2</v>
      </c>
      <c r="E84" s="160">
        <v>171.94000199999999</v>
      </c>
      <c r="F84" s="161">
        <f t="shared" si="1"/>
        <v>-8.8238412469631933E-2</v>
      </c>
    </row>
    <row r="85" spans="2:9" ht="19" x14ac:dyDescent="0.25">
      <c r="B85" s="165">
        <v>44593</v>
      </c>
      <c r="C85" s="160">
        <v>423.22701999999998</v>
      </c>
      <c r="D85" s="161">
        <f t="shared" si="0"/>
        <v>-2.9517069085782555E-2</v>
      </c>
      <c r="E85" s="160">
        <v>111.93</v>
      </c>
      <c r="F85" s="161">
        <f t="shared" si="1"/>
        <v>-0.349017106560229</v>
      </c>
    </row>
    <row r="86" spans="2:9" ht="19" x14ac:dyDescent="0.25">
      <c r="B86" s="165">
        <v>44621</v>
      </c>
      <c r="C86" s="160">
        <v>437.776276</v>
      </c>
      <c r="D86" s="161">
        <f t="shared" si="0"/>
        <v>3.4376954477055799E-2</v>
      </c>
      <c r="E86" s="160">
        <v>115.650002</v>
      </c>
      <c r="F86" s="161">
        <f t="shared" si="1"/>
        <v>3.3235075493611932E-2</v>
      </c>
    </row>
    <row r="87" spans="2:9" ht="19" x14ac:dyDescent="0.25">
      <c r="B87" s="165">
        <v>44652</v>
      </c>
      <c r="C87" s="160">
        <v>400.59371900000002</v>
      </c>
      <c r="D87" s="161">
        <f t="shared" si="0"/>
        <v>-8.493506623917646E-2</v>
      </c>
      <c r="E87" s="160">
        <v>87.93</v>
      </c>
      <c r="F87" s="161">
        <f t="shared" si="1"/>
        <v>-0.23968872910179451</v>
      </c>
    </row>
    <row r="88" spans="2:9" ht="19" x14ac:dyDescent="0.25">
      <c r="B88" s="165">
        <v>44682</v>
      </c>
      <c r="C88" s="160">
        <v>401.49795499999999</v>
      </c>
      <c r="D88" s="161">
        <f t="shared" si="0"/>
        <v>2.2572395849271842E-3</v>
      </c>
      <c r="E88" s="160">
        <v>85.209998999999996</v>
      </c>
      <c r="F88" s="161">
        <f t="shared" si="1"/>
        <v>-3.0933708631866397E-2</v>
      </c>
    </row>
    <row r="89" spans="2:9" ht="19" x14ac:dyDescent="0.25">
      <c r="B89" s="165">
        <v>44713</v>
      </c>
      <c r="C89" s="160">
        <v>366.80575599999997</v>
      </c>
      <c r="D89" s="161">
        <f t="shared" si="0"/>
        <v>-8.6406913330355661E-2</v>
      </c>
      <c r="E89" s="160">
        <v>69.839995999999999</v>
      </c>
      <c r="F89" s="161">
        <f t="shared" si="1"/>
        <v>-0.18037792724302226</v>
      </c>
    </row>
    <row r="90" spans="2:9" ht="19" x14ac:dyDescent="0.25">
      <c r="B90" s="165">
        <v>44743</v>
      </c>
      <c r="C90" s="160">
        <v>402.31442299999998</v>
      </c>
      <c r="D90" s="161">
        <f t="shared" si="0"/>
        <v>9.6805097573223531E-2</v>
      </c>
      <c r="E90" s="160">
        <v>86.529999000000004</v>
      </c>
      <c r="F90" s="161">
        <f t="shared" si="1"/>
        <v>0.23897485618412695</v>
      </c>
    </row>
    <row r="91" spans="2:9" ht="19" x14ac:dyDescent="0.25">
      <c r="B91" s="165">
        <v>44774</v>
      </c>
      <c r="C91" s="160">
        <v>385.89917000000003</v>
      </c>
      <c r="D91" s="161">
        <f t="shared" si="0"/>
        <v>-4.0802049495501036E-2</v>
      </c>
      <c r="E91" s="160">
        <v>93.440002000000007</v>
      </c>
      <c r="F91" s="161">
        <f t="shared" si="1"/>
        <v>7.9856732692207721E-2</v>
      </c>
    </row>
    <row r="92" spans="2:9" ht="19" x14ac:dyDescent="0.25">
      <c r="B92" s="165">
        <v>44805</v>
      </c>
      <c r="C92" s="160">
        <v>348.79159499999997</v>
      </c>
      <c r="D92" s="161">
        <f t="shared" si="0"/>
        <v>-9.6158732344513886E-2</v>
      </c>
      <c r="E92" s="160">
        <v>86.07</v>
      </c>
      <c r="F92" s="161">
        <f t="shared" si="1"/>
        <v>-7.8874163551494902E-2</v>
      </c>
    </row>
    <row r="93" spans="2:9" ht="19" x14ac:dyDescent="0.25">
      <c r="B93" s="165">
        <v>44835</v>
      </c>
      <c r="C93" s="160">
        <v>378.68905599999999</v>
      </c>
      <c r="D93" s="161">
        <f t="shared" si="0"/>
        <v>8.5717263341738459E-2</v>
      </c>
      <c r="E93" s="160">
        <v>83.580001999999993</v>
      </c>
      <c r="F93" s="161">
        <f t="shared" si="1"/>
        <v>-2.892991750900431E-2</v>
      </c>
    </row>
    <row r="94" spans="2:9" ht="19" x14ac:dyDescent="0.25">
      <c r="B94" s="165">
        <v>44866</v>
      </c>
      <c r="C94" s="160">
        <v>399.74096700000001</v>
      </c>
      <c r="D94" s="161">
        <f t="shared" si="0"/>
        <v>5.559154843915004E-2</v>
      </c>
      <c r="E94" s="160">
        <v>78.410004000000001</v>
      </c>
      <c r="F94" s="161">
        <f t="shared" si="1"/>
        <v>-6.1856878156092754E-2</v>
      </c>
    </row>
    <row r="95" spans="2:9" ht="19" x14ac:dyDescent="0.25">
      <c r="B95" s="165">
        <v>44896</v>
      </c>
      <c r="C95" s="160">
        <v>374.98269699999997</v>
      </c>
      <c r="D95" s="161">
        <f t="shared" si="0"/>
        <v>-6.1935783529537658E-2</v>
      </c>
      <c r="E95" s="160">
        <v>71.220000999999996</v>
      </c>
      <c r="F95" s="161">
        <f t="shared" si="1"/>
        <v>-9.1697521147939276E-2</v>
      </c>
    </row>
    <row r="96" spans="2:9" ht="19" x14ac:dyDescent="0.25">
      <c r="B96" s="165">
        <v>44927</v>
      </c>
      <c r="C96" s="160">
        <v>400.39456200000001</v>
      </c>
      <c r="D96" s="161">
        <f t="shared" si="0"/>
        <v>6.7768100243836171E-2</v>
      </c>
      <c r="E96" s="160">
        <v>81.489998</v>
      </c>
      <c r="F96" s="161">
        <f t="shared" si="1"/>
        <v>0.1442010229682531</v>
      </c>
    </row>
    <row r="97" spans="2:6" ht="19" x14ac:dyDescent="0.25">
      <c r="B97" s="165">
        <v>44958</v>
      </c>
      <c r="C97" s="160">
        <v>390.32757600000002</v>
      </c>
      <c r="D97" s="161">
        <f t="shared" si="0"/>
        <v>-2.5142664150368699E-2</v>
      </c>
      <c r="E97" s="160">
        <v>73.599997999999999</v>
      </c>
      <c r="F97" s="161">
        <f t="shared" si="1"/>
        <v>-9.6821698289893177E-2</v>
      </c>
    </row>
    <row r="98" spans="2:6" ht="19" x14ac:dyDescent="0.25">
      <c r="B98" s="165">
        <v>44986</v>
      </c>
      <c r="C98" s="160">
        <v>403.260986</v>
      </c>
      <c r="D98" s="161">
        <f t="shared" si="0"/>
        <v>3.3134758585440016E-2</v>
      </c>
      <c r="E98" s="160">
        <v>75.940002000000007</v>
      </c>
      <c r="F98" s="161">
        <f t="shared" si="1"/>
        <v>3.1793533472650459E-2</v>
      </c>
    </row>
    <row r="99" spans="2:6" ht="19" x14ac:dyDescent="0.25">
      <c r="B99" s="165">
        <v>45017</v>
      </c>
      <c r="C99" s="160">
        <v>411.26669299999998</v>
      </c>
      <c r="D99" s="161">
        <f t="shared" si="0"/>
        <v>1.9852421329942249E-2</v>
      </c>
      <c r="E99" s="160">
        <v>76</v>
      </c>
      <c r="F99" s="161">
        <f t="shared" si="1"/>
        <v>7.9007108796225189E-4</v>
      </c>
    </row>
    <row r="100" spans="2:6" ht="19" x14ac:dyDescent="0.25">
      <c r="B100" s="165">
        <v>45047</v>
      </c>
      <c r="C100" s="160">
        <v>413.16519199999999</v>
      </c>
      <c r="D100" s="161">
        <f t="shared" si="0"/>
        <v>4.6162235656657113E-3</v>
      </c>
      <c r="E100" s="160">
        <v>61.990001999999997</v>
      </c>
      <c r="F100" s="161">
        <f t="shared" si="1"/>
        <v>-0.18434207894736843</v>
      </c>
    </row>
    <row r="101" spans="2:6" ht="19" x14ac:dyDescent="0.25">
      <c r="B101" s="165">
        <v>45078</v>
      </c>
      <c r="C101" s="160">
        <v>438.31005900000002</v>
      </c>
      <c r="D101" s="161">
        <f t="shared" si="0"/>
        <v>6.0859112739584331E-2</v>
      </c>
      <c r="E101" s="160">
        <v>66.730002999999996</v>
      </c>
      <c r="F101" s="161">
        <f t="shared" si="1"/>
        <v>7.6463959462366171E-2</v>
      </c>
    </row>
    <row r="102" spans="2:6" ht="19" x14ac:dyDescent="0.25">
      <c r="B102" s="165">
        <v>45108</v>
      </c>
      <c r="C102" s="160">
        <v>454.33883700000001</v>
      </c>
      <c r="D102" s="161">
        <f t="shared" si="0"/>
        <v>3.6569496115534061E-2</v>
      </c>
      <c r="E102" s="160">
        <v>75.819999999999993</v>
      </c>
      <c r="F102" s="161">
        <f t="shared" si="1"/>
        <v>0.13622053935768585</v>
      </c>
    </row>
    <row r="103" spans="2:6" ht="19" x14ac:dyDescent="0.25">
      <c r="B103" s="165">
        <v>45139</v>
      </c>
      <c r="C103" s="160">
        <v>446.954926</v>
      </c>
      <c r="D103" s="161">
        <f t="shared" si="0"/>
        <v>-1.6251991682586509E-2</v>
      </c>
      <c r="E103" s="160">
        <v>62.509998000000003</v>
      </c>
      <c r="F103" s="161">
        <f t="shared" si="1"/>
        <v>-0.17554737536270104</v>
      </c>
    </row>
    <row r="104" spans="2:6" ht="19" x14ac:dyDescent="0.25">
      <c r="B104" s="165">
        <v>45170</v>
      </c>
      <c r="C104" s="160">
        <v>424.25732399999998</v>
      </c>
      <c r="D104" s="161">
        <f t="shared" si="0"/>
        <v>-5.0782753874380693E-2</v>
      </c>
      <c r="E104" s="160">
        <v>58.459999000000003</v>
      </c>
      <c r="F104" s="161">
        <f t="shared" si="1"/>
        <v>-6.4789619734110349E-2</v>
      </c>
    </row>
    <row r="105" spans="2:6" ht="19" x14ac:dyDescent="0.25">
      <c r="B105" s="165">
        <v>45200</v>
      </c>
      <c r="C105" s="160">
        <v>416.51129200000003</v>
      </c>
      <c r="D105" s="161">
        <f t="shared" si="0"/>
        <v>-1.8257862768209843E-2</v>
      </c>
      <c r="E105" s="160">
        <v>51.799999</v>
      </c>
      <c r="F105" s="161">
        <f t="shared" si="1"/>
        <v>-0.1139240525816636</v>
      </c>
    </row>
    <row r="106" spans="2:6" ht="19" x14ac:dyDescent="0.25">
      <c r="B106" s="165">
        <v>45231</v>
      </c>
      <c r="C106" s="160">
        <v>454.55703699999998</v>
      </c>
      <c r="D106" s="161">
        <f t="shared" si="0"/>
        <v>9.13438500486079E-2</v>
      </c>
      <c r="E106" s="160">
        <v>57.610000999999997</v>
      </c>
      <c r="F106" s="161">
        <f t="shared" si="1"/>
        <v>0.11216220293749424</v>
      </c>
    </row>
    <row r="107" spans="2:6" ht="19" x14ac:dyDescent="0.25">
      <c r="B107" s="165">
        <v>45261</v>
      </c>
      <c r="C107" s="160">
        <v>473.39068600000002</v>
      </c>
      <c r="D107" s="161">
        <f t="shared" si="0"/>
        <v>4.1432972029866511E-2</v>
      </c>
      <c r="E107" s="160">
        <v>61.41</v>
      </c>
      <c r="F107" s="161">
        <f t="shared" si="1"/>
        <v>6.5960752196480676E-2</v>
      </c>
    </row>
    <row r="108" spans="2:6" ht="19" x14ac:dyDescent="0.25">
      <c r="B108" s="165">
        <v>45292</v>
      </c>
      <c r="C108" s="160">
        <v>482.88000499999998</v>
      </c>
      <c r="D108" s="161">
        <f t="shared" si="0"/>
        <v>2.0045428185716307E-2</v>
      </c>
      <c r="E108" s="160">
        <v>61.349997999999999</v>
      </c>
      <c r="F108" s="161">
        <f t="shared" si="1"/>
        <v>-9.7707213808817528E-4</v>
      </c>
    </row>
    <row r="109" spans="2:6" ht="19" x14ac:dyDescent="0.25">
      <c r="B109" s="165">
        <v>45323</v>
      </c>
      <c r="C109" s="160">
        <v>507.85000600000001</v>
      </c>
      <c r="D109" s="161">
        <f t="shared" si="0"/>
        <v>5.171057144931912E-2</v>
      </c>
      <c r="E109" s="160">
        <v>59.16</v>
      </c>
      <c r="F109" s="161">
        <f t="shared" si="1"/>
        <v>-3.5696790079765006E-2</v>
      </c>
    </row>
    <row r="110" spans="2:6" ht="19" x14ac:dyDescent="0.25">
      <c r="B110" s="166">
        <v>45345</v>
      </c>
      <c r="C110" s="162">
        <v>507.85000600000001</v>
      </c>
      <c r="D110" s="163">
        <f t="shared" si="0"/>
        <v>0</v>
      </c>
      <c r="E110" s="164">
        <v>59.16</v>
      </c>
      <c r="F110" s="163">
        <f t="shared" si="1"/>
        <v>0</v>
      </c>
    </row>
    <row r="111" spans="2:6" ht="19" x14ac:dyDescent="0.25">
      <c r="C111" s="213" t="s">
        <v>559</v>
      </c>
      <c r="D111" s="214">
        <f>AVERAGE(D51:D110)</f>
        <v>1.263142446392296E-2</v>
      </c>
      <c r="E111" s="215" t="s">
        <v>559</v>
      </c>
      <c r="F111" s="214">
        <f>AVERAGE(F51:F110)</f>
        <v>-2.2842936874272763E-3</v>
      </c>
    </row>
  </sheetData>
  <mergeCells count="2">
    <mergeCell ref="H48:H49"/>
    <mergeCell ref="I48:I49"/>
  </mergeCells>
  <dataValidations disablePrompts="1" count="1">
    <dataValidation type="list" allowBlank="1" showInputMessage="1" showErrorMessage="1" sqref="C21" xr:uid="{E5451BC7-5878-4048-8377-41222DC5A169}">
      <formula1>$L$28:$L$29</formula1>
    </dataValidation>
  </dataValidation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E7A64D-B960-BA43-9E20-ADCBC366A9AE}">
  <dimension ref="B2:M63"/>
  <sheetViews>
    <sheetView showGridLines="0" workbookViewId="0">
      <pane xSplit="2" ySplit="2" topLeftCell="C3" activePane="bottomRight" state="frozen"/>
      <selection pane="topRight" activeCell="C1" sqref="C1"/>
      <selection pane="bottomLeft" activeCell="A3" sqref="A3"/>
      <selection pane="bottomRight" activeCell="G40" sqref="G40"/>
    </sheetView>
  </sheetViews>
  <sheetFormatPr baseColWidth="10" defaultRowHeight="16" x14ac:dyDescent="0.2"/>
  <cols>
    <col min="2" max="2" width="37.33203125" bestFit="1" customWidth="1"/>
    <col min="3" max="3" width="19.33203125" bestFit="1" customWidth="1"/>
    <col min="4" max="4" width="11.5" customWidth="1"/>
    <col min="5" max="6" width="11.6640625" bestFit="1" customWidth="1"/>
    <col min="7" max="7" width="15" bestFit="1" customWidth="1"/>
    <col min="8" max="10" width="11.6640625" bestFit="1" customWidth="1"/>
  </cols>
  <sheetData>
    <row r="2" spans="2:13" ht="19" x14ac:dyDescent="0.25">
      <c r="B2" s="23" t="s">
        <v>594</v>
      </c>
      <c r="C2" s="226">
        <v>2019</v>
      </c>
      <c r="D2" s="226">
        <v>2020</v>
      </c>
      <c r="E2" s="226">
        <v>2021</v>
      </c>
      <c r="F2" s="226">
        <v>2022</v>
      </c>
      <c r="G2" s="226">
        <v>2023</v>
      </c>
      <c r="H2" s="226">
        <v>2024</v>
      </c>
      <c r="I2" s="226">
        <v>2025</v>
      </c>
      <c r="J2" s="226">
        <v>2026</v>
      </c>
      <c r="K2" s="226">
        <v>2027</v>
      </c>
      <c r="L2" s="226">
        <v>2028</v>
      </c>
      <c r="M2" s="226">
        <v>2029</v>
      </c>
    </row>
    <row r="3" spans="2:13" ht="19" x14ac:dyDescent="0.25">
      <c r="B3" s="141" t="s">
        <v>595</v>
      </c>
    </row>
    <row r="4" spans="2:13" ht="19" x14ac:dyDescent="0.25">
      <c r="B4" s="64" t="s">
        <v>596</v>
      </c>
      <c r="D4" s="230">
        <f>Forecast!D5/Forecast!C5-1</f>
        <v>0.20717983344586988</v>
      </c>
      <c r="E4" s="230">
        <f>Forecast!E5/Forecast!D5-1</f>
        <v>0.18257667567819524</v>
      </c>
      <c r="F4" s="230">
        <f>Forecast!F5/Forecast!E5-1</f>
        <v>8.4624177210200546E-2</v>
      </c>
      <c r="G4" s="230">
        <f>Forecast!G5/Forecast!F5-1</f>
        <v>8.1873682680427384E-2</v>
      </c>
      <c r="H4" s="230">
        <f>Forecast!H5/Forecast!G5-1</f>
        <v>8.1873682680427384E-2</v>
      </c>
      <c r="I4" s="230">
        <f>Forecast!I5/Forecast!H5-1</f>
        <v>8.1873682680427384E-2</v>
      </c>
      <c r="J4" s="230">
        <f>Forecast!J5/Forecast!I5-1</f>
        <v>8.1873682680427384E-2</v>
      </c>
      <c r="K4" s="230">
        <f>Forecast!K5/Forecast!J5-1</f>
        <v>8.1873682680427384E-2</v>
      </c>
      <c r="L4" s="230">
        <f>Forecast!L5/Forecast!K5-1</f>
        <v>8.1873682680427384E-2</v>
      </c>
      <c r="M4" s="230">
        <f>Forecast!M5/Forecast!L5-1</f>
        <v>8.1873682680427384E-2</v>
      </c>
    </row>
    <row r="5" spans="2:13" ht="19" x14ac:dyDescent="0.25">
      <c r="B5" s="64" t="s">
        <v>597</v>
      </c>
      <c r="D5" s="230">
        <f>Forecast!D23/Forecast!C23-1</f>
        <v>0.22867383512544803</v>
      </c>
      <c r="E5" s="230">
        <f>Forecast!E23/Forecast!D23-1</f>
        <v>0.26137689614935833</v>
      </c>
      <c r="F5" s="230">
        <f>Forecast!F23/Forecast!E23-1</f>
        <v>-6.475485661424607E-2</v>
      </c>
      <c r="G5" s="230">
        <f>Forecast!G23/Forecast!F23-1</f>
        <v>0.22255192878338281</v>
      </c>
      <c r="H5" s="230">
        <f>Forecast!H23/Forecast!G23-1</f>
        <v>8.1873682680427162E-2</v>
      </c>
      <c r="I5" s="230">
        <f>Forecast!I23/Forecast!H23-1</f>
        <v>8.187368268042694E-2</v>
      </c>
      <c r="J5" s="230">
        <f>Forecast!J23/Forecast!I23-1</f>
        <v>8.1873682680427828E-2</v>
      </c>
      <c r="K5" s="230">
        <f>Forecast!K23/Forecast!J23-1</f>
        <v>8.1873682680426718E-2</v>
      </c>
      <c r="L5" s="230">
        <f>Forecast!L23/Forecast!K23-1</f>
        <v>8.1873682680427606E-2</v>
      </c>
      <c r="M5" s="230">
        <f>Forecast!M23/Forecast!L23-1</f>
        <v>8.1873682680427606E-2</v>
      </c>
    </row>
    <row r="6" spans="2:13" ht="19" x14ac:dyDescent="0.25">
      <c r="B6" s="64" t="s">
        <v>598</v>
      </c>
      <c r="D6" s="230">
        <f>Forecast!D41/Forecast!C41-1</f>
        <v>0.70882472549816988</v>
      </c>
      <c r="E6" s="230">
        <f>Forecast!E41/Forecast!D41-1</f>
        <v>-7.8534031413612926E-3</v>
      </c>
      <c r="F6" s="230">
        <f>Forecast!F41/Forecast!E41-1</f>
        <v>-0.41976493163828255</v>
      </c>
      <c r="G6" s="230">
        <f>Forecast!G41/Forecast!F41-1</f>
        <v>0.75527077304671342</v>
      </c>
      <c r="H6" s="230">
        <f>Forecast!H41/Forecast!G41-1</f>
        <v>-2.0578784562750418E-2</v>
      </c>
      <c r="I6" s="230">
        <f>Forecast!I41/Forecast!H41-1</f>
        <v>0.10235550312969433</v>
      </c>
      <c r="J6" s="230">
        <f>Forecast!J41/Forecast!I41-1</f>
        <v>8.8786084963454748E-2</v>
      </c>
      <c r="K6" s="230">
        <f>Forecast!K41/Forecast!J41-1</f>
        <v>8.822240662031744E-2</v>
      </c>
      <c r="L6" s="230">
        <f>Forecast!L41/Forecast!K41-1</f>
        <v>8.7707714309685825E-2</v>
      </c>
      <c r="M6" s="230">
        <f>Forecast!M41/Forecast!L41-1</f>
        <v>8.7237285008982424E-2</v>
      </c>
    </row>
    <row r="7" spans="2:13" ht="19" x14ac:dyDescent="0.25">
      <c r="B7" s="64" t="s">
        <v>599</v>
      </c>
      <c r="D7" s="230">
        <f>Forecast!D44/Forecast!C44-1</f>
        <v>0.7129186602870814</v>
      </c>
      <c r="E7" s="230">
        <f>Forecast!E44/Forecast!D44-1</f>
        <v>-8.379888268156499E-3</v>
      </c>
      <c r="F7" s="230">
        <f>Forecast!F44/Forecast!E44-1</f>
        <v>-0.40845070422535201</v>
      </c>
      <c r="G7" s="230">
        <f>Forecast!G44/Forecast!F44-1</f>
        <v>0.83333333333333326</v>
      </c>
      <c r="H7" s="230">
        <f>Forecast!H44/Forecast!G44-1</f>
        <v>2.5794571045389514E-2</v>
      </c>
      <c r="I7" s="230">
        <f>Forecast!I44/Forecast!H44-1</f>
        <v>0.15730841953695718</v>
      </c>
      <c r="J7" s="230">
        <f>Forecast!J44/Forecast!I44-1</f>
        <v>0.14591022373383544</v>
      </c>
      <c r="K7" s="230">
        <f>Forecast!K44/Forecast!J44-1</f>
        <v>0.14847835383074481</v>
      </c>
      <c r="L7" s="230">
        <f>Forecast!L44/Forecast!K44-1</f>
        <v>0.15146549357754568</v>
      </c>
      <c r="M7" s="230">
        <f>Forecast!M44/Forecast!L44-1</f>
        <v>0.15493574609297878</v>
      </c>
    </row>
    <row r="8" spans="2:13" ht="19" x14ac:dyDescent="0.25">
      <c r="B8" s="64" t="s">
        <v>600</v>
      </c>
      <c r="D8" s="230">
        <f>Forecast!D46/Forecast!C46-1</f>
        <v>0.71014492753623193</v>
      </c>
      <c r="E8" s="230">
        <f>Forecast!E46/Forecast!D46-1</f>
        <v>-5.6497175141243527E-3</v>
      </c>
      <c r="F8" s="230">
        <f>Forecast!F46/Forecast!E46-1</f>
        <v>-0.40625</v>
      </c>
      <c r="G8" s="230">
        <f>Forecast!G46/Forecast!F46-1</f>
        <v>0.83732057416267947</v>
      </c>
      <c r="H8" s="230">
        <f>Forecast!H46/Forecast!G46-1</f>
        <v>2.4573892489199389E-2</v>
      </c>
      <c r="I8" s="230">
        <f>Forecast!I46/Forecast!H46-1</f>
        <v>0.15709013585708731</v>
      </c>
      <c r="J8" s="230">
        <f>Forecast!J46/Forecast!I46-1</f>
        <v>0.14567146035339507</v>
      </c>
      <c r="K8" s="230">
        <f>Forecast!K46/Forecast!J46-1</f>
        <v>0.1482126164670825</v>
      </c>
      <c r="L8" s="230">
        <f>Forecast!L46/Forecast!K46-1</f>
        <v>0.15116790767664523</v>
      </c>
      <c r="M8" s="230">
        <f>Forecast!M46/Forecast!L46-1</f>
        <v>0.15460018990421065</v>
      </c>
    </row>
    <row r="9" spans="2:13" ht="19" x14ac:dyDescent="0.25">
      <c r="B9" s="64" t="s">
        <v>601</v>
      </c>
      <c r="D9" s="231">
        <f>'Fair Value Estimate'!D36</f>
        <v>0.28531645569620245</v>
      </c>
      <c r="E9" s="231">
        <f>'Fair Value Estimate'!E36</f>
        <v>0.15520976954894627</v>
      </c>
      <c r="F9" s="231">
        <f>'Fair Value Estimate'!F36</f>
        <v>3.7510656436487544E-2</v>
      </c>
      <c r="G9" s="231">
        <f>'Fair Value Estimate'!G36</f>
        <v>-1.8723089564502877</v>
      </c>
      <c r="H9" s="231">
        <f>'Fair Value Estimate'!H36</f>
        <v>-2.0108060648799135</v>
      </c>
      <c r="I9" s="231">
        <f>'Fair Value Estimate'!I36</f>
        <v>7.525325508327807E-2</v>
      </c>
      <c r="J9" s="231">
        <f>'Fair Value Estimate'!J36</f>
        <v>7.285198644245594E-2</v>
      </c>
      <c r="K9" s="231">
        <f>'Fair Value Estimate'!K36</f>
        <v>7.0547921926746415E-2</v>
      </c>
      <c r="L9" s="231">
        <f>'Fair Value Estimate'!L36</f>
        <v>7.4866052047271037E-2</v>
      </c>
      <c r="M9" s="231">
        <f>'Fair Value Estimate'!M36</f>
        <v>8.1126463702143381E-2</v>
      </c>
    </row>
    <row r="10" spans="2:13" ht="19" x14ac:dyDescent="0.25">
      <c r="B10" s="64" t="s">
        <v>602</v>
      </c>
      <c r="D10" s="230">
        <f>'Fair Value Estimate'!D54/'Fair Value Estimate'!C54-1</f>
        <v>3.3627474643500488</v>
      </c>
      <c r="E10" s="230">
        <f>'Fair Value Estimate'!E54/'Fair Value Estimate'!D54-1</f>
        <v>-0.24657201011042185</v>
      </c>
      <c r="F10" s="230">
        <f>'Fair Value Estimate'!F54/'Fair Value Estimate'!E54-1</f>
        <v>-0.42417291334220786</v>
      </c>
      <c r="G10" s="230">
        <f>'Fair Value Estimate'!G54/'Fair Value Estimate'!F54-1</f>
        <v>0.67604313173933428</v>
      </c>
      <c r="H10" s="230">
        <f>'Fair Value Estimate'!H54/'Fair Value Estimate'!G54-1</f>
        <v>0.43094156264776973</v>
      </c>
      <c r="I10" s="230">
        <f>'Fair Value Estimate'!I54/'Fair Value Estimate'!H54-1</f>
        <v>6.9920254028543516E-2</v>
      </c>
      <c r="J10" s="230">
        <f>'Fair Value Estimate'!J54/'Fair Value Estimate'!I54-1</f>
        <v>0.11651233983310005</v>
      </c>
      <c r="K10" s="230">
        <f>'Fair Value Estimate'!K54/'Fair Value Estimate'!J54-1</f>
        <v>9.4985039491606305E-3</v>
      </c>
      <c r="L10" s="230">
        <f>'Fair Value Estimate'!L54/'Fair Value Estimate'!K54-1</f>
        <v>0.22416934365585228</v>
      </c>
      <c r="M10" s="230">
        <f>'Fair Value Estimate'!M54/'Fair Value Estimate'!L54-1</f>
        <v>-3.0928819176601063E-3</v>
      </c>
    </row>
    <row r="11" spans="2:13" ht="19" x14ac:dyDescent="0.25">
      <c r="B11" s="64" t="s">
        <v>603</v>
      </c>
      <c r="D11" s="230">
        <f>Forecast!D88/Forecast!C88-1</f>
        <v>0.33028521663400823</v>
      </c>
      <c r="E11" s="230">
        <f>Forecast!E88/Forecast!D88-1</f>
        <v>0.16104746317512264</v>
      </c>
      <c r="F11" s="230">
        <f>Forecast!F88/Forecast!E88-1</f>
        <v>-5.8500140964195091E-2</v>
      </c>
      <c r="G11" s="230">
        <f>Forecast!G88/Forecast!F88-1</f>
        <v>0.13385237310974696</v>
      </c>
      <c r="H11" s="230">
        <f>Forecast!H88/Forecast!G88-1</f>
        <v>-8.765350652270576E-3</v>
      </c>
      <c r="I11" s="230">
        <f>Forecast!I88/Forecast!H88-1</f>
        <v>8.8999095825863073E-2</v>
      </c>
      <c r="J11" s="230">
        <f>Forecast!J88/Forecast!I88-1</f>
        <v>8.1873682680427828E-2</v>
      </c>
      <c r="K11" s="230">
        <f>Forecast!K88/Forecast!J88-1</f>
        <v>8.187368268042694E-2</v>
      </c>
      <c r="L11" s="230">
        <f>Forecast!L88/Forecast!K88-1</f>
        <v>8.187368268042805E-2</v>
      </c>
      <c r="M11" s="230">
        <f>Forecast!M88/Forecast!L88-1</f>
        <v>8.1873682680427384E-2</v>
      </c>
    </row>
    <row r="12" spans="2:13" ht="19" x14ac:dyDescent="0.25">
      <c r="B12" s="64"/>
    </row>
    <row r="13" spans="2:13" ht="19" x14ac:dyDescent="0.25">
      <c r="B13" s="141" t="s">
        <v>604</v>
      </c>
    </row>
    <row r="14" spans="2:13" ht="19" x14ac:dyDescent="0.25">
      <c r="B14" s="227" t="s">
        <v>605</v>
      </c>
      <c r="C14" s="230">
        <f>Forecast!C9/Forecast!C5</f>
        <v>0.54028809363042984</v>
      </c>
      <c r="D14" s="230">
        <f>Forecast!D9/Forecast!D5</f>
        <v>0.54903514496131256</v>
      </c>
      <c r="E14" s="230">
        <f>Forecast!E9/Forecast!E5</f>
        <v>0.55165346261479642</v>
      </c>
      <c r="F14" s="230">
        <f>Forecast!F9/Forecast!F5</f>
        <v>0.50050875790391747</v>
      </c>
      <c r="G14" s="230">
        <f>Forecast!G9/Forecast!G5</f>
        <v>0.46031372812468507</v>
      </c>
      <c r="H14" s="230">
        <f>Forecast!H9/Forecast!H5</f>
        <v>0.46031372812468502</v>
      </c>
      <c r="I14" s="230">
        <f>Forecast!I9/Forecast!I5</f>
        <v>0.46031372812468502</v>
      </c>
      <c r="J14" s="230">
        <f>Forecast!J9/Forecast!J5</f>
        <v>0.46031372812468513</v>
      </c>
      <c r="K14" s="230">
        <f>Forecast!K9/Forecast!K5</f>
        <v>0.46031372812468502</v>
      </c>
      <c r="L14" s="230">
        <f>Forecast!L9/Forecast!L5</f>
        <v>0.46031372812468502</v>
      </c>
      <c r="M14" s="230">
        <f>Forecast!M9/Forecast!M5</f>
        <v>0.46031372812468507</v>
      </c>
    </row>
    <row r="15" spans="2:13" ht="19" x14ac:dyDescent="0.25">
      <c r="B15" s="227" t="s">
        <v>606</v>
      </c>
      <c r="C15" s="230">
        <f>Forecast!C23/Forecast!C5</f>
        <v>0.15698852126941257</v>
      </c>
      <c r="D15" s="230">
        <f>Forecast!D23/Forecast!D5</f>
        <v>0.15978372331499954</v>
      </c>
      <c r="E15" s="230">
        <f>Forecast!E23/Forecast!E5</f>
        <v>0.1704308068266919</v>
      </c>
      <c r="F15" s="230">
        <f>Forecast!F23/Forecast!F5</f>
        <v>0.14695835453157932</v>
      </c>
      <c r="G15" s="230">
        <f>Forecast!G23/Forecast!G5</f>
        <v>0.16606764972624366</v>
      </c>
      <c r="H15" s="230">
        <f>Forecast!H23/Forecast!H5</f>
        <v>0.16606764972624363</v>
      </c>
      <c r="I15" s="230">
        <f>Forecast!I23/Forecast!I5</f>
        <v>0.16606764972624355</v>
      </c>
      <c r="J15" s="230">
        <f>Forecast!J23/Forecast!J5</f>
        <v>0.16606764972624366</v>
      </c>
      <c r="K15" s="230">
        <f>Forecast!K23/Forecast!K5</f>
        <v>0.16606764972624358</v>
      </c>
      <c r="L15" s="230">
        <f>Forecast!L23/Forecast!L5</f>
        <v>0.16606764972624363</v>
      </c>
      <c r="M15" s="230">
        <f>Forecast!M23/Forecast!M5</f>
        <v>0.16606764972624366</v>
      </c>
    </row>
    <row r="16" spans="2:13" ht="19" x14ac:dyDescent="0.25">
      <c r="B16" s="227" t="s">
        <v>607</v>
      </c>
      <c r="C16" s="230">
        <f>Forecast!C41/Forecast!C5</f>
        <v>0.13836371820841772</v>
      </c>
      <c r="D16" s="230">
        <f>Forecast!D41/Forecast!D5</f>
        <v>0.19586091171809453</v>
      </c>
      <c r="E16" s="230">
        <f>Forecast!E41/Forecast!E5</f>
        <v>0.16432146939419021</v>
      </c>
      <c r="F16" s="230">
        <f>Forecast!F41/Forecast!F5</f>
        <v>8.7906097826876958E-2</v>
      </c>
      <c r="G16" s="230">
        <f>Forecast!G41/Forecast!G5</f>
        <v>0.14262201471230393</v>
      </c>
      <c r="H16" s="230">
        <f>Forecast!H41/Forecast!H5</f>
        <v>0.12911583785969205</v>
      </c>
      <c r="I16" s="230">
        <f>Forecast!I41/Forecast!I5</f>
        <v>0.13156023358770982</v>
      </c>
      <c r="J16" s="230">
        <f>Forecast!J41/Forecast!J5</f>
        <v>0.13240080977841095</v>
      </c>
      <c r="K16" s="230">
        <f>Forecast!K41/Forecast!K5</f>
        <v>0.13317777311910195</v>
      </c>
      <c r="L16" s="230">
        <f>Forecast!L41/Forecast!L5</f>
        <v>0.13389593768223845</v>
      </c>
      <c r="M16" s="230">
        <f>Forecast!M41/Forecast!M5</f>
        <v>0.13455975322247526</v>
      </c>
    </row>
    <row r="17" spans="2:13" ht="19" x14ac:dyDescent="0.25">
      <c r="B17" s="227" t="s">
        <v>608</v>
      </c>
      <c r="C17" s="230">
        <f>(Forecast!C41+(Forecast!C35)*(1-Forecast!C40/Forecast!C39)-Forecast!C31+((Forecast!C144+Forecast!C143)*(1-Forecast!C40/Forecast!C39)))/Forecast!C5</f>
        <v>0.18876171029767463</v>
      </c>
      <c r="D17" s="230">
        <f>(Forecast!D41+(Forecast!D35)*(1-Forecast!D40/Forecast!D39)-Forecast!D31+((Forecast!D144+Forecast!D143)*(1-Forecast!D40/Forecast!D39)))/Forecast!D5</f>
        <v>0.25444517257750482</v>
      </c>
      <c r="E17" s="230">
        <f>(Forecast!E41+(Forecast!E35)*(1-Forecast!E40/Forecast!E39)-Forecast!E31+((Forecast!E144+Forecast!E143)*(1-Forecast!E40/Forecast!E39)))/Forecast!E5</f>
        <v>0.24265378244523869</v>
      </c>
      <c r="F17" s="230">
        <f>(Forecast!F41+(Forecast!F35)*(1-Forecast!F40/Forecast!F39)-Forecast!F31+((Forecast!F144+Forecast!F143)*(1-Forecast!F40/Forecast!F39)))/Forecast!F5</f>
        <v>0.13671670294821775</v>
      </c>
      <c r="G17" s="230">
        <f>(Forecast!G41+(Forecast!G35)*(1-Forecast!G40/Forecast!G39)-Forecast!G31+((Forecast!G144+Forecast!G143)*(1-Forecast!G40/Forecast!G39)))/Forecast!G5</f>
        <v>0.1755692552205981</v>
      </c>
      <c r="H17" s="230">
        <f>(Forecast!H41+(Forecast!H35)*(1-Forecast!H40/Forecast!H39)-Forecast!H31+((Forecast!H144+Forecast!H143)*(1-Forecast!H40/Forecast!H39)))/Forecast!H5</f>
        <v>0.17497647133604957</v>
      </c>
      <c r="I17" s="230">
        <f>(Forecast!I41+(Forecast!I35)*(1-Forecast!I40/Forecast!I39)-Forecast!I31+((Forecast!I144+Forecast!I143)*(1-Forecast!I40/Forecast!I39)))/Forecast!I5</f>
        <v>0.17679700644094959</v>
      </c>
      <c r="J17" s="230">
        <f>(Forecast!J41+(Forecast!J35)*(1-Forecast!J40/Forecast!J39)-Forecast!J31+((Forecast!J144+Forecast!J143)*(1-Forecast!J40/Forecast!J39)))/Forecast!J5</f>
        <v>0.17660505734411383</v>
      </c>
      <c r="K17" s="230">
        <f>(Forecast!K41+(Forecast!K35)*(1-Forecast!K40/Forecast!K39)-Forecast!K31+((Forecast!K144+Forecast!K143)*(1-Forecast!K40/Forecast!K39)))/Forecast!K5</f>
        <v>0.17607376390930687</v>
      </c>
      <c r="L17" s="230">
        <f>(Forecast!L41+(Forecast!L35)*(1-Forecast!L40/Forecast!L39)-Forecast!L31+((Forecast!L144+Forecast!L143)*(1-Forecast!L40/Forecast!L39)))/Forecast!L5</f>
        <v>0.17600485087758652</v>
      </c>
      <c r="M17" s="230">
        <f>(Forecast!M41+(Forecast!M35)*(1-Forecast!M40/Forecast!M39)-Forecast!M31+((Forecast!M144+Forecast!M143)*(1-Forecast!M40/Forecast!M39)))/Forecast!M5</f>
        <v>0.17662309973427168</v>
      </c>
    </row>
    <row r="18" spans="2:13" ht="19" x14ac:dyDescent="0.25">
      <c r="B18" s="227" t="s">
        <v>609</v>
      </c>
      <c r="C18" s="230">
        <f>Forecast!C71/Forecast!C5</f>
        <v>0.21539500337609724</v>
      </c>
      <c r="D18" s="230">
        <f>Forecast!D71/Forecast!D5</f>
        <v>0.29714738510301109</v>
      </c>
      <c r="E18" s="230">
        <f>Forecast!E71/Forecast!E5</f>
        <v>0.21832012928146308</v>
      </c>
      <c r="F18" s="230">
        <f>Forecast!F71/Forecast!F5</f>
        <v>0.17490369939675848</v>
      </c>
      <c r="G18" s="230">
        <f>Forecast!G71/Forecast!G5</f>
        <v>0.21329481710389306</v>
      </c>
      <c r="H18" s="230">
        <f>Forecast!H71/Forecast!H5</f>
        <v>0.19448456551677804</v>
      </c>
      <c r="I18" s="230">
        <f>Forecast!I71/Forecast!I5</f>
        <v>0.19448456551677795</v>
      </c>
      <c r="J18" s="230">
        <f>Forecast!J71/Forecast!J5</f>
        <v>0.19448456551677806</v>
      </c>
      <c r="K18" s="230">
        <f>Forecast!K71/Forecast!K5</f>
        <v>0.19448456551677801</v>
      </c>
      <c r="L18" s="230">
        <f>Forecast!L71/Forecast!L5</f>
        <v>0.19448456551677804</v>
      </c>
      <c r="M18" s="230">
        <f>Forecast!M71/Forecast!M5</f>
        <v>0.19448456551677806</v>
      </c>
    </row>
    <row r="19" spans="2:13" ht="19" x14ac:dyDescent="0.25">
      <c r="B19" s="227" t="s">
        <v>760</v>
      </c>
      <c r="C19" s="230">
        <f>Forecast!C83/Forecast!C5</f>
        <v>0.26513616925500788</v>
      </c>
      <c r="D19" s="230">
        <f>Forecast!D88/Forecast!D5</f>
        <v>0.28479537615363104</v>
      </c>
      <c r="E19" s="230">
        <f>Forecast!E88/Forecast!E5</f>
        <v>0.27961057900752828</v>
      </c>
      <c r="F19" s="230">
        <f>Forecast!F88/Forecast!F5</f>
        <v>0.24271386001889672</v>
      </c>
      <c r="G19" s="230">
        <f>Forecast!G88/Forecast!G5</f>
        <v>0.25437506298075307</v>
      </c>
      <c r="H19" s="230">
        <f>Forecast!H88/Forecast!H5</f>
        <v>0.23306360104057927</v>
      </c>
      <c r="I19" s="230">
        <f>Forecast!I88/Forecast!I5</f>
        <v>0.23459859950958972</v>
      </c>
      <c r="J19" s="230">
        <f>Forecast!J88/Forecast!J5</f>
        <v>0.23459859950958983</v>
      </c>
      <c r="K19" s="230">
        <f>Forecast!K88/Forecast!K5</f>
        <v>0.23459859950958975</v>
      </c>
      <c r="L19" s="230">
        <f>Forecast!L88/Forecast!L5</f>
        <v>0.23459859950958986</v>
      </c>
      <c r="M19" s="230">
        <f>Forecast!M88/Forecast!M5</f>
        <v>0.23459859950958989</v>
      </c>
    </row>
    <row r="20" spans="2:13" ht="19" x14ac:dyDescent="0.25">
      <c r="B20" s="227" t="s">
        <v>610</v>
      </c>
      <c r="C20" s="230">
        <f>'Fair Value Estimate'!C54/Forecast!C5</f>
        <v>6.3410420886788207E-2</v>
      </c>
      <c r="D20" s="230">
        <f>'Fair Value Estimate'!D54/Forecast!D5</f>
        <v>0.22916523725179452</v>
      </c>
      <c r="E20" s="230">
        <f>'Fair Value Estimate'!E54/Forecast!E5</f>
        <v>0.14600279847069489</v>
      </c>
      <c r="F20" s="230">
        <f>'Fair Value Estimate'!F54/Forecast!F5</f>
        <v>7.7512900646849334E-2</v>
      </c>
      <c r="G20" s="230">
        <f>'Fair Value Estimate'!G54/Forecast!G5</f>
        <v>0.12008330254274294</v>
      </c>
      <c r="H20" s="230">
        <f>'Fair Value Estimate'!H54/Forecast!H5</f>
        <v>0.15882832842618899</v>
      </c>
      <c r="I20" s="230">
        <f>'Fair Value Estimate'!I54/Forecast!I5</f>
        <v>0.15707346265753785</v>
      </c>
      <c r="J20" s="230">
        <f>'Fair Value Estimate'!J54/Forecast!J5</f>
        <v>0.16210252834965966</v>
      </c>
      <c r="K20" s="230">
        <f>'Fair Value Estimate'!K54/Forecast!K5</f>
        <v>0.15125819444089</v>
      </c>
      <c r="L20" s="230">
        <f>'Fair Value Estimate'!L54/Forecast!L5</f>
        <v>0.17115273952547874</v>
      </c>
      <c r="M20" s="230">
        <f>'Fair Value Estimate'!M54/Forecast!M5</f>
        <v>0.15771100364463023</v>
      </c>
    </row>
    <row r="21" spans="2:13" ht="19" x14ac:dyDescent="0.25">
      <c r="B21" s="227" t="s">
        <v>611</v>
      </c>
      <c r="C21" s="230">
        <f>(Forecast!C157+Forecast!C160)/Forecast!C5</f>
        <v>0.19041188386225524</v>
      </c>
      <c r="D21" s="230">
        <f>(Forecast!D157+Forecast!D160)/Forecast!D5</f>
        <v>0.25510394332059289</v>
      </c>
      <c r="E21" s="230">
        <f>(Forecast!E157+Forecast!E160)/Forecast!E5</f>
        <v>0.19289740254621418</v>
      </c>
      <c r="F21" s="230">
        <f>(Forecast!F157+Forecast!F160)/Forecast!F5</f>
        <v>0.18576931463042373</v>
      </c>
      <c r="G21" s="230">
        <f>(Forecast!G157+Forecast!G160)/Forecast!G5</f>
        <v>0.14326021967686675</v>
      </c>
      <c r="H21" s="230">
        <f>(Forecast!H157+Forecast!H160)/Forecast!H5</f>
        <v>0.17618433845914022</v>
      </c>
      <c r="I21" s="230">
        <f>(Forecast!I157+Forecast!I160)/Forecast!I5</f>
        <v>0.17670659919313217</v>
      </c>
      <c r="J21" s="230">
        <f>(Forecast!J157+Forecast!J160)/Forecast!J5</f>
        <v>0.18610703964401348</v>
      </c>
      <c r="K21" s="230">
        <f>(Forecast!K157+Forecast!K160)/Forecast!K5</f>
        <v>0.17221707116616233</v>
      </c>
      <c r="L21" s="230">
        <f>(Forecast!L157+Forecast!L160)/Forecast!L5</f>
        <v>0.19269081296440996</v>
      </c>
      <c r="M21" s="230">
        <f>(Forecast!M157+Forecast!M160)/Forecast!M5</f>
        <v>0.17978255209105265</v>
      </c>
    </row>
    <row r="22" spans="2:13" ht="19" x14ac:dyDescent="0.25">
      <c r="B22" s="227" t="s">
        <v>612</v>
      </c>
      <c r="D22" s="230">
        <f>Forecast!D41/((Forecast!D132+Forecast!C132)/2)</f>
        <v>0.22718425605536333</v>
      </c>
      <c r="E22" s="230">
        <f>Forecast!E41/((Forecast!E132+Forecast!D132)/2)</f>
        <v>0.19952141660684375</v>
      </c>
      <c r="F22" s="230">
        <f>Forecast!F41/((Forecast!F132+Forecast!E132)/2)</f>
        <v>0.11518773362538987</v>
      </c>
      <c r="G22" s="230">
        <f>Forecast!G41/((Forecast!G132+Forecast!F132)/2)</f>
        <v>0.2054930429522081</v>
      </c>
      <c r="H22" s="230">
        <f>Forecast!H41/((Forecast!H132+Forecast!G132)/2)</f>
        <v>0.18835994861459363</v>
      </c>
      <c r="I22" s="230">
        <f>Forecast!I41/((Forecast!I132+Forecast!H132)/2)</f>
        <v>0.18912213422139401</v>
      </c>
      <c r="J22" s="230">
        <f>Forecast!J41/((Forecast!J132+Forecast!I132)/2)</f>
        <v>0.18766488974639023</v>
      </c>
      <c r="K22" s="230">
        <f>Forecast!K41/((Forecast!K132+Forecast!J132)/2)</f>
        <v>0.18643289338697538</v>
      </c>
      <c r="L22" s="230">
        <f>Forecast!L41/((Forecast!L132+Forecast!K132)/2)</f>
        <v>0.18541849013145767</v>
      </c>
      <c r="M22" s="230">
        <f>Forecast!M41/((Forecast!M132+Forecast!L132)/2)</f>
        <v>0.18461476883657713</v>
      </c>
    </row>
    <row r="23" spans="2:13" ht="19" x14ac:dyDescent="0.25">
      <c r="B23" s="227" t="s">
        <v>613</v>
      </c>
      <c r="D23" s="230">
        <f>Forecast!D41/((Forecast!D111+Forecast!C111)/2)</f>
        <v>6.9048245037465497E-2</v>
      </c>
      <c r="E23" s="230">
        <f>Forecast!E41/((Forecast!E111+Forecast!D111)/2)</f>
        <v>5.7038486270539465E-2</v>
      </c>
      <c r="F23" s="230">
        <f>Forecast!F41/((Forecast!F111+Forecast!E111)/2)</f>
        <v>3.132871842359173E-2</v>
      </c>
      <c r="G23" s="230">
        <f>Forecast!G41/((Forecast!G111+Forecast!F111)/2)</f>
        <v>5.2814229740655513E-2</v>
      </c>
      <c r="H23" s="230">
        <f>Forecast!H41/((Forecast!H111+Forecast!G111)/2)</f>
        <v>4.8667747254567552E-2</v>
      </c>
      <c r="I23" s="230">
        <f>Forecast!I41/((Forecast!I111+Forecast!H111)/2)</f>
        <v>4.950734236702399E-2</v>
      </c>
      <c r="J23" s="230">
        <f>Forecast!J41/((Forecast!J111+Forecast!I111)/2)</f>
        <v>4.9611311756992779E-2</v>
      </c>
      <c r="K23" s="230">
        <f>Forecast!K41/((Forecast!K111+Forecast!J111)/2)</f>
        <v>4.9690622980474254E-2</v>
      </c>
      <c r="L23" s="230">
        <f>Forecast!L41/((Forecast!L111+Forecast!K111)/2)</f>
        <v>4.9617731633738615E-2</v>
      </c>
      <c r="M23" s="230">
        <f>Forecast!M41/((Forecast!M111+Forecast!L111)/2)</f>
        <v>4.9527213912224699E-2</v>
      </c>
    </row>
    <row r="24" spans="2:13" ht="19" x14ac:dyDescent="0.25">
      <c r="B24" s="64"/>
    </row>
    <row r="25" spans="2:13" ht="19" x14ac:dyDescent="0.25">
      <c r="B25" s="141" t="s">
        <v>614</v>
      </c>
    </row>
    <row r="26" spans="2:13" ht="19" x14ac:dyDescent="0.25">
      <c r="B26" s="228" t="s">
        <v>615</v>
      </c>
      <c r="D26" s="220">
        <f>(((Forecast!C97+Forecast!D97)/2)/Forecast!C5)*365</f>
        <v>20.003938780103532</v>
      </c>
      <c r="E26" s="220">
        <f>(((Forecast!D97+Forecast!E97)/2)/Forecast!D5)*365</f>
        <v>20.713503309406171</v>
      </c>
      <c r="F26" s="220">
        <f>(((Forecast!E97+Forecast!F97)/2)/Forecast!E5)*365</f>
        <v>22.910508060383901</v>
      </c>
      <c r="G26" s="220">
        <f>(((Forecast!F97+Forecast!G97)/2)/Forecast!F5)*365</f>
        <v>29.227323933425396</v>
      </c>
      <c r="H26" s="220">
        <f>(((Forecast!G97+Forecast!H97)/2)/Forecast!G5)*365</f>
        <v>30.526719280477845</v>
      </c>
      <c r="I26" s="220">
        <f>(((Forecast!H97+Forecast!I97)/2)/Forecast!H5)*365</f>
        <v>30.769042081546623</v>
      </c>
      <c r="J26" s="220">
        <f>(((Forecast!I97+Forecast!J97)/2)/Forecast!I5)*365</f>
        <v>31.728105240206411</v>
      </c>
      <c r="K26" s="220">
        <f>(((Forecast!J97+Forecast!K97)/2)/Forecast!J5)*365</f>
        <v>32.850915764227054</v>
      </c>
      <c r="L26" s="220">
        <f>(((Forecast!K97+Forecast!L97)/2)/Forecast!K5)*365</f>
        <v>33.809978922886835</v>
      </c>
      <c r="M26" s="220">
        <f>(((Forecast!L97+Forecast!M97)/2)/Forecast!L5)*365</f>
        <v>33.309978922886842</v>
      </c>
    </row>
    <row r="27" spans="2:13" ht="19" x14ac:dyDescent="0.25">
      <c r="B27" s="228" t="s">
        <v>616</v>
      </c>
      <c r="D27" s="232">
        <f>Forecast!C99</f>
        <v>0</v>
      </c>
      <c r="E27" s="232">
        <f>Forecast!D99</f>
        <v>0</v>
      </c>
      <c r="F27" s="232">
        <f>Forecast!E99</f>
        <v>0</v>
      </c>
      <c r="G27" s="232">
        <f>Forecast!F99</f>
        <v>0</v>
      </c>
      <c r="H27" s="232">
        <f>Forecast!G99</f>
        <v>0</v>
      </c>
      <c r="I27" s="232">
        <f>Forecast!H99</f>
        <v>0</v>
      </c>
      <c r="J27" s="232">
        <f>Forecast!I99</f>
        <v>0</v>
      </c>
      <c r="K27" s="232">
        <f>Forecast!J99</f>
        <v>0</v>
      </c>
      <c r="L27" s="232">
        <f>Forecast!K99</f>
        <v>0</v>
      </c>
      <c r="M27" s="232">
        <f>Forecast!L99</f>
        <v>0</v>
      </c>
    </row>
    <row r="28" spans="2:13" ht="19" x14ac:dyDescent="0.25">
      <c r="B28" s="228" t="s">
        <v>617</v>
      </c>
      <c r="D28" s="220">
        <f>(((Forecast!C113+Forecast!D113)/2)/Forecast!C5)*365</f>
        <v>48.623537024532979</v>
      </c>
      <c r="E28" s="220">
        <f>(((Forecast!D113+Forecast!E113)/2)/Forecast!D5)*365</f>
        <v>54.467581802927192</v>
      </c>
      <c r="F28" s="220">
        <f>(((Forecast!E113+Forecast!F113)/2)/Forecast!E5)*365</f>
        <v>62.027413188285841</v>
      </c>
      <c r="G28" s="220">
        <f>(((Forecast!F113+Forecast!G113)/2)/Forecast!F5)*365</f>
        <v>74.676575332509628</v>
      </c>
      <c r="H28" s="220">
        <f>(((Forecast!G113+Forecast!H113)/2)/Forecast!G5)*365</f>
        <v>80.05483565126633</v>
      </c>
      <c r="I28" s="220">
        <f>(((Forecast!H113+Forecast!I113)/2)/Forecast!H5)*365</f>
        <v>80.108786178593803</v>
      </c>
      <c r="J28" s="220">
        <f>(((Forecast!I113+Forecast!J113)/2)/Forecast!I5)*365</f>
        <v>82.041874232727906</v>
      </c>
      <c r="K28" s="220">
        <f>(((Forecast!J113+Forecast!K113)/2)/Forecast!J5)*365</f>
        <v>83.457369066271937</v>
      </c>
      <c r="L28" s="220">
        <f>(((Forecast!K113+Forecast!L113)/2)/Forecast!K5)*365</f>
        <v>87.186260346314015</v>
      </c>
      <c r="M28" s="220">
        <f>(((Forecast!L113+Forecast!M113)/2)/Forecast!L5)*365</f>
        <v>90.468564080136389</v>
      </c>
    </row>
    <row r="29" spans="2:13" ht="19" x14ac:dyDescent="0.25">
      <c r="B29" s="228" t="s">
        <v>618</v>
      </c>
      <c r="D29" s="129">
        <f>D26+D27-D28</f>
        <v>-28.619598244429447</v>
      </c>
      <c r="E29" s="129">
        <f t="shared" ref="E29:M29" si="0">E26+E27-E28</f>
        <v>-33.754078493521021</v>
      </c>
      <c r="F29" s="129">
        <f t="shared" si="0"/>
        <v>-39.116905127901944</v>
      </c>
      <c r="G29" s="129">
        <f t="shared" si="0"/>
        <v>-45.449251399084233</v>
      </c>
      <c r="H29" s="129">
        <f t="shared" si="0"/>
        <v>-49.528116370788482</v>
      </c>
      <c r="I29" s="129">
        <f t="shared" si="0"/>
        <v>-49.339744097047181</v>
      </c>
      <c r="J29" s="129">
        <f t="shared" si="0"/>
        <v>-50.313768992521496</v>
      </c>
      <c r="K29" s="129">
        <f t="shared" si="0"/>
        <v>-50.606453302044883</v>
      </c>
      <c r="L29" s="129">
        <f t="shared" si="0"/>
        <v>-53.37628142342718</v>
      </c>
      <c r="M29" s="129">
        <f t="shared" si="0"/>
        <v>-57.158585157249547</v>
      </c>
    </row>
    <row r="30" spans="2:13" ht="19" x14ac:dyDescent="0.25">
      <c r="B30" s="228" t="s">
        <v>619</v>
      </c>
      <c r="D30" s="114">
        <f>Forecast!D5/(AVERAGE(Forecast!C111:D111))</f>
        <v>0.35253713684764032</v>
      </c>
      <c r="E30" s="114">
        <f>Forecast!E5/(AVERAGE(Forecast!D111:E111))</f>
        <v>0.34711523990641802</v>
      </c>
      <c r="F30" s="114">
        <f>Forecast!F5/(AVERAGE(Forecast!E111:F111))</f>
        <v>0.35638845538668756</v>
      </c>
      <c r="G30" s="114">
        <f>Forecast!G5/(AVERAGE(Forecast!F111:G111))</f>
        <v>0.37030909882455376</v>
      </c>
      <c r="H30" s="114">
        <f>Forecast!H5/(AVERAGE(Forecast!G111:H111))</f>
        <v>0.37693088672401248</v>
      </c>
      <c r="I30" s="114">
        <f>Forecast!I5/(AVERAGE(Forecast!H111:I111))</f>
        <v>0.3763093224824503</v>
      </c>
      <c r="J30" s="114">
        <f>Forecast!J5/(AVERAGE(Forecast!I111:J111))</f>
        <v>0.37470550097105454</v>
      </c>
      <c r="K30" s="114">
        <f>Forecast!K5/(AVERAGE(Forecast!J111:K111))</f>
        <v>0.3731149862074622</v>
      </c>
      <c r="L30" s="114">
        <f>Forecast!L5/(AVERAGE(Forecast!K111:L111))</f>
        <v>0.37056935776118399</v>
      </c>
      <c r="M30" s="114">
        <f>Forecast!M5/(AVERAGE(Forecast!L111:M111))</f>
        <v>0.36806855486973544</v>
      </c>
    </row>
    <row r="31" spans="2:13" ht="19" x14ac:dyDescent="0.25">
      <c r="B31" s="64"/>
    </row>
    <row r="32" spans="2:13" ht="19" x14ac:dyDescent="0.25">
      <c r="B32" s="141" t="s">
        <v>620</v>
      </c>
    </row>
    <row r="33" spans="2:13" ht="19" x14ac:dyDescent="0.25">
      <c r="B33" s="228" t="s">
        <v>621</v>
      </c>
      <c r="C33" s="114">
        <f>Forecast!C103/Forecast!C118</f>
        <v>1.4300308332404621</v>
      </c>
      <c r="D33" s="114">
        <f>Forecast!D103/Forecast!D118</f>
        <v>1.3263713683772467</v>
      </c>
      <c r="E33" s="114">
        <f>Forecast!E103/Forecast!E118</f>
        <v>1.2218271398359246</v>
      </c>
      <c r="F33" s="114">
        <f>Forecast!F103/Forecast!F118</f>
        <v>1.2758620689655173</v>
      </c>
      <c r="G33" s="114">
        <f>Forecast!G103/Forecast!G118</f>
        <v>1.2909874963892214</v>
      </c>
      <c r="H33" s="114">
        <f>Forecast!H103/Forecast!H118</f>
        <v>1.3070952790021158</v>
      </c>
      <c r="I33" s="114">
        <f>Forecast!I103/Forecast!I118</f>
        <v>1.3187249141252422</v>
      </c>
      <c r="J33" s="114">
        <f>Forecast!J103/Forecast!J118</f>
        <v>1.3284657099175177</v>
      </c>
      <c r="K33" s="114">
        <f>Forecast!K103/Forecast!K118</f>
        <v>1.3352422416791452</v>
      </c>
      <c r="L33" s="114">
        <f>Forecast!L103/Forecast!L118</f>
        <v>1.3379883078600776</v>
      </c>
      <c r="M33" s="114">
        <f>Forecast!M103/Forecast!M118</f>
        <v>1.3416782222757326</v>
      </c>
    </row>
    <row r="34" spans="2:13" ht="19" x14ac:dyDescent="0.25">
      <c r="B34" s="228" t="s">
        <v>622</v>
      </c>
      <c r="C34" s="114">
        <f>(Forecast!C103-Forecast!C99)/Forecast!C118</f>
        <v>1.4300308332404621</v>
      </c>
      <c r="D34" s="114">
        <f>(Forecast!D103-Forecast!D99)/Forecast!D118</f>
        <v>1.3263713683772467</v>
      </c>
      <c r="E34" s="114">
        <f>(Forecast!E103-Forecast!E99)/Forecast!E118</f>
        <v>1.2218271398359246</v>
      </c>
      <c r="F34" s="114">
        <f>(Forecast!F103-Forecast!F99)/Forecast!F118</f>
        <v>1.2758620689655173</v>
      </c>
      <c r="G34" s="114">
        <f>(Forecast!G103-Forecast!G99)/Forecast!G118</f>
        <v>1.2909874963892214</v>
      </c>
      <c r="H34" s="114">
        <f>(Forecast!H103-Forecast!H99)/Forecast!H118</f>
        <v>1.3070952790021158</v>
      </c>
      <c r="I34" s="114">
        <f>(Forecast!I103-Forecast!I99)/Forecast!I118</f>
        <v>1.3187249141252422</v>
      </c>
      <c r="J34" s="114">
        <f>(Forecast!J103-Forecast!J99)/Forecast!J118</f>
        <v>1.3284657099175177</v>
      </c>
      <c r="K34" s="114">
        <f>(Forecast!K103-Forecast!K99)/Forecast!K118</f>
        <v>1.3352422416791452</v>
      </c>
      <c r="L34" s="114">
        <f>(Forecast!L103-Forecast!L99)/Forecast!L118</f>
        <v>1.3379883078600776</v>
      </c>
      <c r="M34" s="114">
        <f>(Forecast!M103-Forecast!M99)/Forecast!M118</f>
        <v>1.3416782222757326</v>
      </c>
    </row>
    <row r="35" spans="2:13" ht="19" x14ac:dyDescent="0.25">
      <c r="B35" s="228" t="s">
        <v>623</v>
      </c>
      <c r="C35" t="e">
        <f>Forecast!C95/Forecast!C115</f>
        <v>#DIV/0!</v>
      </c>
      <c r="D35" t="e">
        <f>Forecast!D95/Forecast!D115</f>
        <v>#DIV/0!</v>
      </c>
      <c r="E35" t="e">
        <f>Forecast!E95/Forecast!E115</f>
        <v>#DIV/0!</v>
      </c>
      <c r="F35" t="e">
        <f>Forecast!F95/Forecast!F115</f>
        <v>#DIV/0!</v>
      </c>
      <c r="G35" t="e">
        <f>Forecast!G95/Forecast!G115</f>
        <v>#DIV/0!</v>
      </c>
      <c r="H35" t="e">
        <f>Forecast!H95/Forecast!H115</f>
        <v>#DIV/0!</v>
      </c>
      <c r="I35" t="e">
        <f>Forecast!I95/Forecast!I115</f>
        <v>#DIV/0!</v>
      </c>
      <c r="J35" t="e">
        <f>Forecast!J95/Forecast!J115</f>
        <v>#DIV/0!</v>
      </c>
      <c r="K35" t="e">
        <f>Forecast!K95/Forecast!K115</f>
        <v>#DIV/0!</v>
      </c>
      <c r="L35" t="e">
        <f>Forecast!L95/Forecast!L115</f>
        <v>#DIV/0!</v>
      </c>
      <c r="M35" t="e">
        <f>Forecast!M95/Forecast!M115</f>
        <v>#DIV/0!</v>
      </c>
    </row>
    <row r="36" spans="2:13" ht="19" x14ac:dyDescent="0.25">
      <c r="B36" s="64"/>
    </row>
    <row r="37" spans="2:13" ht="19" x14ac:dyDescent="0.25">
      <c r="B37" s="141" t="s">
        <v>624</v>
      </c>
    </row>
    <row r="38" spans="2:13" ht="19" x14ac:dyDescent="0.25">
      <c r="B38" s="227" t="s">
        <v>625</v>
      </c>
      <c r="C38" s="230">
        <f>(Forecast!C115+Forecast!C120)/(Forecast!C115+Forecast!C120+Forecast!C132)</f>
        <v>0.22677445875582353</v>
      </c>
      <c r="D38" s="230">
        <f>(Forecast!D115+Forecast!D120)/(Forecast!D115+Forecast!D120+Forecast!D132)</f>
        <v>0.30822012275015515</v>
      </c>
      <c r="E38" s="230">
        <f>(Forecast!E115+Forecast!E120)/(Forecast!E115+Forecast!E120+Forecast!E132)</f>
        <v>0.27031837721655022</v>
      </c>
      <c r="F38" s="230">
        <f>(Forecast!F115+Forecast!F120)/(Forecast!F115+Forecast!F120+Forecast!F132)</f>
        <v>0.33941546381675408</v>
      </c>
      <c r="G38" s="230">
        <f>(Forecast!G115+Forecast!G120)/(Forecast!G115+Forecast!G120+Forecast!G132)</f>
        <v>0.31490220327399354</v>
      </c>
      <c r="H38" s="230">
        <f>(Forecast!H115+Forecast!H120)/(Forecast!H115+Forecast!H120+Forecast!H132)</f>
        <v>0.29516988033838792</v>
      </c>
      <c r="I38" s="230">
        <f>(Forecast!I115+Forecast!I120)/(Forecast!I115+Forecast!I120+Forecast!I132)</f>
        <v>0.27605920069693746</v>
      </c>
      <c r="J38" s="230">
        <f>(Forecast!J115+Forecast!J120)/(Forecast!J115+Forecast!J120+Forecast!J132)</f>
        <v>0.25805895127295614</v>
      </c>
      <c r="K38" s="230">
        <f>(Forecast!K115+Forecast!K120)/(Forecast!K115+Forecast!K120+Forecast!K132)</f>
        <v>0.24114122331070761</v>
      </c>
      <c r="L38" s="230">
        <f>(Forecast!L115+Forecast!L120)/(Forecast!L115+Forecast!L120+Forecast!L132)</f>
        <v>0.22527101061862759</v>
      </c>
      <c r="M38" s="230">
        <f>(Forecast!M115+Forecast!M120)/(Forecast!M115+Forecast!M120+Forecast!M132)</f>
        <v>0.21040804859922593</v>
      </c>
    </row>
    <row r="39" spans="2:13" ht="19" x14ac:dyDescent="0.25">
      <c r="B39" s="228" t="s">
        <v>626</v>
      </c>
      <c r="C39" s="291">
        <f>(Forecast!C115+Forecast!C120)/Forecast!C132</f>
        <v>0.29328371433634592</v>
      </c>
      <c r="D39" s="291">
        <f>(Forecast!D115+Forecast!D120)/Forecast!D132</f>
        <v>0.44554652843542841</v>
      </c>
      <c r="E39" s="291">
        <f>(Forecast!E115+Forecast!E120)/Forecast!E132</f>
        <v>0.37046071708013073</v>
      </c>
      <c r="F39" s="291">
        <f>(Forecast!F115+Forecast!F120)/Forecast!F132</f>
        <v>0.51381079214757819</v>
      </c>
      <c r="G39" s="291">
        <f>(Forecast!G115+Forecast!G120)/Forecast!G132</f>
        <v>0.45964562253574653</v>
      </c>
      <c r="H39" s="291">
        <f>(Forecast!H115+Forecast!H120)/Forecast!H132</f>
        <v>0.41878159304556761</v>
      </c>
      <c r="I39" s="291">
        <f>(Forecast!I115+Forecast!I120)/Forecast!I132</f>
        <v>0.38132841934409484</v>
      </c>
      <c r="J39" s="291">
        <f>(Forecast!J115+Forecast!J120)/Forecast!J132</f>
        <v>0.34781597771913364</v>
      </c>
      <c r="K39" s="291">
        <f>(Forecast!K115+Forecast!K120)/Forecast!K132</f>
        <v>0.31776824716022306</v>
      </c>
      <c r="L39" s="291">
        <f>(Forecast!L115+Forecast!L120)/Forecast!L132</f>
        <v>0.29077395283544044</v>
      </c>
      <c r="M39" s="291">
        <f>(Forecast!M115+Forecast!M120)/Forecast!M132</f>
        <v>0.26647694195204491</v>
      </c>
    </row>
    <row r="40" spans="2:13" ht="19" x14ac:dyDescent="0.25">
      <c r="B40" s="228" t="s">
        <v>627</v>
      </c>
      <c r="C40" s="291">
        <f>(Forecast!C115+Forecast!C120)/Forecast!C71</f>
        <v>1.2970219435736676</v>
      </c>
      <c r="D40" s="291">
        <f>(Forecast!D115+Forecast!D120)/Forecast!D71</f>
        <v>1.4021960784313725</v>
      </c>
      <c r="E40" s="291">
        <f>(Forecast!E115+Forecast!E120)/Forecast!E71</f>
        <v>1.4531503881567069</v>
      </c>
      <c r="F40" s="291">
        <f>(Forecast!F115+Forecast!F120)/Forecast!F71</f>
        <v>2.1643465613962185</v>
      </c>
      <c r="G40" s="291">
        <f>(Forecast!G115+Forecast!G120)/Forecast!G71</f>
        <v>1.5237795275590551</v>
      </c>
      <c r="H40" s="291">
        <f>(Forecast!H115+Forecast!H120)/Forecast!H71</f>
        <v>1.5446878820360996</v>
      </c>
      <c r="I40" s="291">
        <f>(Forecast!I115+Forecast!I120)/Forecast!I71</f>
        <v>1.4277894977618961</v>
      </c>
      <c r="J40" s="291">
        <f>(Forecast!J115+Forecast!J120)/Forecast!J71</f>
        <v>1.3197377111757025</v>
      </c>
      <c r="K40" s="291">
        <f>(Forecast!K115+Forecast!K120)/Forecast!K71</f>
        <v>1.2198630323513822</v>
      </c>
      <c r="L40" s="291">
        <f>(Forecast!L115+Forecast!L120)/Forecast!L71</f>
        <v>1.1275466368024361</v>
      </c>
      <c r="M40" s="291">
        <f>(Forecast!M115+Forecast!M120)/Forecast!M71</f>
        <v>1.0422165312394422</v>
      </c>
    </row>
    <row r="41" spans="2:13" ht="19" x14ac:dyDescent="0.25">
      <c r="B41" s="228" t="s">
        <v>761</v>
      </c>
      <c r="C41" s="291">
        <f>(Forecast!C115+Forecast!C120)/Forecast!C88</f>
        <v>1.0809928151534944</v>
      </c>
      <c r="D41" s="291">
        <f>(Forecast!D115+Forecast!D120)/Forecast!D88</f>
        <v>1.463011456628478</v>
      </c>
      <c r="E41" s="291">
        <f>(Forecast!E115+Forecast!E120)/Forecast!E88</f>
        <v>1.1346208063151959</v>
      </c>
      <c r="F41" s="291">
        <f>(Forecast!F115+Forecast!F120)/Forecast!F88</f>
        <v>1.5596646204521636</v>
      </c>
      <c r="G41" s="291">
        <f>(Forecast!G115+Forecast!G120)/Forecast!G88</f>
        <v>1.2776970817377526</v>
      </c>
      <c r="H41" s="291">
        <f>(Forecast!H115+Forecast!H120)/Forecast!H88</f>
        <v>1.2889955799855528</v>
      </c>
      <c r="I41" s="291">
        <f>(Forecast!I115+Forecast!I120)/Forecast!I88</f>
        <v>1.183651653087938</v>
      </c>
      <c r="J41" s="291">
        <f>(Forecast!J115+Forecast!J120)/Forecast!J88</f>
        <v>1.094075650454263</v>
      </c>
      <c r="K41" s="291">
        <f>(Forecast!K115+Forecast!K120)/Forecast!K88</f>
        <v>1.011278551247873</v>
      </c>
      <c r="L41" s="291">
        <f>(Forecast!L115+Forecast!L120)/Forecast!L88</f>
        <v>0.93474734383255353</v>
      </c>
      <c r="M41" s="291">
        <f>(Forecast!M115+Forecast!M120)/Forecast!M88</f>
        <v>0.86400784009889509</v>
      </c>
    </row>
    <row r="42" spans="2:13" ht="19" x14ac:dyDescent="0.25">
      <c r="B42" s="228" t="s">
        <v>628</v>
      </c>
      <c r="C42" s="236">
        <f>(Forecast!C115+Forecast!C120-Forecast!C95-Forecast!C96)/(Forecast!C115+Forecast!C120+Forecast!C132-Forecast!C95-Forecast!C96)</f>
        <v>-0.52061438965238482</v>
      </c>
      <c r="D42" s="236">
        <f>(Forecast!D115+Forecast!D120-Forecast!D95-Forecast!D96)/(Forecast!D115+Forecast!D120+Forecast!D132-Forecast!D95-Forecast!D96)</f>
        <v>-0.26031785916200767</v>
      </c>
      <c r="E42" s="236">
        <f>(Forecast!E115+Forecast!E120-Forecast!E95-Forecast!E96)/(Forecast!E115+Forecast!E120+Forecast!E132-Forecast!E95-Forecast!E96)</f>
        <v>-6.5832720137355902E-2</v>
      </c>
      <c r="F42" s="236">
        <f>(Forecast!F115+Forecast!F120-Forecast!F95-Forecast!F96)/(Forecast!F115+Forecast!F120+Forecast!F132-Forecast!F95-Forecast!F96)</f>
        <v>-2.1874999999999999E-2</v>
      </c>
      <c r="G42" s="236">
        <f>(Forecast!G115+Forecast!G120-Forecast!G95-Forecast!G96)/(Forecast!G115+Forecast!G120+Forecast!G132-Forecast!G95-Forecast!G96)</f>
        <v>-0.26280743851229754</v>
      </c>
      <c r="H42" s="236">
        <f>(Forecast!H115+Forecast!H120-Forecast!H95-Forecast!H96)/(Forecast!H115+Forecast!H120+Forecast!H132-Forecast!H95-Forecast!H96)</f>
        <v>-0.38800494780345213</v>
      </c>
      <c r="I42" s="236">
        <f>(Forecast!I115+Forecast!I120-Forecast!I95-Forecast!I96)/(Forecast!I115+Forecast!I120+Forecast!I132-Forecast!I95-Forecast!I96)</f>
        <v>-0.52069896952903039</v>
      </c>
      <c r="J42" s="236">
        <f>(Forecast!J115+Forecast!J120-Forecast!J95-Forecast!J96)/(Forecast!J115+Forecast!J120+Forecast!J132-Forecast!J95-Forecast!J96)</f>
        <v>-0.68155559817537648</v>
      </c>
      <c r="K42" s="236">
        <f>(Forecast!K115+Forecast!K120-Forecast!K95-Forecast!K96)/(Forecast!K115+Forecast!K120+Forecast!K132-Forecast!K95-Forecast!K96)</f>
        <v>-0.80856377200331564</v>
      </c>
      <c r="L42" s="236">
        <f>(Forecast!L115+Forecast!L120-Forecast!L95-Forecast!L96)/(Forecast!L115+Forecast!L120+Forecast!L132-Forecast!L95-Forecast!L96)</f>
        <v>-1.0440581951963499</v>
      </c>
      <c r="M42" s="236">
        <f>(Forecast!M115+Forecast!M120-Forecast!M95-Forecast!M96)/(Forecast!M115+Forecast!M120+Forecast!M132-Forecast!M95-Forecast!M96)</f>
        <v>-1.2244521157842116</v>
      </c>
    </row>
    <row r="43" spans="2:13" ht="19" x14ac:dyDescent="0.25">
      <c r="B43" s="228" t="s">
        <v>629</v>
      </c>
      <c r="C43" s="290">
        <f>(Forecast!C115+Forecast!C120-Forecast!C95-Forecast!C96)/Forecast!C132</f>
        <v>-0.34237107921318449</v>
      </c>
      <c r="D43" s="290">
        <f>(Forecast!D115+Forecast!D120-Forecast!D95-Forecast!D96)/Forecast!D132</f>
        <v>-0.20654936948611874</v>
      </c>
      <c r="E43" s="290">
        <f>(Forecast!E115+Forecast!E120-Forecast!E95-Forecast!E96)/Forecast!E132</f>
        <v>-6.1766465687853822E-2</v>
      </c>
      <c r="F43" s="290">
        <f>(Forecast!F115+Forecast!F120-Forecast!F95-Forecast!F96)/Forecast!F132</f>
        <v>-2.1406727828746176E-2</v>
      </c>
      <c r="G43" s="290">
        <f>(Forecast!G115+Forecast!G120-Forecast!G95-Forecast!G96)/Forecast!G132</f>
        <v>-0.20811362880623249</v>
      </c>
      <c r="H43" s="290">
        <f>(Forecast!H115+Forecast!H120-Forecast!H95-Forecast!H96)/Forecast!H132</f>
        <v>-0.27954147311756944</v>
      </c>
      <c r="I43" s="290">
        <f>(Forecast!I115+Forecast!I120-Forecast!I95-Forecast!I96)/Forecast!I132</f>
        <v>-0.34240765592830907</v>
      </c>
      <c r="J43" s="290">
        <f>(Forecast!J115+Forecast!J120-Forecast!J95-Forecast!J96)/Forecast!J132</f>
        <v>-0.40531255637037467</v>
      </c>
      <c r="K43" s="290">
        <f>(Forecast!K115+Forecast!K120-Forecast!K95-Forecast!K96)/Forecast!K132</f>
        <v>-0.44707506836083705</v>
      </c>
      <c r="L43" s="290">
        <f>(Forecast!L115+Forecast!L120-Forecast!L95-Forecast!L96)/Forecast!L132</f>
        <v>-0.51077713817050052</v>
      </c>
      <c r="M43" s="290">
        <f>(Forecast!M115+Forecast!M120-Forecast!M95-Forecast!M96)/Forecast!M132</f>
        <v>-0.55045110078826831</v>
      </c>
    </row>
    <row r="44" spans="2:13" ht="19" x14ac:dyDescent="0.25">
      <c r="B44" s="228" t="s">
        <v>630</v>
      </c>
      <c r="C44" s="290">
        <f>(Forecast!C115+Forecast!C120-Forecast!C95-Forecast!C96)/Forecast!C71</f>
        <v>-1.5141065830721003</v>
      </c>
      <c r="D44" s="290">
        <f>(Forecast!D115+Forecast!D120-Forecast!D95-Forecast!D96)/Forecast!D71</f>
        <v>-0.65003921568627454</v>
      </c>
      <c r="E44" s="290">
        <f>(Forecast!E115+Forecast!E120-Forecast!E95-Forecast!E96)/Forecast!E71</f>
        <v>-0.242282000361076</v>
      </c>
      <c r="F44" s="290">
        <f>(Forecast!F115+Forecast!F120-Forecast!F95-Forecast!F96)/Forecast!F71</f>
        <v>-9.0172449615624345E-2</v>
      </c>
      <c r="G44" s="290">
        <f>(Forecast!G115+Forecast!G120-Forecast!G95-Forecast!G96)/Forecast!G71</f>
        <v>-0.68992125984251973</v>
      </c>
      <c r="H44" s="290">
        <f>(Forecast!H115+Forecast!H120-Forecast!H95-Forecast!H96)/Forecast!H71</f>
        <v>-1.031096717768694</v>
      </c>
      <c r="I44" s="290">
        <f>(Forecast!I115+Forecast!I120-Forecast!I95-Forecast!I96)/Forecast!I71</f>
        <v>-1.2820603718144548</v>
      </c>
      <c r="J44" s="290">
        <f>(Forecast!J115+Forecast!J120-Forecast!J95-Forecast!J96)/Forecast!J71</f>
        <v>-1.5379002108032991</v>
      </c>
      <c r="K44" s="290">
        <f>(Forecast!K115+Forecast!K120-Forecast!K95-Forecast!K96)/Forecast!K71</f>
        <v>-1.7162518705160903</v>
      </c>
      <c r="L44" s="290">
        <f>(Forecast!L115+Forecast!L120-Forecast!L95-Forecast!L96)/Forecast!L71</f>
        <v>-1.9806624310178773</v>
      </c>
      <c r="M44" s="290">
        <f>(Forecast!M115+Forecast!M120-Forecast!M95-Forecast!M96)/Forecast!M71</f>
        <v>-2.1528663331168159</v>
      </c>
    </row>
    <row r="45" spans="2:13" ht="19" x14ac:dyDescent="0.25">
      <c r="B45" s="228" t="s">
        <v>762</v>
      </c>
      <c r="C45" s="290">
        <f>(Forecast!C115+Forecast!C120-Forecast!C95-Forecast!C96)/Forecast!C88</f>
        <v>-1.2619203135205748</v>
      </c>
      <c r="D45" s="290">
        <f>(Forecast!D115+Forecast!D120-Forecast!D95-Forecast!D96)/Forecast!D88</f>
        <v>-0.67823240589198031</v>
      </c>
      <c r="E45" s="290">
        <f>(Forecast!E115+Forecast!E120-Forecast!E95-Forecast!E96)/Forecast!E88</f>
        <v>-0.18917394981674654</v>
      </c>
      <c r="F45" s="290">
        <f>(Forecast!F115+Forecast!F120-Forecast!F95-Forecast!F96)/Forecast!F88</f>
        <v>-6.4979787393322358E-2</v>
      </c>
      <c r="G45" s="290">
        <f>(Forecast!G115+Forecast!G120-Forecast!G95-Forecast!G96)/Forecast!G88</f>
        <v>-0.57850257493727719</v>
      </c>
      <c r="H45" s="290">
        <f>(Forecast!H115+Forecast!H120-Forecast!H95-Forecast!H96)/Forecast!H88</f>
        <v>-0.86041920001959105</v>
      </c>
      <c r="I45" s="290">
        <f>(Forecast!I115+Forecast!I120-Forecast!I95-Forecast!I96)/Forecast!I88</f>
        <v>-1.062840762476166</v>
      </c>
      <c r="J45" s="290">
        <f>(Forecast!J115+Forecast!J120-Forecast!J95-Forecast!J96)/Forecast!J88</f>
        <v>-1.2749345261714344</v>
      </c>
      <c r="K45" s="290">
        <f>(Forecast!K115+Forecast!K120-Forecast!K95-Forecast!K96)/Forecast!K88</f>
        <v>-1.4227898207936027</v>
      </c>
      <c r="L45" s="290">
        <f>(Forecast!L115+Forecast!L120-Forecast!L95-Forecast!L96)/Forecast!L88</f>
        <v>-1.6419887976192749</v>
      </c>
      <c r="M45" s="290">
        <f>(Forecast!M115+Forecast!M120-Forecast!M95-Forecast!M96)/Forecast!M88</f>
        <v>-1.7847475402120108</v>
      </c>
    </row>
    <row r="46" spans="2:13" ht="19" x14ac:dyDescent="0.25">
      <c r="B46" s="228" t="s">
        <v>631</v>
      </c>
      <c r="C46" s="291">
        <f>(Forecast!C115+Forecast!C120)/(Forecast!C157-Forecast!C160)</f>
        <v>1.0435056746532156</v>
      </c>
      <c r="D46" s="291">
        <f>(Forecast!D115+Forecast!D120)/(Forecast!D157-Forecast!D160)</f>
        <v>1.2834170854271356</v>
      </c>
      <c r="E46" s="291">
        <f>(Forecast!E115+Forecast!E120)/(Forecast!E157-Forecast!E160)</f>
        <v>1.2013432835820896</v>
      </c>
      <c r="F46" s="291">
        <f>(Forecast!F115+Forecast!F120)/(Forecast!F157-Forecast!F160)</f>
        <v>1.5991710162726436</v>
      </c>
      <c r="G46" s="291">
        <f>(Forecast!G115+Forecast!G120)/(Forecast!G157-Forecast!G160)</f>
        <v>1.7849105331119719</v>
      </c>
      <c r="H46" s="291">
        <f>(Forecast!H115+Forecast!H120)/(Forecast!H157-Forecast!H160)</f>
        <v>1.2612833973059849</v>
      </c>
      <c r="I46" s="291">
        <f>(Forecast!I115+Forecast!I120)/(Forecast!I157-Forecast!I160)</f>
        <v>1.1632817067490198</v>
      </c>
      <c r="J46" s="291">
        <f>(Forecast!J115+Forecast!J120)/(Forecast!J157-Forecast!J160)</f>
        <v>1.0345075888309514</v>
      </c>
      <c r="K46" s="291">
        <f>(Forecast!K115+Forecast!K120)/(Forecast!K157-Forecast!K160)</f>
        <v>1.0129258753668204</v>
      </c>
      <c r="L46" s="291">
        <f>(Forecast!L115+Forecast!L120)/(Forecast!L157-Forecast!L160)</f>
        <v>0.86100639126339196</v>
      </c>
      <c r="M46" s="291">
        <f>(Forecast!M115+Forecast!M120)/(Forecast!M157-Forecast!M160)</f>
        <v>0.8383360482363249</v>
      </c>
    </row>
    <row r="47" spans="2:13" ht="19" x14ac:dyDescent="0.25">
      <c r="B47" s="228" t="s">
        <v>632</v>
      </c>
      <c r="C47" s="291">
        <f>Forecast!C111/Forecast!C132</f>
        <v>3.0322523480418218</v>
      </c>
      <c r="D47" s="291">
        <f>Forecast!D111/Forecast!D132</f>
        <v>3.5079001146388875</v>
      </c>
      <c r="E47" s="291">
        <f>Forecast!E111/Forecast!E132</f>
        <v>3.4888847977171262</v>
      </c>
      <c r="F47" s="291">
        <f>Forecast!F111/Forecast!F132</f>
        <v>3.8780704350399526</v>
      </c>
      <c r="G47" s="291">
        <f>Forecast!G111/Forecast!G132</f>
        <v>3.9031874970310199</v>
      </c>
      <c r="H47" s="291">
        <f>Forecast!H111/Forecast!H132</f>
        <v>3.8403821142578076</v>
      </c>
      <c r="I47" s="291">
        <f>Forecast!I111/Forecast!I132</f>
        <v>3.8015984327864412</v>
      </c>
      <c r="J47" s="291">
        <f>Forecast!J111/Forecast!J132</f>
        <v>3.7654693928870828</v>
      </c>
      <c r="K47" s="291">
        <f>Forecast!K111/Forecast!K132</f>
        <v>3.7394506826919556</v>
      </c>
      <c r="L47" s="291">
        <f>Forecast!L111/Forecast!L132</f>
        <v>3.7346427563431819</v>
      </c>
      <c r="M47" s="291">
        <f>Forecast!M111/Forecast!M132</f>
        <v>3.721034536327295</v>
      </c>
    </row>
    <row r="48" spans="2:13" ht="19" x14ac:dyDescent="0.25">
      <c r="B48" s="64"/>
    </row>
    <row r="49" spans="2:13" ht="19" x14ac:dyDescent="0.25">
      <c r="B49" s="141" t="s">
        <v>633</v>
      </c>
    </row>
    <row r="50" spans="2:13" ht="19" x14ac:dyDescent="0.25">
      <c r="B50" s="228" t="s">
        <v>634</v>
      </c>
      <c r="C50" s="114">
        <f>Forecast!C73/Forecast!C22</f>
        <v>0.42806811509101583</v>
      </c>
      <c r="D50" s="114">
        <f>Forecast!D73/Forecast!D22</f>
        <v>0.62100347263800737</v>
      </c>
      <c r="E50" s="114">
        <f>Forecast!E73/Forecast!E22</f>
        <v>0.44189412737799832</v>
      </c>
      <c r="F50" s="114">
        <f>Forecast!F73/Forecast!F22</f>
        <v>0.35933806146572106</v>
      </c>
      <c r="G50" s="114">
        <f>Forecast!G73/Forecast!G22</f>
        <v>0.60251141552511411</v>
      </c>
      <c r="H50" s="114">
        <f>Forecast!H73/Forecast!H22</f>
        <v>0.53858447488584449</v>
      </c>
      <c r="I50" s="114">
        <f>Forecast!I73/Forecast!I22</f>
        <v>0.53858447488584438</v>
      </c>
      <c r="J50" s="114">
        <f>Forecast!J73/Forecast!J22</f>
        <v>0.53858447488584471</v>
      </c>
      <c r="K50" s="114">
        <f>Forecast!K73/Forecast!K22</f>
        <v>0.53858447488584449</v>
      </c>
      <c r="L50" s="114">
        <f>Forecast!L73/Forecast!L22</f>
        <v>0.53858447488584471</v>
      </c>
      <c r="M50" s="114">
        <f>Forecast!M73/Forecast!M22</f>
        <v>0.53858447488584471</v>
      </c>
    </row>
    <row r="51" spans="2:13" ht="19" x14ac:dyDescent="0.25">
      <c r="B51" s="228" t="s">
        <v>635</v>
      </c>
      <c r="C51" s="114">
        <f>Forecast!C73/Forecast!C40</f>
        <v>5.4100185528756954</v>
      </c>
      <c r="D51" s="114">
        <f>Forecast!D73/Forecast!D40</f>
        <v>6.0092699884125143</v>
      </c>
      <c r="E51" s="237">
        <f>Forecast!E73/Forecast!E40</f>
        <v>-61.057142857142857</v>
      </c>
      <c r="F51" s="114">
        <f>Forecast!F73/Forecast!F40</f>
        <v>3.6916578669482578</v>
      </c>
      <c r="G51" s="114">
        <f>Forecast!G73/Forecast!G40</f>
        <v>4.5304721030042918</v>
      </c>
      <c r="H51" s="114">
        <f>Forecast!H73/Forecast!H40</f>
        <v>4.5442286947141319</v>
      </c>
      <c r="I51" s="114">
        <f>Forecast!I73/Forecast!I40</f>
        <v>4.5442286947141319</v>
      </c>
      <c r="J51" s="114">
        <f>Forecast!J73/Forecast!J40</f>
        <v>4.5442286947141319</v>
      </c>
      <c r="K51" s="114">
        <f>Forecast!K73/Forecast!K40</f>
        <v>4.5442286947141319</v>
      </c>
      <c r="L51" s="114">
        <f>Forecast!L73/Forecast!L40</f>
        <v>4.5442286947141319</v>
      </c>
      <c r="M51" s="114">
        <f>Forecast!M73/Forecast!M40</f>
        <v>4.5442286947141319</v>
      </c>
    </row>
    <row r="52" spans="2:13" ht="19" x14ac:dyDescent="0.25">
      <c r="B52" s="228" t="s">
        <v>636</v>
      </c>
      <c r="C52" s="114">
        <f>Forecast!C71/Forecast!C22</f>
        <v>0.56194950088079854</v>
      </c>
      <c r="D52" s="114">
        <f>Forecast!D71/Forecast!D22</f>
        <v>0.76338163094240208</v>
      </c>
      <c r="E52" s="114">
        <f>Forecast!E71/Forecast!E22</f>
        <v>0.57268403639371379</v>
      </c>
      <c r="F52" s="114">
        <f>Forecast!F71/Forecast!F22</f>
        <v>0.49470654743550213</v>
      </c>
      <c r="G52" s="114">
        <f>Forecast!G71/Forecast!G22</f>
        <v>0.72488584474885842</v>
      </c>
      <c r="H52" s="114">
        <f>Forecast!H71/Forecast!H22</f>
        <v>0.6609589041095888</v>
      </c>
      <c r="I52" s="114">
        <f>Forecast!I71/Forecast!I22</f>
        <v>0.66095890410958857</v>
      </c>
      <c r="J52" s="114">
        <f>Forecast!J71/Forecast!J22</f>
        <v>0.66095890410958902</v>
      </c>
      <c r="K52" s="114">
        <f>Forecast!K71/Forecast!K22</f>
        <v>0.66095890410958869</v>
      </c>
      <c r="L52" s="114">
        <f>Forecast!L71/Forecast!L22</f>
        <v>0.66095890410958902</v>
      </c>
      <c r="M52" s="114">
        <f>Forecast!M71/Forecast!M22</f>
        <v>0.66095890410958902</v>
      </c>
    </row>
    <row r="53" spans="2:13" ht="19" x14ac:dyDescent="0.25">
      <c r="B53" s="228" t="s">
        <v>637</v>
      </c>
      <c r="C53" s="114">
        <f>Forecast!C88/Forecast!C22</f>
        <v>0.67425132119788611</v>
      </c>
      <c r="D53" s="114">
        <f>Forecast!D88/Forecast!D22</f>
        <v>0.73164890432283558</v>
      </c>
      <c r="E53" s="114">
        <f>Forecast!E88/Forecast!E22</f>
        <v>0.73345740281224148</v>
      </c>
      <c r="F53" s="114">
        <f>Forecast!F88/Forecast!F22</f>
        <v>0.68650426559769762</v>
      </c>
      <c r="G53" s="114">
        <f>Forecast!G88/Forecast!G22</f>
        <v>0.86449771689497712</v>
      </c>
      <c r="H53" s="114">
        <f>Forecast!H88/Forecast!H22</f>
        <v>0.79207037289715576</v>
      </c>
      <c r="I53" s="114">
        <f>Forecast!I88/Forecast!I22</f>
        <v>0.7972870897260268</v>
      </c>
      <c r="J53" s="114">
        <f>Forecast!J88/Forecast!J22</f>
        <v>0.79728708972602724</v>
      </c>
      <c r="K53" s="114">
        <f>Forecast!K88/Forecast!K22</f>
        <v>0.79728708972602691</v>
      </c>
      <c r="L53" s="114">
        <f>Forecast!L88/Forecast!L22</f>
        <v>0.79728708972602735</v>
      </c>
      <c r="M53" s="114">
        <f>Forecast!M88/Forecast!M22</f>
        <v>0.79728708972602746</v>
      </c>
    </row>
    <row r="55" spans="2:13" ht="19" x14ac:dyDescent="0.25">
      <c r="B55" s="337"/>
      <c r="C55" s="338"/>
      <c r="D55" s="338"/>
      <c r="E55" s="338"/>
      <c r="F55" s="338"/>
      <c r="G55" s="338"/>
      <c r="H55" s="338"/>
      <c r="I55" s="338"/>
      <c r="J55" s="338"/>
      <c r="K55" s="338"/>
      <c r="L55" s="338"/>
      <c r="M55" s="338"/>
    </row>
    <row r="57" spans="2:13" ht="19" x14ac:dyDescent="0.25">
      <c r="B57" s="23" t="s">
        <v>779</v>
      </c>
      <c r="C57" s="23"/>
      <c r="D57" s="23"/>
      <c r="E57" s="23"/>
      <c r="F57" s="23"/>
      <c r="G57" s="23"/>
      <c r="H57" s="23"/>
      <c r="I57" s="23"/>
      <c r="J57" s="23"/>
      <c r="K57" s="23"/>
      <c r="L57" s="23"/>
      <c r="M57" s="23"/>
    </row>
    <row r="58" spans="2:13" x14ac:dyDescent="0.2">
      <c r="B58" s="113"/>
      <c r="C58" s="359"/>
      <c r="D58" s="358">
        <f t="shared" ref="D58" si="1">E58-0.25%</f>
        <v>3.8516488832089003E-2</v>
      </c>
      <c r="E58" s="358">
        <f>F58-0.25%</f>
        <v>4.1016488832089006E-2</v>
      </c>
      <c r="F58" s="358">
        <f>Growth</f>
        <v>4.3516488832089008E-2</v>
      </c>
      <c r="G58" s="358">
        <f>F58+0.25%</f>
        <v>4.601648883208901E-2</v>
      </c>
      <c r="H58" s="358">
        <f t="shared" ref="H58" si="2">G58+0.25%</f>
        <v>4.8516488832089012E-2</v>
      </c>
    </row>
    <row r="59" spans="2:13" ht="19" x14ac:dyDescent="0.25">
      <c r="B59" s="356" t="s">
        <v>778</v>
      </c>
      <c r="C59" s="358">
        <f t="shared" ref="C59" si="3">C60-0.5%</f>
        <v>0.10251257228715403</v>
      </c>
      <c r="D59" s="360">
        <f>(((SUM('Fair Value Estimate'!$H$55:$M$55))+(((('Fair Value Estimate'!$M$35*(1-D$58/50%))*(1+D$58)/($C59-D$58))-(('Fair Value Estimate'!K33*(1-D$58/50%))*((1+D$58)^(5+1))/($C59-D$58))/((1+$C59)^6))/((1+$C59)^6))+((('Fair Value Estimate'!$M$35*((1+D$58)^(5+1))/$C59))/((1+$C59)^(1+5))))+('Fair Value Estimate'!$H$9+'Fair Value Estimate'!$H$10+'Fair Value Estimate'!$H$12))/'Fair Value Estimate'!$H$15</f>
        <v>135.86626330588109</v>
      </c>
      <c r="E59" s="360">
        <f>(((SUM('Fair Value Estimate'!$H$55:$M$55))+(((('Fair Value Estimate'!$M$35*(1-E$58/50%))*(1+E$58)/($C59-E$58))-(('Fair Value Estimate'!L33*(1-E$58/50%))*((1+E$58)^(5+1))/($C59-E$58))/((1+$C59)^6))/((1+$C59)^6))+((('Fair Value Estimate'!$M$35*((1+E$58)^(5+1))/$C59))/((1+$C59)^(1+5))))+('Fair Value Estimate'!$H$9+'Fair Value Estimate'!$H$10+'Fair Value Estimate'!$H$12))/'Fair Value Estimate'!$H$15</f>
        <v>138.75806523580843</v>
      </c>
      <c r="F59" s="360">
        <f>(((SUM('Fair Value Estimate'!$H$55:$M$55))+(((('Fair Value Estimate'!$M$35*(1-F$58/50%))*(1+F$58)/($C59-F$58))-(('Fair Value Estimate'!M33*(1-F$58/50%))*((1+F$58)^(5+1))/($C59-F$58))/((1+$C59)^6))/((1+$C59)^6))+((('Fair Value Estimate'!$M$35*((1+F$58)^(5+1))/$C59))/((1+$C59)^(1+5))))+('Fair Value Estimate'!$H$9+'Fair Value Estimate'!$H$10+'Fair Value Estimate'!$H$12))/'Fair Value Estimate'!$H$15</f>
        <v>141.84276636740884</v>
      </c>
      <c r="G59" s="360">
        <f>(((SUM('Fair Value Estimate'!$H$55:$M$55))+(((('Fair Value Estimate'!$M$35*(1-G$58/50%))*(1+G$58)/($C59-G$58))-(('Fair Value Estimate'!N33*(1-G$58/50%))*((1+G$58)^(5+1))/($C59-G$58))/((1+$C59)^6))/((1+$C59)^6))+((('Fair Value Estimate'!$M$35*((1+G$58)^(5+1))/$C59))/((1+$C59)^(1+5))))+('Fair Value Estimate'!$H$9+'Fair Value Estimate'!$H$10+'Fair Value Estimate'!$H$12))/'Fair Value Estimate'!$H$15</f>
        <v>145.1449405395559</v>
      </c>
      <c r="H59" s="360">
        <f>(((SUM('Fair Value Estimate'!$H$55:$M$55))+(((('Fair Value Estimate'!$M$35*(1-H$58/50%))*(1+H$58)/($C59-H$58))-(('Fair Value Estimate'!O33*(1-H$58/50%))*((1+H$58)^(5+1))/($C59-H$58))/((1+$C59)^6))/((1+$C59)^6))+((('Fair Value Estimate'!$M$35*((1+H$58)^(5+1))/$C59))/((1+$C59)^(1+5))))+('Fair Value Estimate'!$H$9+'Fair Value Estimate'!$H$10+'Fair Value Estimate'!$H$12))/'Fair Value Estimate'!$H$15</f>
        <v>148.69369822022207</v>
      </c>
    </row>
    <row r="60" spans="2:13" ht="19" x14ac:dyDescent="0.25">
      <c r="B60" s="357" t="str">
        <f>Assumptions!F6</f>
        <v>Sustainable</v>
      </c>
      <c r="C60" s="358">
        <f>C61-0.5%</f>
        <v>0.10751257228715404</v>
      </c>
      <c r="D60" s="360">
        <f>(((SUM('Fair Value Estimate'!$H$55:$M$55))+(((('Fair Value Estimate'!$M$35*(1-D$58/50%))*(1+D$58)/($C60-D$58))-(('Fair Value Estimate'!K34*(1-D$58/50%))*((1+D$58)^(5+1))/($C60-D$58))/((1+$C60)^6))/((1+$C60)^6))+((('Fair Value Estimate'!$M$35*((1+D$58)^(5+1))/$C60))/((1+$C60)^(1+5))))+('Fair Value Estimate'!$H$9+'Fair Value Estimate'!$H$10+'Fair Value Estimate'!$H$12))/'Fair Value Estimate'!$H$15</f>
        <v>126.72021195904054</v>
      </c>
      <c r="E60" s="360">
        <f>(((SUM('Fair Value Estimate'!$H$55:$M$55))+(((('Fair Value Estimate'!$M$35*(1-E$58/50%))*(1+E$58)/($C60-E$58))-(('Fair Value Estimate'!L34*(1-E$58/50%))*((1+E$58)^(5+1))/($C60-E$58))/((1+$C60)^6))/((1+$C60)^6))+((('Fair Value Estimate'!$M$35*((1+E$58)^(5+1))/$C60))/((1+$C60)^(1+5))))+('Fair Value Estimate'!$H$9+'Fair Value Estimate'!$H$10+'Fair Value Estimate'!$H$12))/'Fair Value Estimate'!$H$15</f>
        <v>129.18707273462152</v>
      </c>
      <c r="F60" s="360">
        <f>(((SUM('Fair Value Estimate'!$H$55:$M$55))+(((('Fair Value Estimate'!$M$35*(1-F$58/50%))*(1+F$58)/($C60-F$58))-(('Fair Value Estimate'!M34*(1-F$58/50%))*((1+F$58)^(5+1))/($C60-F$58))/((1+$C60)^6))/((1+$C60)^6))+((('Fair Value Estimate'!$M$35*((1+F$58)^(5+1))/$C60))/((1+$C60)^(1+5))))+('Fair Value Estimate'!$H$9+'Fair Value Estimate'!$H$10+'Fair Value Estimate'!$H$12))/'Fair Value Estimate'!$H$15</f>
        <v>131.80256668776332</v>
      </c>
      <c r="G60" s="360">
        <f>(((SUM('Fair Value Estimate'!$H$55:$M$55))+(((('Fair Value Estimate'!$M$35*(1-G$58/50%))*(1+G$58)/($C60-G$58))-(('Fair Value Estimate'!N34*(1-G$58/50%))*((1+G$58)^(5+1))/($C60-G$58))/((1+$C60)^6))/((1+$C60)^6))+((('Fair Value Estimate'!$M$35*((1+G$58)^(5+1))/$C60))/((1+$C60)^(1+5))))+('Fair Value Estimate'!$H$9+'Fair Value Estimate'!$H$10+'Fair Value Estimate'!$H$12))/'Fair Value Estimate'!$H$15</f>
        <v>134.5839455655838</v>
      </c>
      <c r="H60" s="360">
        <f>(((SUM('Fair Value Estimate'!$H$55:$M$55))+(((('Fair Value Estimate'!$M$35*(1-H$58/50%))*(1+H$58)/($C60-H$58))-(('Fair Value Estimate'!O34*(1-H$58/50%))*((1+H$58)^(5+1))/($C60-H$58))/((1+$C60)^6))/((1+$C60)^6))+((('Fair Value Estimate'!$M$35*((1+H$58)^(5+1))/$C60))/((1+$C60)^(1+5))))+('Fair Value Estimate'!$H$9+'Fair Value Estimate'!$H$10+'Fair Value Estimate'!$H$12))/'Fair Value Estimate'!$H$15</f>
        <v>137.55137314002747</v>
      </c>
    </row>
    <row r="61" spans="2:13" x14ac:dyDescent="0.2">
      <c r="C61" s="358">
        <f>WACC</f>
        <v>0.11251257228715404</v>
      </c>
      <c r="D61" s="360">
        <f>(((SUM('Fair Value Estimate'!$H$55:$M$55))+(((('Fair Value Estimate'!$M$35*(1-D$58/50%))*(1+D$58)/($C61-D$58))-(('Fair Value Estimate'!K35*(1-D$58/50%))*((1+D$58)^(5+1))/($C61-D$58))/((1+$C61)^6))/((1+$C61)^6))+((('Fair Value Estimate'!$M$35*((1+D$58)^(5+1))/$C61))/((1+$C61)^(1+5))))+('Fair Value Estimate'!$H$9+'Fair Value Estimate'!$H$10+'Fair Value Estimate'!$H$12))/'Fair Value Estimate'!$H$15</f>
        <v>92.423941616046363</v>
      </c>
      <c r="E61" s="360">
        <f>(((SUM('Fair Value Estimate'!$H$55:$M$55))+(((('Fair Value Estimate'!$M$35*(1-E$58/50%))*(1+E$58)/($C61-E$58))-(('Fair Value Estimate'!L35*(1-E$58/50%))*((1+E$58)^(5+1))/($C61-E$58))/((1+$C61)^6))/((1+$C61)^6))+((('Fair Value Estimate'!$M$35*((1+E$58)^(5+1))/$C61))/((1+$C61)^(1+5))))+('Fair Value Estimate'!$H$9+'Fair Value Estimate'!$H$10+'Fair Value Estimate'!$H$12))/'Fair Value Estimate'!$H$15</f>
        <v>91.329102914389026</v>
      </c>
      <c r="F61" s="360">
        <f>(((SUM('Fair Value Estimate'!$H$55:$M$55))+(((('Fair Value Estimate'!$M$35*(1-F$58/50%))*(1+F$58)/($C61-F$58))-(('Fair Value Estimate'!M35*(1-F$58/50%))*((1+F$58)^(5+1))/($C61-F$58))/((1+$C61)^6))/((1+$C61)^6))+((('Fair Value Estimate'!$M$35*((1+F$58)^(5+1))/$C61))/((1+$C61)^(1+5))))+('Fair Value Estimate'!$H$9+'Fair Value Estimate'!$H$10+'Fair Value Estimate'!$H$12))/'Fair Value Estimate'!$H$15</f>
        <v>89.724397675989053</v>
      </c>
      <c r="G61" s="360">
        <f>(((SUM('Fair Value Estimate'!$H$55:$M$55))+(((('Fair Value Estimate'!$M$35*(1-G$58/50%))*(1+G$58)/($C61-G$58))-(('Fair Value Estimate'!N35*(1-G$58/50%))*((1+G$58)^(5+1))/($C61-G$58))/((1+$C61)^6))/((1+$C61)^6))+((('Fair Value Estimate'!$M$35*((1+G$58)^(5+1))/$C61))/((1+$C61)^(1+5))))+('Fair Value Estimate'!$H$9+'Fair Value Estimate'!$H$10+'Fair Value Estimate'!$H$12))/'Fair Value Estimate'!$H$15</f>
        <v>125.47423924550483</v>
      </c>
      <c r="H61" s="360">
        <f>(((SUM('Fair Value Estimate'!$H$55:$M$55))+(((('Fair Value Estimate'!$M$35*(1-H$58/50%))*(1+H$58)/($C61-H$58))-(('Fair Value Estimate'!O35*(1-H$58/50%))*((1+H$58)^(5+1))/($C61-H$58))/((1+$C61)^6))/((1+$C61)^6))+((('Fair Value Estimate'!$M$35*((1+H$58)^(5+1))/$C61))/((1+$C61)^(1+5))))+('Fair Value Estimate'!$H$9+'Fair Value Estimate'!$H$10+'Fair Value Estimate'!$H$12))/'Fair Value Estimate'!$H$15</f>
        <v>127.99078774449667</v>
      </c>
    </row>
    <row r="62" spans="2:13" x14ac:dyDescent="0.2">
      <c r="C62" s="358">
        <f>C61+0.5%</f>
        <v>0.11751257228715405</v>
      </c>
      <c r="D62" s="360">
        <f>(((SUM('Fair Value Estimate'!$H$55:$M$55))+(((('Fair Value Estimate'!$M$35*(1-D$58/50%))*(1+D$58)/($C62-D$58))-(('Fair Value Estimate'!K36*(1-D$58/50%))*((1+D$58)^(5+1))/($C62-D$58))/((1+$C62)^6))/((1+$C62)^6))+((('Fair Value Estimate'!$M$35*((1+D$58)^(5+1))/$C62))/((1+$C62)^(1+5))))+('Fair Value Estimate'!$H$9+'Fair Value Estimate'!$H$10+'Fair Value Estimate'!$H$12))/'Fair Value Estimate'!$H$15</f>
        <v>111.69266564259887</v>
      </c>
      <c r="E62" s="360">
        <f>(((SUM('Fair Value Estimate'!$H$55:$M$55))+(((('Fair Value Estimate'!$M$35*(1-E$58/50%))*(1+E$58)/($C62-E$58))-(('Fair Value Estimate'!L36*(1-E$58/50%))*((1+E$58)^(5+1))/($C62-E$58))/((1+$C62)^6))/((1+$C62)^6))+((('Fair Value Estimate'!$M$35*((1+E$58)^(5+1))/$C62))/((1+$C62)^(1+5))))+('Fair Value Estimate'!$H$9+'Fair Value Estimate'!$H$10+'Fair Value Estimate'!$H$12))/'Fair Value Estimate'!$H$15</f>
        <v>113.54513061775522</v>
      </c>
      <c r="F62" s="360">
        <f>(((SUM('Fair Value Estimate'!$H$55:$M$55))+(((('Fair Value Estimate'!$M$35*(1-F$58/50%))*(1+F$58)/($C62-F$58))-(('Fair Value Estimate'!M36*(1-F$58/50%))*((1+F$58)^(5+1))/($C62-F$58))/((1+$C62)^6))/((1+$C62)^6))+((('Fair Value Estimate'!$M$35*((1+F$58)^(5+1))/$C62))/((1+$C62)^(1+5))))+('Fair Value Estimate'!$H$9+'Fair Value Estimate'!$H$10+'Fair Value Estimate'!$H$12))/'Fair Value Estimate'!$H$15</f>
        <v>115.49051408526168</v>
      </c>
      <c r="G62" s="360">
        <f>(((SUM('Fair Value Estimate'!$H$55:$M$55))+(((('Fair Value Estimate'!$M$35*(1-G$58/50%))*(1+G$58)/($C62-G$58))-(('Fair Value Estimate'!N36*(1-G$58/50%))*((1+G$58)^(5+1))/($C62-G$58))/((1+$C62)^6))/((1+$C62)^6))+((('Fair Value Estimate'!$M$35*((1+G$58)^(5+1))/$C62))/((1+$C62)^(1+5))))+('Fair Value Estimate'!$H$9+'Fair Value Estimate'!$H$10+'Fair Value Estimate'!$H$12))/'Fair Value Estimate'!$H$15</f>
        <v>117.5379200221727</v>
      </c>
      <c r="H62" s="360">
        <f>(((SUM('Fair Value Estimate'!$H$55:$M$55))+(((('Fair Value Estimate'!$M$35*(1-H$58/50%))*(1+H$58)/($C62-H$58))-(('Fair Value Estimate'!O36*(1-H$58/50%))*((1+H$58)^(5+1))/($C62-H$58))/((1+$C62)^6))/((1+$C62)^6))+((('Fair Value Estimate'!$M$35*((1+H$58)^(5+1))/$C62))/((1+$C62)^(1+5))))+('Fair Value Estimate'!$H$9+'Fair Value Estimate'!$H$10+'Fair Value Estimate'!$H$12))/'Fair Value Estimate'!$H$15</f>
        <v>119.69776186191434</v>
      </c>
    </row>
    <row r="63" spans="2:13" x14ac:dyDescent="0.2">
      <c r="C63" s="358">
        <f t="shared" ref="C63" si="4">C62+0.5%</f>
        <v>0.12251257228715405</v>
      </c>
      <c r="D63" s="360">
        <f>(((SUM('Fair Value Estimate'!$H$55:$M$55))+(((('Fair Value Estimate'!$M$35*(1-D$58/50%))*(1+D$58)/($C63-D$58))-(('Fair Value Estimate'!K37*(1-D$58/50%))*((1+D$58)^(5+1))/($C63-D$58))/((1+$C63)^6))/((1+$C63)^6))+((('Fair Value Estimate'!$M$35*((1+D$58)^(5+1))/$C63))/((1+$C63)^(1+5))))+('Fair Value Estimate'!$H$9+'Fair Value Estimate'!$H$10+'Fair Value Estimate'!$H$12))/'Fair Value Estimate'!$H$15</f>
        <v>105.45442004268483</v>
      </c>
      <c r="E63" s="360">
        <f>(((SUM('Fair Value Estimate'!$H$55:$M$55))+(((('Fair Value Estimate'!$M$35*(1-E$58/50%))*(1+E$58)/($C63-E$58))-(('Fair Value Estimate'!L37*(1-E$58/50%))*((1+E$58)^(5+1))/($C63-E$58))/((1+$C63)^6))/((1+$C63)^6))+((('Fair Value Estimate'!$M$35*((1+E$58)^(5+1))/$C63))/((1+$C63)^(1+5))))+('Fair Value Estimate'!$H$9+'Fair Value Estimate'!$H$10+'Fair Value Estimate'!$H$12))/'Fair Value Estimate'!$H$15</f>
        <v>107.08068527398027</v>
      </c>
      <c r="F63" s="360">
        <f>(((SUM('Fair Value Estimate'!$H$55:$M$55))+(((('Fair Value Estimate'!$M$35*(1-F$58/50%))*(1+F$58)/($C63-F$58))-(('Fair Value Estimate'!M37*(1-F$58/50%))*((1+F$58)^(5+1))/($C63-F$58))/((1+$C63)^6))/((1+$C63)^6))+((('Fair Value Estimate'!$M$35*((1+F$58)^(5+1))/$C63))/((1+$C63)^(1+5))))+('Fair Value Estimate'!$H$9+'Fair Value Estimate'!$H$10+'Fair Value Estimate'!$H$12))/'Fair Value Estimate'!$H$15</f>
        <v>108.78202365634793</v>
      </c>
      <c r="G63" s="360">
        <f>(((SUM('Fair Value Estimate'!$H$55:$M$55))+(((('Fair Value Estimate'!$M$35*(1-G$58/50%))*(1+G$58)/($C63-G$58))-(('Fair Value Estimate'!N37*(1-G$58/50%))*((1+G$58)^(5+1))/($C63-G$58))/((1+$C63)^6))/((1+$C63)^6))+((('Fair Value Estimate'!$M$35*((1+G$58)^(5+1))/$C63))/((1+$C63)^(1+5))))+('Fair Value Estimate'!$H$9+'Fair Value Estimate'!$H$10+'Fair Value Estimate'!$H$12))/'Fair Value Estimate'!$H$15</f>
        <v>110.5652379143651</v>
      </c>
      <c r="H63" s="360">
        <f>(((SUM('Fair Value Estimate'!$H$55:$M$55))+(((('Fair Value Estimate'!$M$35*(1-H$58/50%))*(1+H$58)/($C63-H$58))-(('Fair Value Estimate'!O37*(1-H$58/50%))*((1+H$58)^(5+1))/($C63-H$58))/((1+$C63)^6))/((1+$C63)^6))+((('Fair Value Estimate'!$M$35*((1+H$58)^(5+1))/$C63))/((1+$C63)^(1+5))))+('Fair Value Estimate'!$H$9+'Fair Value Estimate'!$H$10+'Fair Value Estimate'!$H$12))/'Fair Value Estimate'!$H$15</f>
        <v>112.43804232699812</v>
      </c>
    </row>
  </sheetData>
  <conditionalFormatting sqref="D59:H63">
    <cfRule type="colorScale" priority="12">
      <colorScale>
        <cfvo type="min"/>
        <cfvo type="percentile" val="50"/>
        <cfvo type="max"/>
        <color rgb="FF63BE7B"/>
        <color rgb="FFFFEB84"/>
        <color rgb="FFF8696B"/>
      </colorScale>
    </cfRule>
  </conditionalFormatting>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11</vt:i4>
      </vt:variant>
      <vt:variant>
        <vt:lpstr>Named Ranges</vt:lpstr>
      </vt:variant>
      <vt:variant>
        <vt:i4>5</vt:i4>
      </vt:variant>
    </vt:vector>
  </HeadingPairs>
  <TitlesOfParts>
    <vt:vector size="16" baseType="lpstr">
      <vt:lpstr>Cover</vt:lpstr>
      <vt:lpstr>Summary</vt:lpstr>
      <vt:lpstr>Assumptions</vt:lpstr>
      <vt:lpstr>Income Statement</vt:lpstr>
      <vt:lpstr>Balance Sheet</vt:lpstr>
      <vt:lpstr>Cash Flow</vt:lpstr>
      <vt:lpstr>Forecast</vt:lpstr>
      <vt:lpstr>ROIC</vt:lpstr>
      <vt:lpstr>Fair Value Estimate</vt:lpstr>
      <vt:lpstr>WACC</vt:lpstr>
      <vt:lpstr>Ratios</vt:lpstr>
      <vt:lpstr>G</vt:lpstr>
      <vt:lpstr>Growth</vt:lpstr>
      <vt:lpstr>LENGTH</vt:lpstr>
      <vt:lpstr>RONIC</vt:lpstr>
      <vt:lpstr>WACC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Eduard Tsymbala</dc:creator>
  <cp:lastModifiedBy>Eduard Tsymbala</cp:lastModifiedBy>
  <dcterms:created xsi:type="dcterms:W3CDTF">2024-02-10T03:53:54Z</dcterms:created>
  <dcterms:modified xsi:type="dcterms:W3CDTF">2024-03-11T14:26:53Z</dcterms:modified>
</cp:coreProperties>
</file>