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136a79196adb37b4/Skrivbord/LTH/Examensarbete/Poängbedömning/"/>
    </mc:Choice>
  </mc:AlternateContent>
  <xr:revisionPtr revIDLastSave="2152" documentId="11_AD4D7A0C205A6B9A452FA844A794D2E6693EDF1F" xr6:coauthVersionLast="47" xr6:coauthVersionMax="47" xr10:uidLastSave="{55013B08-4E0B-44D9-8AFE-451A62B0CFE7}"/>
  <bookViews>
    <workbookView xWindow="-120" yWindow="-120" windowWidth="29040" windowHeight="15720" activeTab="3" xr2:uid="{00000000-000D-0000-FFFF-FFFF00000000}"/>
  </bookViews>
  <sheets>
    <sheet name="Sammanfattning" sheetId="1" r:id="rId1"/>
    <sheet name="Stadens utformning" sheetId="2" r:id="rId2"/>
    <sheet name="Kollektivtrafikens infrastruktu" sheetId="4" r:id="rId3"/>
    <sheet name="Fordon och Stödsystem" sheetId="3" r:id="rId4"/>
    <sheet name="Trafikerin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1" l="1"/>
  <c r="D68" i="1"/>
  <c r="E68" i="1" s="1"/>
  <c r="F67" i="1"/>
  <c r="E67" i="1" s="1"/>
  <c r="D67" i="1"/>
  <c r="F66" i="1"/>
  <c r="E66" i="1"/>
  <c r="D66" i="1"/>
  <c r="F65" i="1"/>
  <c r="D65" i="1"/>
  <c r="E65" i="1" s="1"/>
  <c r="F64" i="1"/>
  <c r="D64" i="1"/>
  <c r="E64" i="1" s="1"/>
  <c r="F63" i="1"/>
  <c r="E63" i="1" s="1"/>
  <c r="D63" i="1"/>
  <c r="F62" i="1"/>
  <c r="D62" i="1"/>
  <c r="E62" i="1" s="1"/>
  <c r="F61" i="1"/>
  <c r="D61" i="1"/>
  <c r="E61" i="1" s="1"/>
  <c r="F60" i="1"/>
  <c r="D60" i="1"/>
  <c r="E60" i="1" s="1"/>
  <c r="F59" i="1"/>
  <c r="D59" i="1"/>
  <c r="E59" i="1" s="1"/>
  <c r="F58" i="1"/>
  <c r="E58" i="1"/>
  <c r="D58" i="1"/>
  <c r="F57" i="1"/>
  <c r="D57" i="1"/>
  <c r="E57" i="1" s="1"/>
  <c r="F56" i="1"/>
  <c r="D56" i="1"/>
  <c r="E56" i="1" s="1"/>
  <c r="F55" i="1"/>
  <c r="E55" i="1" s="1"/>
  <c r="D55" i="1"/>
  <c r="F54" i="1"/>
  <c r="D54" i="1"/>
  <c r="E54" i="1" s="1"/>
  <c r="F53" i="1"/>
  <c r="D53" i="1"/>
  <c r="E53" i="1" s="1"/>
  <c r="F52" i="1"/>
  <c r="D52" i="1"/>
  <c r="E52" i="1" s="1"/>
  <c r="F51" i="1"/>
  <c r="D51" i="1"/>
  <c r="E51" i="1" s="1"/>
  <c r="F50" i="1"/>
  <c r="E50" i="1"/>
  <c r="D50" i="1"/>
  <c r="F49" i="1"/>
  <c r="D49" i="1"/>
  <c r="E49" i="1" s="1"/>
  <c r="F48" i="1"/>
  <c r="D48" i="1"/>
  <c r="E48" i="1" s="1"/>
  <c r="F47" i="1"/>
  <c r="E47" i="1" s="1"/>
  <c r="D47" i="1"/>
  <c r="F46" i="1"/>
  <c r="D46" i="1"/>
  <c r="E46" i="1" s="1"/>
  <c r="F45" i="1"/>
  <c r="D45" i="1"/>
  <c r="E45" i="1" s="1"/>
  <c r="F44" i="1"/>
  <c r="D44" i="1"/>
  <c r="E44" i="1" s="1"/>
  <c r="F39" i="1"/>
  <c r="F32" i="1"/>
  <c r="F25" i="1"/>
  <c r="F12" i="1"/>
  <c r="G77" i="4"/>
  <c r="S7" i="4"/>
  <c r="S8" i="4"/>
  <c r="S9" i="4"/>
  <c r="S10" i="4"/>
  <c r="S11" i="4"/>
  <c r="S12" i="4"/>
  <c r="S13" i="4"/>
  <c r="M7" i="4"/>
  <c r="M8" i="4"/>
  <c r="M9" i="4"/>
  <c r="M10" i="4"/>
  <c r="M11" i="4"/>
  <c r="M12" i="4"/>
  <c r="M13" i="4"/>
  <c r="M14" i="4"/>
  <c r="F10" i="3"/>
  <c r="F41" i="2" l="1"/>
  <c r="G41" i="2" s="1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D21" i="1"/>
  <c r="G79" i="4"/>
  <c r="E8" i="4"/>
  <c r="E7" i="4"/>
  <c r="E6" i="4"/>
  <c r="S6" i="4"/>
  <c r="S5" i="4"/>
  <c r="M6" i="4"/>
  <c r="M5" i="4"/>
  <c r="E5" i="4"/>
  <c r="K32" i="2"/>
  <c r="K33" i="2"/>
  <c r="K34" i="2"/>
  <c r="K35" i="2"/>
  <c r="K36" i="2"/>
  <c r="K37" i="2"/>
  <c r="O21" i="2"/>
  <c r="O20" i="2"/>
  <c r="O19" i="2"/>
  <c r="E7" i="2"/>
  <c r="D5" i="1" s="1"/>
  <c r="E39" i="1"/>
  <c r="E32" i="1"/>
  <c r="E25" i="1"/>
  <c r="E12" i="1"/>
  <c r="D17" i="1"/>
  <c r="G10" i="3"/>
  <c r="F43" i="4"/>
  <c r="G43" i="4" s="1"/>
  <c r="E11" i="4"/>
  <c r="F55" i="4" l="1"/>
  <c r="G55" i="4" s="1"/>
  <c r="G58" i="4" s="1"/>
  <c r="D18" i="1" s="1"/>
  <c r="F5" i="4"/>
  <c r="G5" i="4" s="1"/>
  <c r="F7" i="4"/>
  <c r="G7" i="4" s="1"/>
  <c r="F8" i="4"/>
  <c r="G8" i="4" s="1"/>
  <c r="F6" i="4"/>
  <c r="G6" i="4" s="1"/>
  <c r="F83" i="4"/>
  <c r="G83" i="4" s="1"/>
  <c r="E12" i="4"/>
  <c r="E9" i="4"/>
  <c r="E40" i="1"/>
  <c r="F42" i="4"/>
  <c r="G42" i="4" s="1"/>
  <c r="F108" i="4"/>
  <c r="G108" i="4" s="1"/>
  <c r="F107" i="4"/>
  <c r="G107" i="4" s="1"/>
  <c r="F106" i="4"/>
  <c r="G106" i="4" s="1"/>
  <c r="F105" i="4"/>
  <c r="G105" i="4" s="1"/>
  <c r="F100" i="4"/>
  <c r="F99" i="4"/>
  <c r="F98" i="4"/>
  <c r="F97" i="4"/>
  <c r="G60" i="2"/>
  <c r="G59" i="2"/>
  <c r="G61" i="2" s="1"/>
  <c r="F49" i="2"/>
  <c r="G49" i="2" s="1"/>
  <c r="F48" i="2"/>
  <c r="G48" i="2" s="1"/>
  <c r="K41" i="2"/>
  <c r="F62" i="4" l="1"/>
  <c r="G62" i="4" s="1"/>
  <c r="F69" i="4"/>
  <c r="G69" i="4" s="1"/>
  <c r="G73" i="4" s="1"/>
  <c r="D20" i="1" s="1"/>
  <c r="K20" i="2"/>
  <c r="K21" i="2"/>
  <c r="K22" i="2"/>
  <c r="K23" i="2"/>
  <c r="K24" i="2"/>
  <c r="K25" i="2"/>
  <c r="K26" i="2"/>
  <c r="K27" i="2"/>
  <c r="K28" i="2"/>
  <c r="K29" i="2"/>
  <c r="K30" i="2"/>
  <c r="K31" i="2"/>
  <c r="K19" i="2"/>
  <c r="R11" i="2"/>
  <c r="O14" i="2" s="1"/>
  <c r="O12" i="2"/>
  <c r="O13" i="2" s="1"/>
  <c r="J12" i="2"/>
  <c r="J13" i="2" s="1"/>
  <c r="G100" i="4"/>
  <c r="F29" i="5"/>
  <c r="D38" i="1" s="1"/>
  <c r="F22" i="5"/>
  <c r="D37" i="1" s="1"/>
  <c r="F15" i="5"/>
  <c r="D36" i="1" s="1"/>
  <c r="F6" i="5"/>
  <c r="F8" i="5"/>
  <c r="D35" i="1" s="1"/>
  <c r="F109" i="4"/>
  <c r="G98" i="4"/>
  <c r="G99" i="4"/>
  <c r="G97" i="4"/>
  <c r="G65" i="4"/>
  <c r="G64" i="4"/>
  <c r="G63" i="4"/>
  <c r="G56" i="4"/>
  <c r="D31" i="1"/>
  <c r="G12" i="3"/>
  <c r="D29" i="1" s="1"/>
  <c r="F17" i="3"/>
  <c r="D30" i="1" s="1"/>
  <c r="F7" i="3"/>
  <c r="D28" i="1" s="1"/>
  <c r="D11" i="1"/>
  <c r="G56" i="2"/>
  <c r="D10" i="1" s="1"/>
  <c r="G50" i="2"/>
  <c r="D9" i="1" s="1"/>
  <c r="G45" i="2"/>
  <c r="D8" i="1" s="1"/>
  <c r="F11" i="2"/>
  <c r="F12" i="2"/>
  <c r="F13" i="2"/>
  <c r="E19" i="2" l="1"/>
  <c r="E20" i="2" s="1"/>
  <c r="E21" i="2" s="1"/>
  <c r="E22" i="2" s="1"/>
  <c r="O15" i="2"/>
  <c r="J14" i="2"/>
  <c r="J15" i="2" s="1"/>
  <c r="L16" i="2"/>
  <c r="D39" i="1"/>
  <c r="D32" i="1"/>
  <c r="G101" i="4"/>
  <c r="D23" i="1" s="1"/>
  <c r="D19" i="1"/>
  <c r="F10" i="2" l="1"/>
  <c r="F14" i="2" s="1"/>
  <c r="D6" i="1" s="1"/>
  <c r="M14" i="1"/>
  <c r="M6" i="1"/>
  <c r="M15" i="1"/>
  <c r="M16" i="1"/>
  <c r="M7" i="1"/>
  <c r="M17" i="1"/>
  <c r="G109" i="4"/>
  <c r="D24" i="1" s="1"/>
  <c r="G44" i="4"/>
  <c r="D16" i="1" s="1"/>
  <c r="G87" i="4"/>
  <c r="D22" i="1" s="1"/>
  <c r="E23" i="2" l="1"/>
  <c r="G51" i="4"/>
  <c r="G9" i="4"/>
  <c r="F19" i="2" l="1"/>
  <c r="G19" i="2" s="1"/>
  <c r="F20" i="2"/>
  <c r="G20" i="2" s="1"/>
  <c r="F21" i="2"/>
  <c r="G21" i="2" s="1"/>
  <c r="F22" i="2"/>
  <c r="G22" i="2" s="1"/>
  <c r="D15" i="1"/>
  <c r="G23" i="2" l="1"/>
  <c r="D7" i="1" s="1"/>
  <c r="D40" i="1" s="1"/>
  <c r="D25" i="1"/>
  <c r="D12" i="1" l="1"/>
  <c r="M10" i="1" s="1"/>
  <c r="M11" i="1" s="1"/>
  <c r="M5" i="1"/>
  <c r="M13" i="1"/>
  <c r="M12" i="1"/>
  <c r="M4" i="1" l="1"/>
  <c r="N7" i="1" s="1"/>
  <c r="N4" i="1" l="1"/>
  <c r="N5" i="1"/>
  <c r="N6" i="1"/>
</calcChain>
</file>

<file path=xl/sharedStrings.xml><?xml version="1.0" encoding="utf-8"?>
<sst xmlns="http://schemas.openxmlformats.org/spreadsheetml/2006/main" count="379" uniqueCount="197">
  <si>
    <t>Stadens Utformning</t>
  </si>
  <si>
    <t>Samplanering</t>
  </si>
  <si>
    <t>Genhet</t>
  </si>
  <si>
    <t>Hållplatsavstånd</t>
  </si>
  <si>
    <t>Tvära kurvor</t>
  </si>
  <si>
    <t>Barriäreffekt</t>
  </si>
  <si>
    <t>Cykelstråk</t>
  </si>
  <si>
    <t>Anslutningar till hållplatser</t>
  </si>
  <si>
    <t>Fordon och stödsystem</t>
  </si>
  <si>
    <t>Identitet</t>
  </si>
  <si>
    <t>Realtidsinformation</t>
  </si>
  <si>
    <t>Påstigning i alla dörrar</t>
  </si>
  <si>
    <t>Regularitetsstöd</t>
  </si>
  <si>
    <t>Kollektivtrafikens infrastruktur</t>
  </si>
  <si>
    <t>Busskörfält eller bussgata</t>
  </si>
  <si>
    <t>Busskörfältens placering</t>
  </si>
  <si>
    <t>Annan användning av busskörfälten</t>
  </si>
  <si>
    <t>Utfarter i busskörfält</t>
  </si>
  <si>
    <t>Gatuparkering</t>
  </si>
  <si>
    <t>Farthinder</t>
  </si>
  <si>
    <t>Bussprioritet i korsningar</t>
  </si>
  <si>
    <t>Svängande trafik som korsar bussens körväg</t>
  </si>
  <si>
    <t>Hållplatstyper och plant insteg</t>
  </si>
  <si>
    <t>Utrustning på hållplatser</t>
  </si>
  <si>
    <t>Trafikering</t>
  </si>
  <si>
    <t>Turtäthet dagtid</t>
  </si>
  <si>
    <t>Turtäthet kvällar och helger</t>
  </si>
  <si>
    <t>Öppetider vardag</t>
  </si>
  <si>
    <t>Öppetider helg</t>
  </si>
  <si>
    <t>En översyn av prissättning och placering av gatuparkeringar längs stråket görs i samband med planeringen av BRT.</t>
  </si>
  <si>
    <t>En översyn av planeringsdokument och strategier för cykel- och gångstråk görs i samband med planeringen av BRT.</t>
  </si>
  <si>
    <t>Poäng</t>
  </si>
  <si>
    <t>Viktas med</t>
  </si>
  <si>
    <t>10 % längre än fågelvägen eller mindre</t>
  </si>
  <si>
    <t>20 % längre än fågelvägen</t>
  </si>
  <si>
    <t>30 % längre än fågelvägen</t>
  </si>
  <si>
    <t>40 % längre än fågelvägen eller mer</t>
  </si>
  <si>
    <t>Hållplats</t>
  </si>
  <si>
    <t>Summa</t>
  </si>
  <si>
    <t>Minst 600m</t>
  </si>
  <si>
    <t>Minst 500m</t>
  </si>
  <si>
    <t>Minst 400m</t>
  </si>
  <si>
    <t>Mindre än 400 m</t>
  </si>
  <si>
    <t>Poäng (tot)</t>
  </si>
  <si>
    <t>Antal</t>
  </si>
  <si>
    <t>sum</t>
  </si>
  <si>
    <t>0,25 tvära kurvor per kilometer i genomsnitt, eller glesare</t>
  </si>
  <si>
    <t>0,50 per kilometer</t>
  </si>
  <si>
    <t>0,75 per kilometer</t>
  </si>
  <si>
    <t>1,00 per kilometer eller tätare</t>
  </si>
  <si>
    <t>BRT-satsningen medför längre avstånd för korsande fotgängare i minst ett av korsningens ben.</t>
  </si>
  <si>
    <t>Poäng tot</t>
  </si>
  <si>
    <t>Sum</t>
  </si>
  <si>
    <t>Cykelbanor utmed eller parallellt med hela busstråket</t>
  </si>
  <si>
    <t>Cykelbanor utmed eller parallellt med stora delar av busstråket</t>
  </si>
  <si>
    <t>Bristande eller ingen cykelinfrastruktur utmed busstråket</t>
  </si>
  <si>
    <t>Viktas med (km)</t>
  </si>
  <si>
    <t xml:space="preserve">Viktas med </t>
  </si>
  <si>
    <t>Anslutning till hållplatser</t>
  </si>
  <si>
    <t>Tydlig vägvisning till hållplatserna i stadsrummet</t>
  </si>
  <si>
    <t>Cykelparkering i nära anslutning till hållplatserna</t>
  </si>
  <si>
    <t>Totalt</t>
  </si>
  <si>
    <t>Alla BRT-fordon har en enhetlig design som särskiljer sig från bussar som inte tillhör en BRT-linje.</t>
  </si>
  <si>
    <t>BRT-linjen har en identitet som särskiljs från övrig, konventionell busstrafik i om-rådet och denna differentiering framgår på linjekartor, hållplatsskyltar och fordon.</t>
  </si>
  <si>
    <t>Identitet (4p tot)</t>
  </si>
  <si>
    <t>Audiovisuell realtidsinformation på hållplatser om nästa avgång (ändhållplatser undantagna)</t>
  </si>
  <si>
    <t>Audiovisuell realtidsinformation ombord om flera hållplatser framåt samt bytes-möjligheter</t>
  </si>
  <si>
    <t>%</t>
  </si>
  <si>
    <t>Passargerarflöde</t>
  </si>
  <si>
    <t>Påstigning i alla dörrar tillåts</t>
  </si>
  <si>
    <t>Alla dörrpositioner är markerade på plattformen</t>
  </si>
  <si>
    <t>IT-system som säkerställer god regularitet (jämna tidsintervall mellan avgång-arna)</t>
  </si>
  <si>
    <t>Viktning med</t>
  </si>
  <si>
    <t>Fysiskt separerade busskörfält (till exempel med kantsten eller refug mellan busskörfält och övriga körfält) eller bussgata</t>
  </si>
  <si>
    <t>Visuellt markerade busskörfält med avvikande färg och heldragen linje, men ingen fysisk separering</t>
  </si>
  <si>
    <t>Busskörfält avgränsade endast med målad linje</t>
  </si>
  <si>
    <t>Blandtrafik</t>
  </si>
  <si>
    <t>Mittförlagda busskörfält eller bussgata (egen bussgata eller busskörfält där båda riktningarna är samlade vid sidan av övriga körfält)</t>
  </si>
  <si>
    <t>Busskörfält i körbanekant (yttre körfält, utmed kantsten eller gatuparkering)</t>
  </si>
  <si>
    <t>poäng</t>
  </si>
  <si>
    <t>Annan användning av busskörfälten (max 3 p)</t>
  </si>
  <si>
    <t>Endast bussar (och utryckningsfordon) tillåts</t>
  </si>
  <si>
    <t>Blandtrafik eller busskörfält där cykel eller taxi tillåts</t>
  </si>
  <si>
    <t>Utfarter i busskörfält (max 2 p)</t>
  </si>
  <si>
    <t>Inga</t>
  </si>
  <si>
    <t>0,25 per kilometer i genomsnitt</t>
  </si>
  <si>
    <t>0,5 per kilometer eller fler</t>
  </si>
  <si>
    <t>Gatuparkering (max 3 p)</t>
  </si>
  <si>
    <t>0,33 per kilometer i genomsnitt</t>
  </si>
  <si>
    <t>0,67 per kilometer</t>
  </si>
  <si>
    <t>Farthinder (max 3 p)</t>
  </si>
  <si>
    <t>0,17 per kilometer i genomsnitt</t>
  </si>
  <si>
    <t>0,33 per kilometer</t>
  </si>
  <si>
    <t>0,50 per kilometer eller tätare</t>
  </si>
  <si>
    <t>Bussprioritet i korsningar (max 7 p)</t>
  </si>
  <si>
    <t>Signalprioritet för busstrafiken införs eller bibehålls</t>
  </si>
  <si>
    <t>Ingen signalprioritet eller bussar på aktuell linje har väjningsplikt</t>
  </si>
  <si>
    <t>Svängande trafik som korsar bussens körväg (max 3 p)</t>
  </si>
  <si>
    <t>Förekommer ej</t>
  </si>
  <si>
    <t>0,67 per kilometer i genomsnitt</t>
  </si>
  <si>
    <t>1,33 per kilometer</t>
  </si>
  <si>
    <t>2,00 per kilometer eller tätare</t>
  </si>
  <si>
    <t>Hållplatstyper och plant insteg (max 10 p)</t>
  </si>
  <si>
    <t>Stopphållplats med plant insteg utan bussnigning: "spårvagnsplattform", ca 30 cm hög och utskjutande (så kallad klack eller perrongutvidgning) eller med an-nan utrustning för att minimera horisontellt avstånd mellan buss och plattform</t>
  </si>
  <si>
    <t>Stopphållplats med utskjutande plattform (så kallad klack eller perrongutvidg-ning) eller annan utrustning för att minimera horisontellt avstånd mellan buss och plattform</t>
  </si>
  <si>
    <t>Stopphållplats</t>
  </si>
  <si>
    <t>Fickhållplats (bussen måste göra minst en sidoförflyttning för att komma in eller ut från hållplatsen)</t>
  </si>
  <si>
    <t>Utrustning på hållplatser (max 3 p)</t>
  </si>
  <si>
    <t>Väderskydd, sittplatser och belysning finns – väntyta under tak motsvarande hela fordonets längd (eller åtminstone motsvarande avståndet mellan främsta och bakersta dörr)</t>
  </si>
  <si>
    <t>Väderskydd, sittplatser och belysning finns – väntyta under tak motsvarande minst halva fordonets längd</t>
  </si>
  <si>
    <t>Väderskydd, sittplatser och belysning finns – väntyta under tak motsvarande mindre än halva fordonets längd</t>
  </si>
  <si>
    <t>Väderskydd, sittplatser eller belysning saknas</t>
  </si>
  <si>
    <t>Max 8 minuter mellan avgångar</t>
  </si>
  <si>
    <t>Max 10 minuter mellan avgångar</t>
  </si>
  <si>
    <t>Mer än 10 minuter mellan avgångar (någon gång under perioden)</t>
  </si>
  <si>
    <t>Max 15 minuter mellan avgångar</t>
  </si>
  <si>
    <t>Max 20 minuter mellan avgångar</t>
  </si>
  <si>
    <t>Mer än 20 minuter mellan avgångar (någon gång under perioden)</t>
  </si>
  <si>
    <t>Öppettider vardag (max 3 p)</t>
  </si>
  <si>
    <t>Minst 19 timmar (till exempel från kl. 5 till midnatt)</t>
  </si>
  <si>
    <t>Minst 17 timmar (till exempel från kl. 6 till 23)</t>
  </si>
  <si>
    <t>Mindre än 17 timmar</t>
  </si>
  <si>
    <t>Öppettider helg (max 3 p)</t>
  </si>
  <si>
    <t>Minst 15 timmar (till exempel från kl. 7 till 22)</t>
  </si>
  <si>
    <t>Mindre än 15 timmar</t>
  </si>
  <si>
    <t>Midjeplattform</t>
  </si>
  <si>
    <t>Vanlig utan ficka</t>
  </si>
  <si>
    <t>Spårvagn</t>
  </si>
  <si>
    <t>Kvot</t>
  </si>
  <si>
    <t>fa tot</t>
  </si>
  <si>
    <t>vikt</t>
  </si>
  <si>
    <t>Höjd</t>
  </si>
  <si>
    <t>Radie</t>
  </si>
  <si>
    <t>längd AB</t>
  </si>
  <si>
    <t>Typ av körfält</t>
  </si>
  <si>
    <t>Avstånd</t>
  </si>
  <si>
    <t>Visuell</t>
  </si>
  <si>
    <t>linje</t>
  </si>
  <si>
    <t>Fysisk</t>
  </si>
  <si>
    <t>Skillnad</t>
  </si>
  <si>
    <t>Turtäthet dagtid kl. 6-18 (max 4 p)</t>
  </si>
  <si>
    <t>Turtäthet kvällar och helger fram till kl. 22 (max 4 p)</t>
  </si>
  <si>
    <t>Avstånd tot</t>
  </si>
  <si>
    <t>Tot</t>
  </si>
  <si>
    <t>Enhet (km)</t>
  </si>
  <si>
    <t>Parameter</t>
  </si>
  <si>
    <t>Max P</t>
  </si>
  <si>
    <t>Stadens Utformning pot</t>
  </si>
  <si>
    <t>Kollektivtrafikens infrastruktur pot</t>
  </si>
  <si>
    <t>Fordon och stödsystem pot</t>
  </si>
  <si>
    <t>Trafikering pot</t>
  </si>
  <si>
    <t>Mittförlagd</t>
  </si>
  <si>
    <t>*Gäller endast där det är busskörfält, ej i blandtrafik. Så endast där valig trafik korsar ett busskörfält.</t>
  </si>
  <si>
    <t>BRT-satsningen medför oförändrat eller kortare avstånd för fotgängare som korsar något av korsningens ben.</t>
  </si>
  <si>
    <t>Annan användning</t>
  </si>
  <si>
    <t>Vaeddelöbsbanen-Aalborg st få</t>
  </si>
  <si>
    <t>Vaeddelöbsbanen-Aalborg st fa</t>
  </si>
  <si>
    <t>Aalborg st - AAU Busterminal få</t>
  </si>
  <si>
    <t>Aalborg st - AAU Busterminal fa</t>
  </si>
  <si>
    <t>AAU Busterminal</t>
  </si>
  <si>
    <t>Vaeddelöbsbanen</t>
  </si>
  <si>
    <t>Start Væddeløbsbanen</t>
  </si>
  <si>
    <t>x</t>
  </si>
  <si>
    <t>Start AAU Busterminal</t>
  </si>
  <si>
    <t>En kvart mellan bussarna på morgonen</t>
  </si>
  <si>
    <t>Namn: Ålborg Linje 2</t>
  </si>
  <si>
    <t>Parametrar</t>
  </si>
  <si>
    <t>Faktisk poäng</t>
  </si>
  <si>
    <t>tot</t>
  </si>
  <si>
    <t>25. Öppetider helg</t>
  </si>
  <si>
    <t>24. Öppetider vardag</t>
  </si>
  <si>
    <t>23. Turtäthet kvällar och helger</t>
  </si>
  <si>
    <t>22. Turtäthet dagtid</t>
  </si>
  <si>
    <t>21. Regularitetsstöd</t>
  </si>
  <si>
    <t>20. Påstigning i alla dörrar</t>
  </si>
  <si>
    <t>19. Realtidsinformation</t>
  </si>
  <si>
    <t>18. Identitet</t>
  </si>
  <si>
    <t>17. Utrustning på hållplatser</t>
  </si>
  <si>
    <t>16. Hållplatstyper och plant insteg</t>
  </si>
  <si>
    <t>15. Svängande trafik</t>
  </si>
  <si>
    <t>14. Bussprioritet i korsningar</t>
  </si>
  <si>
    <t>13. Farthinder</t>
  </si>
  <si>
    <t>12. Gatuparkering</t>
  </si>
  <si>
    <t>11. Utfarter i busskörfält</t>
  </si>
  <si>
    <t>10. Annan användning av busskörfälten</t>
  </si>
  <si>
    <t>9. Busskörfältens placering</t>
  </si>
  <si>
    <t>8. Busskörfält eller bussgata</t>
  </si>
  <si>
    <t>7. Anslutningar till hållplatser</t>
  </si>
  <si>
    <t>6. Cykelstråk</t>
  </si>
  <si>
    <t>5. Barriäreffekt</t>
  </si>
  <si>
    <t>4. Tvära kurvor</t>
  </si>
  <si>
    <t>3. Hållplatsavstånd</t>
  </si>
  <si>
    <t>2. Genhet</t>
  </si>
  <si>
    <t>1. Samplanering</t>
  </si>
  <si>
    <t>Båda antas ha genomförts enligt BRTdata</t>
  </si>
  <si>
    <t>Unik design på fordon</t>
  </si>
  <si>
    <t>ingen särskiljning på linjekartor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</si>
</sst>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1" fillId="2" borderId="1" xfId="1" applyBorder="1"/>
    <xf numFmtId="2" fontId="0" fillId="0" borderId="0" xfId="0" applyNumberFormat="1"/>
    <xf numFmtId="2" fontId="0" fillId="0" borderId="1" xfId="0" applyNumberFormat="1" applyBorder="1"/>
    <xf numFmtId="0" fontId="0" fillId="0" borderId="4" xfId="0" applyBorder="1"/>
    <xf numFmtId="0" fontId="3" fillId="4" borderId="1" xfId="3" applyBorder="1"/>
    <xf numFmtId="0" fontId="0" fillId="0" borderId="0" xfId="0" applyAlignment="1">
      <alignment wrapText="1"/>
    </xf>
    <xf numFmtId="164" fontId="0" fillId="0" borderId="4" xfId="0" applyNumberFormat="1" applyBorder="1"/>
    <xf numFmtId="164" fontId="0" fillId="0" borderId="1" xfId="0" applyNumberFormat="1" applyBorder="1"/>
    <xf numFmtId="0" fontId="4" fillId="0" borderId="1" xfId="0" applyFont="1" applyBorder="1"/>
    <xf numFmtId="164" fontId="1" fillId="2" borderId="1" xfId="1" applyNumberFormat="1" applyBorder="1"/>
    <xf numFmtId="0" fontId="0" fillId="8" borderId="6" xfId="0" applyFill="1" applyBorder="1"/>
    <xf numFmtId="0" fontId="0" fillId="8" borderId="5" xfId="0" applyFill="1" applyBorder="1"/>
    <xf numFmtId="0" fontId="0" fillId="8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4" xfId="0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4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4" xfId="0" applyFill="1" applyBorder="1"/>
    <xf numFmtId="0" fontId="1" fillId="2" borderId="1" xfId="1" applyBorder="1" applyAlignment="1">
      <alignment horizontal="left"/>
    </xf>
    <xf numFmtId="1" fontId="0" fillId="0" borderId="0" xfId="0" applyNumberFormat="1"/>
    <xf numFmtId="0" fontId="1" fillId="2" borderId="2" xfId="1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Bra" xfId="1" builtinId="26"/>
    <cellStyle name="Dålig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658219993048747E-2"/>
          <c:y val="2.0833333333333332E-2"/>
          <c:w val="0.52168402522635982"/>
          <c:h val="0.95370370370370372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DA3-49E4-AAF8-0E45695B6379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DA3-49E4-AAF8-0E45695B6379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DA3-49E4-AAF8-0E45695B6379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DA3-49E4-AAF8-0E45695B6379}"/>
              </c:ext>
            </c:extLst>
          </c:dPt>
          <c:dPt>
            <c:idx val="4"/>
            <c:bubble3D val="0"/>
            <c:spPr>
              <a:solidFill>
                <a:srgbClr val="0070C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DA3-49E4-AAF8-0E45695B6379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DA3-49E4-AAF8-0E45695B6379}"/>
              </c:ext>
            </c:extLst>
          </c:dPt>
          <c:dPt>
            <c:idx val="6"/>
            <c:bubble3D val="0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DA3-49E4-AAF8-0E45695B6379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DA3-49E4-AAF8-0E45695B63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11.946537795542721</c:v>
                </c:pt>
                <c:pt idx="1">
                  <c:v>8.0534622044572792</c:v>
                </c:pt>
                <c:pt idx="2">
                  <c:v>29.592819450486193</c:v>
                </c:pt>
                <c:pt idx="3">
                  <c:v>16.407180549513807</c:v>
                </c:pt>
                <c:pt idx="4">
                  <c:v>14.833333333333332</c:v>
                </c:pt>
                <c:pt idx="5">
                  <c:v>5.1666666666666679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DA3-49E4-AAF8-0E45695B637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Alborg</a:t>
            </a:r>
            <a:r>
              <a:rPr lang="sv-SE" baseline="0"/>
              <a:t> Linje 2</a:t>
            </a:r>
            <a:endParaRPr lang="sv-S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55444444444446E-2"/>
          <c:y val="0.12710007610350077"/>
          <c:w val="0.84448999999999996"/>
          <c:h val="0.86762671232876709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3E7-4EA4-9E98-78CA24A2A021}"/>
              </c:ext>
            </c:extLst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3E7-4EA4-9E98-78CA24A2A021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3E7-4EA4-9E98-78CA24A2A021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3E7-4EA4-9E98-78CA24A2A0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3E7-4EA4-9E98-78CA24A2A021}"/>
              </c:ext>
            </c:extLst>
          </c:dPt>
          <c:dPt>
            <c:idx val="5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3E7-4EA4-9E98-78CA24A2A021}"/>
              </c:ext>
            </c:extLst>
          </c:dPt>
          <c:dPt>
            <c:idx val="6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3E7-4EA4-9E98-78CA24A2A021}"/>
              </c:ext>
            </c:extLst>
          </c:dPt>
          <c:dPt>
            <c:idx val="7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3E7-4EA4-9E98-78CA24A2A0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Sammanfattning!$L$10:$L$17</c:f>
              <c:strCache>
                <c:ptCount val="8"/>
                <c:pt idx="0">
                  <c:v>Stadens Utformning</c:v>
                </c:pt>
                <c:pt idx="1">
                  <c:v>Stadens Utformning pot</c:v>
                </c:pt>
                <c:pt idx="2">
                  <c:v>Kollektivtrafikens infrastruktur</c:v>
                </c:pt>
                <c:pt idx="3">
                  <c:v>Kollektivtrafikens infrastruktur pot</c:v>
                </c:pt>
                <c:pt idx="4">
                  <c:v>Fordon och stödsystem</c:v>
                </c:pt>
                <c:pt idx="5">
                  <c:v>Fordon och stödsystem pot</c:v>
                </c:pt>
                <c:pt idx="6">
                  <c:v>Trafikering</c:v>
                </c:pt>
                <c:pt idx="7">
                  <c:v>Trafikering pot</c:v>
                </c:pt>
              </c:strCache>
            </c:strRef>
          </c:cat>
          <c:val>
            <c:numRef>
              <c:f>Sammanfattning!$M$10:$M$17</c:f>
              <c:numCache>
                <c:formatCode>0</c:formatCode>
                <c:ptCount val="8"/>
                <c:pt idx="0">
                  <c:v>11.946537795542721</c:v>
                </c:pt>
                <c:pt idx="1">
                  <c:v>8.0534622044572792</c:v>
                </c:pt>
                <c:pt idx="2">
                  <c:v>29.592819450486193</c:v>
                </c:pt>
                <c:pt idx="3">
                  <c:v>16.407180549513807</c:v>
                </c:pt>
                <c:pt idx="4">
                  <c:v>14.833333333333332</c:v>
                </c:pt>
                <c:pt idx="5">
                  <c:v>5.1666666666666679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3E7-4EA4-9E98-78CA24A2A02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Sammanfattning!$D$43</c:f>
              <c:strCache>
                <c:ptCount val="1"/>
                <c:pt idx="0">
                  <c:v>Faktisk poäng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CC-44B9-AD8A-C6A850CEF3D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6CC-44B9-AD8A-C6A850CEF3D7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96CC-44B9-AD8A-C6A850CEF3D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96CC-44B9-AD8A-C6A850CEF3D7}"/>
              </c:ext>
            </c:extLst>
          </c:dPt>
          <c:dPt>
            <c:idx val="4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96CC-44B9-AD8A-C6A850CEF3D7}"/>
              </c:ext>
            </c:extLst>
          </c:dPt>
          <c:dPt>
            <c:idx val="5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96CC-44B9-AD8A-C6A850CEF3D7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96CC-44B9-AD8A-C6A850CEF3D7}"/>
              </c:ext>
            </c:extLst>
          </c:dPt>
          <c:dPt>
            <c:idx val="7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96CC-44B9-AD8A-C6A850CEF3D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96CC-44B9-AD8A-C6A850CEF3D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6CC-44B9-AD8A-C6A850CEF3D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96CC-44B9-AD8A-C6A850CEF3D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96CC-44B9-AD8A-C6A850CEF3D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96CC-44B9-AD8A-C6A850CEF3D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96CC-44B9-AD8A-C6A850CEF3D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96CC-44B9-AD8A-C6A850CEF3D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96CC-44B9-AD8A-C6A850CEF3D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96CC-44B9-AD8A-C6A850CEF3D7}"/>
              </c:ext>
            </c:extLst>
          </c:dPt>
          <c:dPt>
            <c:idx val="17"/>
            <c:invertIfNegative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96CC-44B9-AD8A-C6A850CEF3D7}"/>
              </c:ext>
            </c:extLst>
          </c:dPt>
          <c:dPt>
            <c:idx val="18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96CC-44B9-AD8A-C6A850CEF3D7}"/>
              </c:ext>
            </c:extLst>
          </c:dPt>
          <c:dPt>
            <c:idx val="19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96CC-44B9-AD8A-C6A850CEF3D7}"/>
              </c:ext>
            </c:extLst>
          </c:dPt>
          <c:dPt>
            <c:idx val="20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96CC-44B9-AD8A-C6A850CEF3D7}"/>
              </c:ext>
            </c:extLst>
          </c:dPt>
          <c:dPt>
            <c:idx val="21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96CC-44B9-AD8A-C6A850CEF3D7}"/>
              </c:ext>
            </c:extLst>
          </c:dPt>
          <c:dPt>
            <c:idx val="22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96CC-44B9-AD8A-C6A850CEF3D7}"/>
              </c:ext>
            </c:extLst>
          </c:dPt>
          <c:dPt>
            <c:idx val="23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96CC-44B9-AD8A-C6A850CEF3D7}"/>
              </c:ext>
            </c:extLst>
          </c:dPt>
          <c:dPt>
            <c:idx val="24"/>
            <c:invertIfNegative val="0"/>
            <c:bubble3D val="0"/>
            <c:spPr>
              <a:solidFill>
                <a:srgbClr val="70AD4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96CC-44B9-AD8A-C6A850CEF3D7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Sammanfattning!$D$44:$D$68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3.833333333333333</c:v>
                </c:pt>
                <c:pt idx="7">
                  <c:v>2</c:v>
                </c:pt>
                <c:pt idx="8">
                  <c:v>1.8611111111111109</c:v>
                </c:pt>
                <c:pt idx="9">
                  <c:v>5</c:v>
                </c:pt>
                <c:pt idx="10">
                  <c:v>3</c:v>
                </c:pt>
                <c:pt idx="11">
                  <c:v>3.5</c:v>
                </c:pt>
                <c:pt idx="12">
                  <c:v>3</c:v>
                </c:pt>
                <c:pt idx="13">
                  <c:v>0</c:v>
                </c:pt>
                <c:pt idx="14">
                  <c:v>1.3526984383849827</c:v>
                </c:pt>
                <c:pt idx="15">
                  <c:v>3</c:v>
                </c:pt>
                <c:pt idx="16">
                  <c:v>4</c:v>
                </c:pt>
                <c:pt idx="17">
                  <c:v>4.8790099009900985</c:v>
                </c:pt>
                <c:pt idx="18">
                  <c:v>0.5</c:v>
                </c:pt>
                <c:pt idx="19">
                  <c:v>2</c:v>
                </c:pt>
                <c:pt idx="20">
                  <c:v>2.3333333333333335</c:v>
                </c:pt>
                <c:pt idx="21">
                  <c:v>2.6069651741293534</c:v>
                </c:pt>
                <c:pt idx="22">
                  <c:v>3.3684210526315788</c:v>
                </c:pt>
                <c:pt idx="23">
                  <c:v>1.1378182354484554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6CC-44B9-AD8A-C6A850CEF3D7}"/>
            </c:ext>
          </c:extLst>
        </c:ser>
        <c:ser>
          <c:idx val="1"/>
          <c:order val="1"/>
          <c:tx>
            <c:strRef>
              <c:f>Sammanfattning!$E$43</c:f>
              <c:strCache>
                <c:ptCount val="1"/>
                <c:pt idx="0">
                  <c:v>Skillnad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96CC-44B9-AD8A-C6A850CEF3D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96CC-44B9-AD8A-C6A850CEF3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96CC-44B9-AD8A-C6A850CEF3D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96CC-44B9-AD8A-C6A850CEF3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96CC-44B9-AD8A-C6A850CEF3D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96CC-44B9-AD8A-C6A850CEF3D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96CC-44B9-AD8A-C6A850CEF3D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96CC-44B9-AD8A-C6A850CEF3D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96CC-44B9-AD8A-C6A850CEF3D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96CC-44B9-AD8A-C6A850CEF3D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96CC-44B9-AD8A-C6A850CEF3D7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96CC-44B9-AD8A-C6A850CEF3D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96CC-44B9-AD8A-C6A850CEF3D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96CC-44B9-AD8A-C6A850CEF3D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96CC-44B9-AD8A-C6A850CEF3D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96CC-44B9-AD8A-C6A850CEF3D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96CC-44B9-AD8A-C6A850CEF3D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96CC-44B9-AD8A-C6A850CEF3D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96CC-44B9-AD8A-C6A850CEF3D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96CC-44B9-AD8A-C6A850CEF3D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96CC-44B9-AD8A-C6A850CEF3D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96CC-44B9-AD8A-C6A850CEF3D7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96CC-44B9-AD8A-C6A850CEF3D7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96CC-44B9-AD8A-C6A850CEF3D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96CC-44B9-AD8A-C6A850CEF3D7}"/>
              </c:ext>
            </c:extLst>
          </c:dPt>
          <c:cat>
            <c:strRef>
              <c:f>Sammanfattning!$C$44:$C$68</c:f>
              <c:strCache>
                <c:ptCount val="25"/>
                <c:pt idx="0">
                  <c:v>25. Öppetider helg</c:v>
                </c:pt>
                <c:pt idx="1">
                  <c:v>24. Öppetider vardag</c:v>
                </c:pt>
                <c:pt idx="2">
                  <c:v>23. Turtäthet kvällar och helger</c:v>
                </c:pt>
                <c:pt idx="3">
                  <c:v>22. Turtäthet dagtid</c:v>
                </c:pt>
                <c:pt idx="4">
                  <c:v>21. Regularitetsstöd</c:v>
                </c:pt>
                <c:pt idx="5">
                  <c:v>20. Påstigning i alla dörrar</c:v>
                </c:pt>
                <c:pt idx="6">
                  <c:v>19. Realtidsinformation</c:v>
                </c:pt>
                <c:pt idx="7">
                  <c:v>18. Identitet</c:v>
                </c:pt>
                <c:pt idx="8">
                  <c:v>17. Utrustning på hållplatser</c:v>
                </c:pt>
                <c:pt idx="9">
                  <c:v>16. Hållplatstyper och plant insteg</c:v>
                </c:pt>
                <c:pt idx="10">
                  <c:v>15. Svängande trafik</c:v>
                </c:pt>
                <c:pt idx="11">
                  <c:v>14. Bussprioritet i korsningar</c:v>
                </c:pt>
                <c:pt idx="12">
                  <c:v>13. Farthinder</c:v>
                </c:pt>
                <c:pt idx="13">
                  <c:v>12. Gatuparkering</c:v>
                </c:pt>
                <c:pt idx="14">
                  <c:v>11. Utfarter i busskörfält</c:v>
                </c:pt>
                <c:pt idx="15">
                  <c:v>10. Annan användning av busskörfälten</c:v>
                </c:pt>
                <c:pt idx="16">
                  <c:v>9. Busskörfältens placering</c:v>
                </c:pt>
                <c:pt idx="17">
                  <c:v>8. Busskörfält eller bussgata</c:v>
                </c:pt>
                <c:pt idx="18">
                  <c:v>7. Anslutningar till hållplatser</c:v>
                </c:pt>
                <c:pt idx="19">
                  <c:v>6. Cykelstråk</c:v>
                </c:pt>
                <c:pt idx="20">
                  <c:v>5. Barriäreffekt</c:v>
                </c:pt>
                <c:pt idx="21">
                  <c:v>4. Tvära kurvor</c:v>
                </c:pt>
                <c:pt idx="22">
                  <c:v>3. Hållplatsavstånd</c:v>
                </c:pt>
                <c:pt idx="23">
                  <c:v>2. Genhet</c:v>
                </c:pt>
                <c:pt idx="24">
                  <c:v>1. Samplanering</c:v>
                </c:pt>
              </c:strCache>
            </c:strRef>
          </c:cat>
          <c:val>
            <c:numRef>
              <c:f>Sammanfattning!$E$44:$E$68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0.16666666666666696</c:v>
                </c:pt>
                <c:pt idx="7">
                  <c:v>2</c:v>
                </c:pt>
                <c:pt idx="8">
                  <c:v>1.1388888888888891</c:v>
                </c:pt>
                <c:pt idx="9">
                  <c:v>5</c:v>
                </c:pt>
                <c:pt idx="10">
                  <c:v>0</c:v>
                </c:pt>
                <c:pt idx="11">
                  <c:v>3.5</c:v>
                </c:pt>
                <c:pt idx="12">
                  <c:v>0</c:v>
                </c:pt>
                <c:pt idx="13">
                  <c:v>3</c:v>
                </c:pt>
                <c:pt idx="14">
                  <c:v>0.64730156161501728</c:v>
                </c:pt>
                <c:pt idx="15">
                  <c:v>0</c:v>
                </c:pt>
                <c:pt idx="16">
                  <c:v>0</c:v>
                </c:pt>
                <c:pt idx="17">
                  <c:v>3.1209900990099015</c:v>
                </c:pt>
                <c:pt idx="18">
                  <c:v>1.5</c:v>
                </c:pt>
                <c:pt idx="19">
                  <c:v>0</c:v>
                </c:pt>
                <c:pt idx="20">
                  <c:v>0.66666666666666652</c:v>
                </c:pt>
                <c:pt idx="21">
                  <c:v>0.39303482587064664</c:v>
                </c:pt>
                <c:pt idx="22">
                  <c:v>1.6315789473684212</c:v>
                </c:pt>
                <c:pt idx="23">
                  <c:v>1.8621817645515446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96CC-44B9-AD8A-C6A850CE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0655215"/>
        <c:axId val="1540657135"/>
      </c:barChart>
      <c:catAx>
        <c:axId val="15406552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sv-SE"/>
          </a:p>
        </c:txPr>
        <c:crossAx val="1540657135"/>
        <c:crosses val="autoZero"/>
        <c:auto val="1"/>
        <c:lblAlgn val="ctr"/>
        <c:lblOffset val="100"/>
        <c:noMultiLvlLbl val="0"/>
      </c:catAx>
      <c:valAx>
        <c:axId val="154065713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0655215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523873</xdr:colOff>
      <xdr:row>1</xdr:row>
      <xdr:rowOff>14286</xdr:rowOff>
    </xdr:from>
    <xdr:to>
      <xdr:col>16</xdr:col>
      <xdr:colOff>56473</xdr:colOff>
      <xdr:row>12</xdr:row>
      <xdr:rowOff>78786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C10549-BE86-FBFD-C37A-0116DC641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20</xdr:row>
      <xdr:rowOff>28575</xdr:rowOff>
    </xdr:from>
    <xdr:to>
      <xdr:col>11</xdr:col>
      <xdr:colOff>2023725</xdr:colOff>
      <xdr:row>33</xdr:row>
      <xdr:rowOff>144075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10E4549-438F-433C-A82B-A428916A6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609599</xdr:colOff>
      <xdr:row>40</xdr:row>
      <xdr:rowOff>152400</xdr:rowOff>
    </xdr:from>
    <xdr:to>
      <xdr:col>13</xdr:col>
      <xdr:colOff>581024</xdr:colOff>
      <xdr:row>70</xdr:row>
      <xdr:rowOff>47625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1D42B91D-74E9-45BA-818E-556352322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42</xdr:row>
      <xdr:rowOff>142875</xdr:rowOff>
    </xdr:from>
    <xdr:to>
      <xdr:col>13</xdr:col>
      <xdr:colOff>62712</xdr:colOff>
      <xdr:row>62</xdr:row>
      <xdr:rowOff>180975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AFDD4015-34CE-B62D-8436-C22C09B1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1550" y="8524875"/>
          <a:ext cx="4634712" cy="42291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943681</xdr:colOff>
      <xdr:row>16</xdr:row>
      <xdr:rowOff>44097</xdr:rowOff>
    </xdr:from>
    <xdr:to>
      <xdr:col>15</xdr:col>
      <xdr:colOff>304497</xdr:colOff>
      <xdr:row>40</xdr:row>
      <xdr:rowOff>7701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C90DEBAE-222D-03D0-608B-E6F3D673A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3907014"/>
          <a:ext cx="5410955" cy="462027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68"/>
  <sheetViews>
    <sheetView topLeftCell="A37" workbookViewId="0">
      <selection activeCell="C43" sqref="C43:F68"/>
    </sheetView>
  </sheetViews>
  <sheetFormatPr defaultRowHeight="15" x14ac:dyDescent="0.25"/>
  <cols>
    <col min="3" max="3" width="39.28515625" customWidth="1"/>
    <col min="4" max="4" width="14.42578125" customWidth="1"/>
    <col min="12" max="12" width="31.7109375" customWidth="1"/>
    <col min="13" max="13" width="10.5703125" bestFit="1" customWidth="1"/>
  </cols>
  <sheetData>
    <row r="2" spans="2:14" x14ac:dyDescent="0.25">
      <c r="C2" t="s">
        <v>165</v>
      </c>
    </row>
    <row r="3" spans="2:14" x14ac:dyDescent="0.25">
      <c r="B3" s="28" t="s">
        <v>0</v>
      </c>
      <c r="C3" s="29"/>
      <c r="D3" s="29"/>
      <c r="E3" s="30"/>
    </row>
    <row r="4" spans="2:14" x14ac:dyDescent="0.25">
      <c r="B4" s="14"/>
      <c r="C4" s="12" t="s">
        <v>145</v>
      </c>
      <c r="D4" s="12" t="s">
        <v>31</v>
      </c>
      <c r="E4" s="12" t="s">
        <v>146</v>
      </c>
      <c r="L4" t="s">
        <v>0</v>
      </c>
      <c r="M4">
        <f>D12</f>
        <v>11.946537795542721</v>
      </c>
      <c r="N4">
        <f>M4/SUM($M$4:$M$7)</f>
        <v>0.18558394387468335</v>
      </c>
    </row>
    <row r="5" spans="2:14" x14ac:dyDescent="0.25">
      <c r="B5" s="15"/>
      <c r="C5" t="s">
        <v>1</v>
      </c>
      <c r="D5" s="1">
        <f>'Stadens utformning'!E7</f>
        <v>2</v>
      </c>
      <c r="E5" s="1">
        <v>2</v>
      </c>
      <c r="L5" t="s">
        <v>13</v>
      </c>
      <c r="M5">
        <f>D25</f>
        <v>29.592819450486193</v>
      </c>
      <c r="N5">
        <f>M5/SUM($M$4:$M$7)</f>
        <v>0.45971077461804266</v>
      </c>
    </row>
    <row r="6" spans="2:14" x14ac:dyDescent="0.25">
      <c r="B6" s="15"/>
      <c r="C6" s="1" t="s">
        <v>2</v>
      </c>
      <c r="D6" s="11">
        <f>'Stadens utformning'!F14</f>
        <v>1.1378182354484554</v>
      </c>
      <c r="E6" s="1">
        <v>3</v>
      </c>
      <c r="L6" t="s">
        <v>8</v>
      </c>
      <c r="M6">
        <f>D32</f>
        <v>14.833333333333332</v>
      </c>
      <c r="N6">
        <f>M6/SUM($M$4:$M$7)</f>
        <v>0.23042897849742619</v>
      </c>
    </row>
    <row r="7" spans="2:14" x14ac:dyDescent="0.25">
      <c r="B7" s="15"/>
      <c r="C7" s="1" t="s">
        <v>3</v>
      </c>
      <c r="D7" s="11">
        <f>'Stadens utformning'!G23</f>
        <v>3.3684210526315788</v>
      </c>
      <c r="E7" s="1">
        <v>5</v>
      </c>
      <c r="L7" t="s">
        <v>24</v>
      </c>
      <c r="M7">
        <f>D39</f>
        <v>8</v>
      </c>
      <c r="N7">
        <f>M7/SUM($M$4:$M$7)</f>
        <v>0.12427630300984785</v>
      </c>
    </row>
    <row r="8" spans="2:14" x14ac:dyDescent="0.25">
      <c r="B8" s="15"/>
      <c r="C8" s="1" t="s">
        <v>4</v>
      </c>
      <c r="D8" s="11">
        <f>'Stadens utformning'!G45</f>
        <v>2.6069651741293534</v>
      </c>
      <c r="E8" s="1">
        <v>3</v>
      </c>
    </row>
    <row r="9" spans="2:14" x14ac:dyDescent="0.25">
      <c r="B9" s="15"/>
      <c r="C9" s="1" t="s">
        <v>5</v>
      </c>
      <c r="D9" s="11">
        <f>'Stadens utformning'!G50</f>
        <v>2.3333333333333335</v>
      </c>
      <c r="E9" s="1">
        <v>3</v>
      </c>
    </row>
    <row r="10" spans="2:14" x14ac:dyDescent="0.25">
      <c r="B10" s="15"/>
      <c r="C10" s="1" t="s">
        <v>6</v>
      </c>
      <c r="D10" s="11">
        <f>'Stadens utformning'!G56</f>
        <v>2</v>
      </c>
      <c r="E10" s="1">
        <v>2</v>
      </c>
      <c r="L10" s="27" t="s">
        <v>0</v>
      </c>
      <c r="M10" s="27">
        <f>D12</f>
        <v>11.946537795542721</v>
      </c>
    </row>
    <row r="11" spans="2:14" x14ac:dyDescent="0.25">
      <c r="B11" s="15"/>
      <c r="C11" s="1" t="s">
        <v>7</v>
      </c>
      <c r="D11" s="11">
        <f>'Stadens utformning'!G61</f>
        <v>0.5</v>
      </c>
      <c r="E11" s="1">
        <v>2</v>
      </c>
      <c r="L11" s="27" t="s">
        <v>147</v>
      </c>
      <c r="M11" s="27">
        <f>E12-M10</f>
        <v>8.0534622044572792</v>
      </c>
    </row>
    <row r="12" spans="2:14" x14ac:dyDescent="0.25">
      <c r="B12" s="16"/>
      <c r="C12" s="1" t="s">
        <v>61</v>
      </c>
      <c r="D12" s="11">
        <f>SUM(D6:D11)</f>
        <v>11.946537795542721</v>
      </c>
      <c r="E12" s="11">
        <f>SUM(E5:E11)</f>
        <v>20</v>
      </c>
      <c r="F12">
        <f>D12/E12</f>
        <v>0.59732688977713599</v>
      </c>
      <c r="L12" s="27" t="s">
        <v>13</v>
      </c>
      <c r="M12" s="27">
        <f>D25</f>
        <v>29.592819450486193</v>
      </c>
    </row>
    <row r="13" spans="2:14" x14ac:dyDescent="0.25">
      <c r="B13" s="28" t="s">
        <v>13</v>
      </c>
      <c r="C13" s="29"/>
      <c r="D13" s="29"/>
      <c r="E13" s="30"/>
      <c r="L13" s="27" t="s">
        <v>148</v>
      </c>
      <c r="M13" s="27">
        <f>E25-D25</f>
        <v>16.407180549513807</v>
      </c>
    </row>
    <row r="14" spans="2:14" x14ac:dyDescent="0.25">
      <c r="B14" s="17"/>
      <c r="C14" s="12" t="s">
        <v>145</v>
      </c>
      <c r="D14" s="12" t="s">
        <v>31</v>
      </c>
      <c r="E14" s="12" t="s">
        <v>146</v>
      </c>
      <c r="L14" s="27" t="s">
        <v>8</v>
      </c>
      <c r="M14" s="27">
        <f>D32</f>
        <v>14.833333333333332</v>
      </c>
    </row>
    <row r="15" spans="2:14" x14ac:dyDescent="0.25">
      <c r="B15" s="18"/>
      <c r="C15" s="1" t="s">
        <v>14</v>
      </c>
      <c r="D15" s="11">
        <f>'Kollektivtrafikens infrastruktu'!G9</f>
        <v>4.8790099009900985</v>
      </c>
      <c r="E15" s="1">
        <v>8</v>
      </c>
      <c r="L15" s="27" t="s">
        <v>149</v>
      </c>
      <c r="M15" s="27">
        <f>E32-D32</f>
        <v>5.1666666666666679</v>
      </c>
    </row>
    <row r="16" spans="2:14" x14ac:dyDescent="0.25">
      <c r="B16" s="18"/>
      <c r="C16" s="1" t="s">
        <v>15</v>
      </c>
      <c r="D16" s="11">
        <f>'Kollektivtrafikens infrastruktu'!G44</f>
        <v>4</v>
      </c>
      <c r="E16" s="1">
        <v>4</v>
      </c>
      <c r="L16" s="27" t="s">
        <v>24</v>
      </c>
      <c r="M16" s="27">
        <f>D39</f>
        <v>8</v>
      </c>
    </row>
    <row r="17" spans="2:13" x14ac:dyDescent="0.25">
      <c r="B17" s="18"/>
      <c r="C17" s="1" t="s">
        <v>16</v>
      </c>
      <c r="D17" s="11">
        <f>'Kollektivtrafikens infrastruktu'!G51</f>
        <v>3</v>
      </c>
      <c r="E17" s="1">
        <v>3</v>
      </c>
      <c r="L17" s="27" t="s">
        <v>150</v>
      </c>
      <c r="M17" s="27">
        <f>E39-D39</f>
        <v>6</v>
      </c>
    </row>
    <row r="18" spans="2:13" x14ac:dyDescent="0.25">
      <c r="B18" s="18"/>
      <c r="C18" s="1" t="s">
        <v>17</v>
      </c>
      <c r="D18" s="11">
        <f>'Kollektivtrafikens infrastruktu'!G58</f>
        <v>1.3526984383849827</v>
      </c>
      <c r="E18" s="1">
        <v>2</v>
      </c>
    </row>
    <row r="19" spans="2:13" x14ac:dyDescent="0.25">
      <c r="B19" s="18"/>
      <c r="C19" s="1" t="s">
        <v>18</v>
      </c>
      <c r="D19" s="11">
        <f>'Kollektivtrafikens infrastruktu'!G66</f>
        <v>0</v>
      </c>
      <c r="E19" s="1">
        <v>3</v>
      </c>
    </row>
    <row r="20" spans="2:13" x14ac:dyDescent="0.25">
      <c r="B20" s="18"/>
      <c r="C20" s="1" t="s">
        <v>19</v>
      </c>
      <c r="D20" s="11">
        <f>'Kollektivtrafikens infrastruktu'!G73</f>
        <v>3</v>
      </c>
      <c r="E20" s="1">
        <v>3</v>
      </c>
    </row>
    <row r="21" spans="2:13" x14ac:dyDescent="0.25">
      <c r="B21" s="18"/>
      <c r="C21" t="s">
        <v>20</v>
      </c>
      <c r="D21" s="11">
        <f>'Kollektivtrafikens infrastruktu'!G79</f>
        <v>3.5</v>
      </c>
      <c r="E21" s="1">
        <v>7</v>
      </c>
    </row>
    <row r="22" spans="2:13" x14ac:dyDescent="0.25">
      <c r="B22" s="18"/>
      <c r="C22" s="1" t="s">
        <v>21</v>
      </c>
      <c r="D22" s="11">
        <f>'Kollektivtrafikens infrastruktu'!G87</f>
        <v>3</v>
      </c>
      <c r="E22" s="1">
        <v>3</v>
      </c>
    </row>
    <row r="23" spans="2:13" x14ac:dyDescent="0.25">
      <c r="B23" s="18"/>
      <c r="C23" s="1" t="s">
        <v>22</v>
      </c>
      <c r="D23" s="11">
        <f>'Kollektivtrafikens infrastruktu'!G101</f>
        <v>5</v>
      </c>
      <c r="E23" s="1">
        <v>10</v>
      </c>
    </row>
    <row r="24" spans="2:13" x14ac:dyDescent="0.25">
      <c r="B24" s="18"/>
      <c r="C24" s="1" t="s">
        <v>23</v>
      </c>
      <c r="D24" s="11">
        <f>'Kollektivtrafikens infrastruktu'!G109</f>
        <v>1.8611111111111109</v>
      </c>
      <c r="E24" s="1">
        <v>3</v>
      </c>
    </row>
    <row r="25" spans="2:13" x14ac:dyDescent="0.25">
      <c r="B25" s="19"/>
      <c r="C25" s="1" t="s">
        <v>61</v>
      </c>
      <c r="D25" s="11">
        <f>SUM(D15:D24)</f>
        <v>29.592819450486193</v>
      </c>
      <c r="E25" s="11">
        <f>SUM(E15:E24)</f>
        <v>46</v>
      </c>
      <c r="F25">
        <f>D25/E25</f>
        <v>0.64332216196709113</v>
      </c>
    </row>
    <row r="26" spans="2:13" x14ac:dyDescent="0.25">
      <c r="B26" s="28" t="s">
        <v>8</v>
      </c>
      <c r="C26" s="29"/>
      <c r="D26" s="29"/>
      <c r="E26" s="30"/>
    </row>
    <row r="27" spans="2:13" x14ac:dyDescent="0.25">
      <c r="B27" s="20"/>
      <c r="C27" s="12" t="s">
        <v>145</v>
      </c>
      <c r="D27" s="12" t="s">
        <v>31</v>
      </c>
      <c r="E27" s="12" t="s">
        <v>146</v>
      </c>
    </row>
    <row r="28" spans="2:13" x14ac:dyDescent="0.25">
      <c r="B28" s="21"/>
      <c r="C28" s="1" t="s">
        <v>9</v>
      </c>
      <c r="D28" s="11">
        <f>'Fordon och Stödsystem'!F7</f>
        <v>2</v>
      </c>
      <c r="E28" s="1">
        <v>4</v>
      </c>
    </row>
    <row r="29" spans="2:13" x14ac:dyDescent="0.25">
      <c r="B29" s="21"/>
      <c r="C29" s="1" t="s">
        <v>10</v>
      </c>
      <c r="D29" s="11">
        <f>'Fordon och Stödsystem'!G12</f>
        <v>3.833333333333333</v>
      </c>
      <c r="E29" s="1">
        <v>4</v>
      </c>
    </row>
    <row r="30" spans="2:13" x14ac:dyDescent="0.25">
      <c r="B30" s="21"/>
      <c r="C30" t="s">
        <v>11</v>
      </c>
      <c r="D30" s="11">
        <f>'Fordon och Stödsystem'!F17</f>
        <v>9</v>
      </c>
      <c r="E30" s="1">
        <v>10</v>
      </c>
    </row>
    <row r="31" spans="2:13" x14ac:dyDescent="0.25">
      <c r="B31" s="21"/>
      <c r="C31" t="s">
        <v>12</v>
      </c>
      <c r="D31" s="11">
        <f>'Fordon och Stödsystem'!F20</f>
        <v>0</v>
      </c>
      <c r="E31" s="1">
        <v>2</v>
      </c>
    </row>
    <row r="32" spans="2:13" x14ac:dyDescent="0.25">
      <c r="B32" s="22"/>
      <c r="C32" s="1" t="s">
        <v>61</v>
      </c>
      <c r="D32" s="11">
        <f>SUM(D28:D31)</f>
        <v>14.833333333333332</v>
      </c>
      <c r="E32" s="1">
        <f>SUM(E28:E31)</f>
        <v>20</v>
      </c>
      <c r="F32">
        <f>D32/E32</f>
        <v>0.74166666666666659</v>
      </c>
    </row>
    <row r="33" spans="2:6" x14ac:dyDescent="0.25">
      <c r="B33" s="28" t="s">
        <v>24</v>
      </c>
      <c r="C33" s="29"/>
      <c r="D33" s="29"/>
      <c r="E33" s="30"/>
    </row>
    <row r="34" spans="2:6" x14ac:dyDescent="0.25">
      <c r="B34" s="23"/>
      <c r="C34" s="12" t="s">
        <v>145</v>
      </c>
      <c r="D34" s="12" t="s">
        <v>31</v>
      </c>
      <c r="E34" s="12" t="s">
        <v>146</v>
      </c>
    </row>
    <row r="35" spans="2:6" x14ac:dyDescent="0.25">
      <c r="B35" s="24"/>
      <c r="C35" s="1" t="s">
        <v>25</v>
      </c>
      <c r="D35" s="1">
        <f>Trafikering!F8</f>
        <v>0</v>
      </c>
      <c r="E35" s="1">
        <v>4</v>
      </c>
    </row>
    <row r="36" spans="2:6" x14ac:dyDescent="0.25">
      <c r="B36" s="24"/>
      <c r="C36" s="1" t="s">
        <v>26</v>
      </c>
      <c r="D36" s="1">
        <f>Trafikering!F15</f>
        <v>4</v>
      </c>
      <c r="E36" s="1">
        <v>4</v>
      </c>
    </row>
    <row r="37" spans="2:6" x14ac:dyDescent="0.25">
      <c r="B37" s="24"/>
      <c r="C37" s="1" t="s">
        <v>27</v>
      </c>
      <c r="D37" s="1">
        <f>Trafikering!F22</f>
        <v>2</v>
      </c>
      <c r="E37" s="1">
        <v>3</v>
      </c>
    </row>
    <row r="38" spans="2:6" x14ac:dyDescent="0.25">
      <c r="B38" s="24"/>
      <c r="C38" s="1" t="s">
        <v>28</v>
      </c>
      <c r="D38" s="1">
        <f>Trafikering!F29</f>
        <v>2</v>
      </c>
      <c r="E38" s="1">
        <v>3</v>
      </c>
    </row>
    <row r="39" spans="2:6" x14ac:dyDescent="0.25">
      <c r="B39" s="25"/>
      <c r="C39" s="1" t="s">
        <v>61</v>
      </c>
      <c r="D39" s="1">
        <f>SUM(D35:D38)</f>
        <v>8</v>
      </c>
      <c r="E39" s="1">
        <f>SUM(E35:E38)</f>
        <v>14</v>
      </c>
      <c r="F39">
        <f>D39/E39</f>
        <v>0.5714285714285714</v>
      </c>
    </row>
    <row r="40" spans="2:6" x14ac:dyDescent="0.25">
      <c r="B40" s="4"/>
      <c r="C40" s="26" t="s">
        <v>38</v>
      </c>
      <c r="D40" s="13">
        <f>SUM(D5:D11)+SUM(D28:D31)+SUM(D15:D24)+SUM(D35:D38)</f>
        <v>66.372690579362242</v>
      </c>
      <c r="E40" s="13">
        <f>SUM(E12+E25+E32+E39)</f>
        <v>100</v>
      </c>
    </row>
    <row r="43" spans="2:6" x14ac:dyDescent="0.25">
      <c r="C43" t="s">
        <v>166</v>
      </c>
      <c r="D43" t="s">
        <v>167</v>
      </c>
      <c r="E43" t="s">
        <v>139</v>
      </c>
      <c r="F43" t="s">
        <v>168</v>
      </c>
    </row>
    <row r="44" spans="2:6" x14ac:dyDescent="0.25">
      <c r="C44" t="s">
        <v>169</v>
      </c>
      <c r="D44">
        <f>D38</f>
        <v>2</v>
      </c>
      <c r="E44">
        <f>F44-D44</f>
        <v>1</v>
      </c>
      <c r="F44">
        <f>E38</f>
        <v>3</v>
      </c>
    </row>
    <row r="45" spans="2:6" x14ac:dyDescent="0.25">
      <c r="C45" t="s">
        <v>170</v>
      </c>
      <c r="D45">
        <f>D37</f>
        <v>2</v>
      </c>
      <c r="E45">
        <f t="shared" ref="E45:E68" si="0">F45-D45</f>
        <v>1</v>
      </c>
      <c r="F45">
        <f>E37</f>
        <v>3</v>
      </c>
    </row>
    <row r="46" spans="2:6" x14ac:dyDescent="0.25">
      <c r="C46" t="s">
        <v>171</v>
      </c>
      <c r="D46">
        <f>D36</f>
        <v>4</v>
      </c>
      <c r="E46">
        <f t="shared" si="0"/>
        <v>0</v>
      </c>
      <c r="F46">
        <f>E36</f>
        <v>4</v>
      </c>
    </row>
    <row r="47" spans="2:6" x14ac:dyDescent="0.25">
      <c r="C47" t="s">
        <v>172</v>
      </c>
      <c r="D47">
        <f>D35</f>
        <v>0</v>
      </c>
      <c r="E47">
        <f t="shared" si="0"/>
        <v>4</v>
      </c>
      <c r="F47">
        <f>E35</f>
        <v>4</v>
      </c>
    </row>
    <row r="48" spans="2:6" x14ac:dyDescent="0.25">
      <c r="C48" t="s">
        <v>173</v>
      </c>
      <c r="D48">
        <f>D31</f>
        <v>0</v>
      </c>
      <c r="E48">
        <f t="shared" si="0"/>
        <v>2</v>
      </c>
      <c r="F48">
        <f>E31</f>
        <v>2</v>
      </c>
    </row>
    <row r="49" spans="3:6" x14ac:dyDescent="0.25">
      <c r="C49" t="s">
        <v>174</v>
      </c>
      <c r="D49">
        <f>D30</f>
        <v>9</v>
      </c>
      <c r="E49">
        <f t="shared" si="0"/>
        <v>1</v>
      </c>
      <c r="F49">
        <f>E30</f>
        <v>10</v>
      </c>
    </row>
    <row r="50" spans="3:6" x14ac:dyDescent="0.25">
      <c r="C50" t="s">
        <v>175</v>
      </c>
      <c r="D50">
        <f>D29</f>
        <v>3.833333333333333</v>
      </c>
      <c r="E50">
        <f t="shared" si="0"/>
        <v>0.16666666666666696</v>
      </c>
      <c r="F50">
        <f>E29</f>
        <v>4</v>
      </c>
    </row>
    <row r="51" spans="3:6" x14ac:dyDescent="0.25">
      <c r="C51" t="s">
        <v>176</v>
      </c>
      <c r="D51">
        <f>D28</f>
        <v>2</v>
      </c>
      <c r="E51">
        <f t="shared" si="0"/>
        <v>2</v>
      </c>
      <c r="F51">
        <f>E28</f>
        <v>4</v>
      </c>
    </row>
    <row r="52" spans="3:6" x14ac:dyDescent="0.25">
      <c r="C52" t="s">
        <v>177</v>
      </c>
      <c r="D52">
        <f>D24</f>
        <v>1.8611111111111109</v>
      </c>
      <c r="E52">
        <f t="shared" si="0"/>
        <v>1.1388888888888891</v>
      </c>
      <c r="F52">
        <f>E24</f>
        <v>3</v>
      </c>
    </row>
    <row r="53" spans="3:6" x14ac:dyDescent="0.25">
      <c r="C53" t="s">
        <v>178</v>
      </c>
      <c r="D53">
        <f>D23</f>
        <v>5</v>
      </c>
      <c r="E53">
        <f t="shared" si="0"/>
        <v>5</v>
      </c>
      <c r="F53">
        <f>E23</f>
        <v>10</v>
      </c>
    </row>
    <row r="54" spans="3:6" x14ac:dyDescent="0.25">
      <c r="C54" t="s">
        <v>179</v>
      </c>
      <c r="D54">
        <f>D22</f>
        <v>3</v>
      </c>
      <c r="E54">
        <f t="shared" si="0"/>
        <v>0</v>
      </c>
      <c r="F54">
        <f>E22</f>
        <v>3</v>
      </c>
    </row>
    <row r="55" spans="3:6" x14ac:dyDescent="0.25">
      <c r="C55" t="s">
        <v>180</v>
      </c>
      <c r="D55">
        <f>D21</f>
        <v>3.5</v>
      </c>
      <c r="E55">
        <f t="shared" si="0"/>
        <v>3.5</v>
      </c>
      <c r="F55">
        <f>E21</f>
        <v>7</v>
      </c>
    </row>
    <row r="56" spans="3:6" x14ac:dyDescent="0.25">
      <c r="C56" t="s">
        <v>181</v>
      </c>
      <c r="D56">
        <f>D20</f>
        <v>3</v>
      </c>
      <c r="E56">
        <f t="shared" si="0"/>
        <v>0</v>
      </c>
      <c r="F56">
        <f>E20</f>
        <v>3</v>
      </c>
    </row>
    <row r="57" spans="3:6" x14ac:dyDescent="0.25">
      <c r="C57" t="s">
        <v>182</v>
      </c>
      <c r="D57">
        <f>D19</f>
        <v>0</v>
      </c>
      <c r="E57">
        <f t="shared" si="0"/>
        <v>3</v>
      </c>
      <c r="F57">
        <f>E19</f>
        <v>3</v>
      </c>
    </row>
    <row r="58" spans="3:6" x14ac:dyDescent="0.25">
      <c r="C58" t="s">
        <v>183</v>
      </c>
      <c r="D58">
        <f>D18</f>
        <v>1.3526984383849827</v>
      </c>
      <c r="E58">
        <f t="shared" si="0"/>
        <v>0.64730156161501728</v>
      </c>
      <c r="F58">
        <f>E18</f>
        <v>2</v>
      </c>
    </row>
    <row r="59" spans="3:6" x14ac:dyDescent="0.25">
      <c r="C59" t="s">
        <v>184</v>
      </c>
      <c r="D59">
        <f>D17</f>
        <v>3</v>
      </c>
      <c r="E59">
        <f t="shared" si="0"/>
        <v>0</v>
      </c>
      <c r="F59">
        <f>E17</f>
        <v>3</v>
      </c>
    </row>
    <row r="60" spans="3:6" x14ac:dyDescent="0.25">
      <c r="C60" t="s">
        <v>185</v>
      </c>
      <c r="D60">
        <f>D16</f>
        <v>4</v>
      </c>
      <c r="E60">
        <f t="shared" si="0"/>
        <v>0</v>
      </c>
      <c r="F60">
        <f>E16</f>
        <v>4</v>
      </c>
    </row>
    <row r="61" spans="3:6" x14ac:dyDescent="0.25">
      <c r="C61" t="s">
        <v>186</v>
      </c>
      <c r="D61">
        <f>D15</f>
        <v>4.8790099009900985</v>
      </c>
      <c r="E61">
        <f t="shared" si="0"/>
        <v>3.1209900990099015</v>
      </c>
      <c r="F61">
        <f>E15</f>
        <v>8</v>
      </c>
    </row>
    <row r="62" spans="3:6" x14ac:dyDescent="0.25">
      <c r="C62" t="s">
        <v>187</v>
      </c>
      <c r="D62">
        <f>D11</f>
        <v>0.5</v>
      </c>
      <c r="E62">
        <f t="shared" si="0"/>
        <v>1.5</v>
      </c>
      <c r="F62">
        <f>E11</f>
        <v>2</v>
      </c>
    </row>
    <row r="63" spans="3:6" x14ac:dyDescent="0.25">
      <c r="C63" t="s">
        <v>188</v>
      </c>
      <c r="D63">
        <f>D10</f>
        <v>2</v>
      </c>
      <c r="E63">
        <f>F63-D63</f>
        <v>0</v>
      </c>
      <c r="F63">
        <f>E10</f>
        <v>2</v>
      </c>
    </row>
    <row r="64" spans="3:6" x14ac:dyDescent="0.25">
      <c r="C64" t="s">
        <v>189</v>
      </c>
      <c r="D64">
        <f>D9</f>
        <v>2.3333333333333335</v>
      </c>
      <c r="E64">
        <f t="shared" si="0"/>
        <v>0.66666666666666652</v>
      </c>
      <c r="F64">
        <f>E9</f>
        <v>3</v>
      </c>
    </row>
    <row r="65" spans="3:6" x14ac:dyDescent="0.25">
      <c r="C65" t="s">
        <v>190</v>
      </c>
      <c r="D65">
        <f>D8</f>
        <v>2.6069651741293534</v>
      </c>
      <c r="E65">
        <f t="shared" si="0"/>
        <v>0.39303482587064664</v>
      </c>
      <c r="F65">
        <f>E8</f>
        <v>3</v>
      </c>
    </row>
    <row r="66" spans="3:6" x14ac:dyDescent="0.25">
      <c r="C66" t="s">
        <v>191</v>
      </c>
      <c r="D66">
        <f>D7</f>
        <v>3.3684210526315788</v>
      </c>
      <c r="E66">
        <f t="shared" si="0"/>
        <v>1.6315789473684212</v>
      </c>
      <c r="F66">
        <f>E7</f>
        <v>5</v>
      </c>
    </row>
    <row r="67" spans="3:6" x14ac:dyDescent="0.25">
      <c r="C67" t="s">
        <v>192</v>
      </c>
      <c r="D67">
        <f>D6</f>
        <v>1.1378182354484554</v>
      </c>
      <c r="E67">
        <f t="shared" si="0"/>
        <v>1.8621817645515446</v>
      </c>
      <c r="F67">
        <f>E6</f>
        <v>3</v>
      </c>
    </row>
    <row r="68" spans="3:6" x14ac:dyDescent="0.25">
      <c r="C68" t="s">
        <v>193</v>
      </c>
      <c r="D68">
        <f>D5</f>
        <v>2</v>
      </c>
      <c r="E68">
        <f t="shared" si="0"/>
        <v>0</v>
      </c>
      <c r="F68">
        <f>E5</f>
        <v>2</v>
      </c>
    </row>
  </sheetData>
  <mergeCells count="4">
    <mergeCell ref="B13:E13"/>
    <mergeCell ref="B26:E26"/>
    <mergeCell ref="B33:E33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299C-B96E-4F93-806E-A3465C51168D}">
  <dimension ref="C4:R61"/>
  <sheetViews>
    <sheetView workbookViewId="0">
      <selection activeCell="F6" sqref="F6"/>
    </sheetView>
  </sheetViews>
  <sheetFormatPr defaultRowHeight="15" x14ac:dyDescent="0.25"/>
  <cols>
    <col min="3" max="3" width="55.140625" customWidth="1"/>
    <col min="5" max="5" width="10.85546875" customWidth="1"/>
    <col min="6" max="6" width="15.5703125" customWidth="1"/>
    <col min="8" max="8" width="10.5703125" customWidth="1"/>
    <col min="9" max="9" width="18.28515625" customWidth="1"/>
    <col min="10" max="10" width="12.28515625" bestFit="1" customWidth="1"/>
    <col min="13" max="13" width="19.85546875" customWidth="1"/>
    <col min="14" max="14" width="12.7109375" customWidth="1"/>
  </cols>
  <sheetData>
    <row r="4" spans="3:18" x14ac:dyDescent="0.25">
      <c r="C4" s="3" t="s">
        <v>1</v>
      </c>
      <c r="D4" s="1" t="s">
        <v>31</v>
      </c>
      <c r="E4" s="1" t="s">
        <v>32</v>
      </c>
    </row>
    <row r="5" spans="3:18" ht="30" x14ac:dyDescent="0.25">
      <c r="C5" s="2" t="s">
        <v>29</v>
      </c>
      <c r="D5" s="1">
        <v>1</v>
      </c>
      <c r="E5" s="1">
        <v>1</v>
      </c>
    </row>
    <row r="6" spans="3:18" ht="30" x14ac:dyDescent="0.25">
      <c r="C6" s="2" t="s">
        <v>30</v>
      </c>
      <c r="D6" s="1">
        <v>1</v>
      </c>
      <c r="E6" s="1">
        <v>1</v>
      </c>
      <c r="F6" t="s">
        <v>194</v>
      </c>
    </row>
    <row r="7" spans="3:18" x14ac:dyDescent="0.25">
      <c r="C7" s="9"/>
      <c r="D7" s="1" t="s">
        <v>38</v>
      </c>
      <c r="E7" s="1">
        <f>SUM(E5:E6)</f>
        <v>2</v>
      </c>
    </row>
    <row r="9" spans="3:18" x14ac:dyDescent="0.25">
      <c r="C9" s="4" t="s">
        <v>2</v>
      </c>
      <c r="D9" s="1" t="s">
        <v>43</v>
      </c>
      <c r="E9" s="1" t="s">
        <v>32</v>
      </c>
      <c r="F9" s="1" t="s">
        <v>31</v>
      </c>
      <c r="H9" s="1" t="s">
        <v>37</v>
      </c>
      <c r="I9" s="1"/>
      <c r="J9" s="1" t="s">
        <v>144</v>
      </c>
      <c r="K9" s="1"/>
      <c r="L9" s="1" t="s">
        <v>37</v>
      </c>
      <c r="M9" s="1"/>
      <c r="N9" s="1"/>
      <c r="O9" s="1" t="s">
        <v>144</v>
      </c>
    </row>
    <row r="10" spans="3:18" x14ac:dyDescent="0.25">
      <c r="C10" s="1" t="s">
        <v>33</v>
      </c>
      <c r="D10" s="1">
        <v>3</v>
      </c>
      <c r="E10" s="1"/>
      <c r="F10" s="11">
        <f>J15+O15</f>
        <v>1.1378182354484554</v>
      </c>
      <c r="H10" s="1" t="s">
        <v>155</v>
      </c>
      <c r="I10" s="1"/>
      <c r="J10" s="1">
        <v>2.5099999999999998</v>
      </c>
      <c r="K10" s="1"/>
      <c r="L10" s="1" t="s">
        <v>157</v>
      </c>
      <c r="M10" s="1"/>
      <c r="N10" s="1"/>
      <c r="O10" s="1">
        <v>5.31</v>
      </c>
    </row>
    <row r="11" spans="3:18" x14ac:dyDescent="0.25">
      <c r="C11" s="1" t="s">
        <v>34</v>
      </c>
      <c r="D11" s="1">
        <v>2</v>
      </c>
      <c r="E11" s="1"/>
      <c r="F11" s="1">
        <f t="shared" ref="F11:F13" si="0">D11*E11</f>
        <v>0</v>
      </c>
      <c r="H11" s="1" t="s">
        <v>156</v>
      </c>
      <c r="I11" s="1"/>
      <c r="J11" s="1">
        <v>3.36</v>
      </c>
      <c r="K11" s="1"/>
      <c r="L11" s="1" t="s">
        <v>158</v>
      </c>
      <c r="M11" s="1"/>
      <c r="N11" s="1"/>
      <c r="O11" s="1">
        <v>6.69</v>
      </c>
      <c r="Q11" t="s">
        <v>129</v>
      </c>
      <c r="R11">
        <f>J11+O11</f>
        <v>10.050000000000001</v>
      </c>
    </row>
    <row r="12" spans="3:18" x14ac:dyDescent="0.25">
      <c r="C12" s="1" t="s">
        <v>35</v>
      </c>
      <c r="D12" s="1">
        <v>1</v>
      </c>
      <c r="E12" s="1"/>
      <c r="F12" s="1">
        <f t="shared" si="0"/>
        <v>0</v>
      </c>
      <c r="H12" s="1"/>
      <c r="I12" s="1" t="s">
        <v>128</v>
      </c>
      <c r="J12" s="1">
        <f>J11/J10</f>
        <v>1.3386454183266934</v>
      </c>
      <c r="K12" s="1"/>
      <c r="L12" s="1"/>
      <c r="M12" s="1"/>
      <c r="N12" s="1" t="s">
        <v>128</v>
      </c>
      <c r="O12" s="1">
        <f>O11/O10</f>
        <v>1.2598870056497178</v>
      </c>
    </row>
    <row r="13" spans="3:18" x14ac:dyDescent="0.25">
      <c r="C13" s="1" t="s">
        <v>36</v>
      </c>
      <c r="D13" s="1">
        <v>0</v>
      </c>
      <c r="E13" s="1"/>
      <c r="F13" s="1">
        <f t="shared" si="0"/>
        <v>0</v>
      </c>
      <c r="H13" s="1"/>
      <c r="I13" s="1"/>
      <c r="J13" s="1">
        <f>14-10*J12</f>
        <v>0.61354581673306541</v>
      </c>
      <c r="K13" s="1"/>
      <c r="L13" s="1"/>
      <c r="M13" s="1"/>
      <c r="N13" s="1"/>
      <c r="O13" s="1">
        <f>14-10*O12</f>
        <v>1.4011299435028217</v>
      </c>
    </row>
    <row r="14" spans="3:18" x14ac:dyDescent="0.25">
      <c r="C14" s="1"/>
      <c r="D14" s="1"/>
      <c r="E14" s="1" t="s">
        <v>38</v>
      </c>
      <c r="F14" s="11">
        <f>SUM(F10:F13)</f>
        <v>1.1378182354484554</v>
      </c>
      <c r="H14" s="1"/>
      <c r="I14" s="1" t="s">
        <v>130</v>
      </c>
      <c r="J14" s="1">
        <f>J11/R11</f>
        <v>0.33432835820895518</v>
      </c>
      <c r="K14" s="1"/>
      <c r="L14" s="1"/>
      <c r="M14" s="1"/>
      <c r="N14" s="1"/>
      <c r="O14" s="1">
        <f>O11/R11</f>
        <v>0.66567164179104477</v>
      </c>
    </row>
    <row r="15" spans="3:18" x14ac:dyDescent="0.25">
      <c r="H15" s="1"/>
      <c r="I15" s="1"/>
      <c r="J15" s="1">
        <f>J13*J14</f>
        <v>0.20512576559433826</v>
      </c>
      <c r="K15" s="1"/>
      <c r="L15" s="1"/>
      <c r="M15" s="1"/>
      <c r="N15" s="1"/>
      <c r="O15" s="1">
        <f>O13*O14</f>
        <v>0.93269246985411713</v>
      </c>
    </row>
    <row r="16" spans="3:18" x14ac:dyDescent="0.25">
      <c r="L16">
        <f>(J13+O13)/2</f>
        <v>1.0073378801179436</v>
      </c>
    </row>
    <row r="17" spans="3:15" x14ac:dyDescent="0.25">
      <c r="I17" s="1" t="s">
        <v>37</v>
      </c>
      <c r="J17" s="1" t="s">
        <v>142</v>
      </c>
      <c r="K17" s="1" t="s">
        <v>139</v>
      </c>
      <c r="M17" s="1" t="s">
        <v>37</v>
      </c>
      <c r="N17" s="1" t="s">
        <v>142</v>
      </c>
      <c r="O17" s="1" t="s">
        <v>139</v>
      </c>
    </row>
    <row r="18" spans="3:15" x14ac:dyDescent="0.25">
      <c r="C18" s="4" t="s">
        <v>3</v>
      </c>
      <c r="D18" s="1" t="s">
        <v>31</v>
      </c>
      <c r="E18" s="1" t="s">
        <v>44</v>
      </c>
      <c r="F18" s="1" t="s">
        <v>32</v>
      </c>
      <c r="G18" s="1" t="s">
        <v>31</v>
      </c>
      <c r="I18" s="1" t="s">
        <v>159</v>
      </c>
      <c r="J18" s="1">
        <v>0</v>
      </c>
      <c r="K18" s="1">
        <v>0</v>
      </c>
      <c r="M18" s="1" t="s">
        <v>160</v>
      </c>
      <c r="N18" s="1">
        <v>0</v>
      </c>
      <c r="O18" s="1"/>
    </row>
    <row r="19" spans="3:15" x14ac:dyDescent="0.25">
      <c r="C19" s="1" t="s">
        <v>39</v>
      </c>
      <c r="D19" s="1">
        <v>5</v>
      </c>
      <c r="E19" s="1">
        <f>COUNTIF(K19:K37,"&gt;600")+COUNTIF(O19:O37,"&gt;600")</f>
        <v>13</v>
      </c>
      <c r="F19" s="6">
        <f>E19/$E$23</f>
        <v>0.34210526315789475</v>
      </c>
      <c r="G19" s="6">
        <f>D19*F19</f>
        <v>1.7105263157894737</v>
      </c>
      <c r="I19" s="1"/>
      <c r="J19" s="1">
        <v>615</v>
      </c>
      <c r="K19" s="1">
        <f>J19-J18</f>
        <v>615</v>
      </c>
      <c r="M19" s="1"/>
      <c r="N19" s="1">
        <v>660</v>
      </c>
      <c r="O19" s="1">
        <f>N19-N18</f>
        <v>660</v>
      </c>
    </row>
    <row r="20" spans="3:15" x14ac:dyDescent="0.25">
      <c r="C20" s="1" t="s">
        <v>40</v>
      </c>
      <c r="D20" s="1">
        <v>4</v>
      </c>
      <c r="E20" s="1">
        <f>COUNTIF(K19:K37,"&gt;500")+COUNTIF(O19:O37,"&gt;500")-E19</f>
        <v>9</v>
      </c>
      <c r="F20" s="6">
        <f t="shared" ref="F20:F22" si="1">E20/$E$23</f>
        <v>0.23684210526315788</v>
      </c>
      <c r="G20" s="6">
        <f t="shared" ref="G20:G22" si="2">D20*F20</f>
        <v>0.94736842105263153</v>
      </c>
      <c r="I20" s="1"/>
      <c r="J20" s="1">
        <v>1110</v>
      </c>
      <c r="K20" s="1">
        <f t="shared" ref="K20:K37" si="3">J20-J19</f>
        <v>495</v>
      </c>
      <c r="M20" s="1"/>
      <c r="N20" s="1">
        <v>1040</v>
      </c>
      <c r="O20" s="1">
        <f t="shared" ref="O20:O37" si="4">N20-N19</f>
        <v>380</v>
      </c>
    </row>
    <row r="21" spans="3:15" x14ac:dyDescent="0.25">
      <c r="C21" s="1" t="s">
        <v>41</v>
      </c>
      <c r="D21" s="1">
        <v>3</v>
      </c>
      <c r="E21" s="1">
        <f>COUNTIF(K19:K37,"&gt;400")+COUNTIF(O19:O37,"&gt;400")-E20-E19</f>
        <v>9</v>
      </c>
      <c r="F21" s="6">
        <f t="shared" si="1"/>
        <v>0.23684210526315788</v>
      </c>
      <c r="G21" s="6">
        <f t="shared" si="2"/>
        <v>0.71052631578947367</v>
      </c>
      <c r="I21" s="1"/>
      <c r="J21" s="1">
        <v>1390</v>
      </c>
      <c r="K21" s="1">
        <f t="shared" si="3"/>
        <v>280</v>
      </c>
      <c r="M21" s="1"/>
      <c r="N21" s="1">
        <v>1660</v>
      </c>
      <c r="O21" s="1">
        <f t="shared" si="4"/>
        <v>620</v>
      </c>
    </row>
    <row r="22" spans="3:15" x14ac:dyDescent="0.25">
      <c r="C22" s="1" t="s">
        <v>42</v>
      </c>
      <c r="D22" s="1">
        <v>0</v>
      </c>
      <c r="E22" s="1">
        <f>COUNTIF(K19:K37,"&gt;0")+COUNTIF(O19:O37,"&gt;0")-E20-E19-E21</f>
        <v>7</v>
      </c>
      <c r="F22" s="6">
        <f t="shared" si="1"/>
        <v>0.18421052631578946</v>
      </c>
      <c r="G22" s="6">
        <f t="shared" si="2"/>
        <v>0</v>
      </c>
      <c r="I22" s="1"/>
      <c r="J22" s="1">
        <v>1990</v>
      </c>
      <c r="K22" s="1">
        <f t="shared" si="3"/>
        <v>600</v>
      </c>
      <c r="M22" s="1"/>
      <c r="N22" s="1">
        <v>2290</v>
      </c>
      <c r="O22" s="1">
        <f t="shared" si="4"/>
        <v>630</v>
      </c>
    </row>
    <row r="23" spans="3:15" x14ac:dyDescent="0.25">
      <c r="C23" s="1"/>
      <c r="D23" s="1" t="s">
        <v>45</v>
      </c>
      <c r="E23" s="1">
        <f>SUM(E19:E22)</f>
        <v>38</v>
      </c>
      <c r="F23" s="1"/>
      <c r="G23" s="6">
        <f>SUM(G19:G22)</f>
        <v>3.3684210526315788</v>
      </c>
      <c r="I23" s="1"/>
      <c r="J23" s="1">
        <v>2400</v>
      </c>
      <c r="K23" s="1">
        <f t="shared" si="3"/>
        <v>410</v>
      </c>
      <c r="M23" s="1"/>
      <c r="N23" s="1">
        <v>2720</v>
      </c>
      <c r="O23" s="1">
        <f t="shared" si="4"/>
        <v>430</v>
      </c>
    </row>
    <row r="24" spans="3:15" x14ac:dyDescent="0.25">
      <c r="I24" s="1"/>
      <c r="J24" s="1">
        <v>2830</v>
      </c>
      <c r="K24" s="1">
        <f t="shared" si="3"/>
        <v>430</v>
      </c>
      <c r="M24" s="1"/>
      <c r="N24" s="1">
        <v>3370</v>
      </c>
      <c r="O24" s="1">
        <f t="shared" si="4"/>
        <v>650</v>
      </c>
    </row>
    <row r="25" spans="3:15" x14ac:dyDescent="0.25">
      <c r="I25" s="1"/>
      <c r="J25" s="1">
        <v>3420</v>
      </c>
      <c r="K25" s="1">
        <f t="shared" si="3"/>
        <v>590</v>
      </c>
      <c r="M25" s="1"/>
      <c r="N25" s="1">
        <v>3930</v>
      </c>
      <c r="O25" s="1">
        <f t="shared" si="4"/>
        <v>560</v>
      </c>
    </row>
    <row r="26" spans="3:15" x14ac:dyDescent="0.25">
      <c r="I26" s="1"/>
      <c r="J26" s="1">
        <v>4110</v>
      </c>
      <c r="K26" s="1">
        <f t="shared" si="3"/>
        <v>690</v>
      </c>
      <c r="M26" s="1"/>
      <c r="N26" s="1">
        <v>4480</v>
      </c>
      <c r="O26" s="1">
        <f t="shared" si="4"/>
        <v>550</v>
      </c>
    </row>
    <row r="27" spans="3:15" x14ac:dyDescent="0.25">
      <c r="I27" s="1"/>
      <c r="J27" s="1">
        <v>4510</v>
      </c>
      <c r="K27" s="1">
        <f t="shared" si="3"/>
        <v>400</v>
      </c>
      <c r="M27" s="1"/>
      <c r="N27" s="1">
        <v>4900</v>
      </c>
      <c r="O27" s="1">
        <f t="shared" si="4"/>
        <v>420</v>
      </c>
    </row>
    <row r="28" spans="3:15" x14ac:dyDescent="0.25">
      <c r="I28" s="1"/>
      <c r="J28" s="1">
        <v>5230</v>
      </c>
      <c r="K28" s="1">
        <f t="shared" si="3"/>
        <v>720</v>
      </c>
      <c r="M28" s="1"/>
      <c r="N28" s="1">
        <v>5710</v>
      </c>
      <c r="O28" s="1">
        <f t="shared" si="4"/>
        <v>810</v>
      </c>
    </row>
    <row r="29" spans="3:15" x14ac:dyDescent="0.25">
      <c r="I29" s="1"/>
      <c r="J29" s="1">
        <v>5680</v>
      </c>
      <c r="K29" s="1">
        <f t="shared" si="3"/>
        <v>450</v>
      </c>
      <c r="M29" s="1"/>
      <c r="N29" s="1">
        <v>6090</v>
      </c>
      <c r="O29" s="1">
        <f t="shared" si="4"/>
        <v>380</v>
      </c>
    </row>
    <row r="30" spans="3:15" x14ac:dyDescent="0.25">
      <c r="I30" s="1"/>
      <c r="J30" s="1">
        <v>6200</v>
      </c>
      <c r="K30" s="1">
        <f t="shared" si="3"/>
        <v>520</v>
      </c>
      <c r="M30" s="1"/>
      <c r="N30" s="1">
        <v>6700</v>
      </c>
      <c r="O30" s="1">
        <f t="shared" si="4"/>
        <v>610</v>
      </c>
    </row>
    <row r="31" spans="3:15" x14ac:dyDescent="0.25">
      <c r="I31" s="1"/>
      <c r="J31" s="1">
        <v>6740</v>
      </c>
      <c r="K31" s="1">
        <f t="shared" si="3"/>
        <v>540</v>
      </c>
      <c r="M31" s="1"/>
      <c r="N31" s="1">
        <v>7360</v>
      </c>
      <c r="O31" s="1">
        <f t="shared" si="4"/>
        <v>660</v>
      </c>
    </row>
    <row r="32" spans="3:15" x14ac:dyDescent="0.25">
      <c r="I32" s="1"/>
      <c r="J32" s="1">
        <v>7400</v>
      </c>
      <c r="K32" s="1">
        <f t="shared" si="3"/>
        <v>660</v>
      </c>
      <c r="M32" s="1"/>
      <c r="N32" s="1">
        <v>7770</v>
      </c>
      <c r="O32" s="1">
        <f t="shared" si="4"/>
        <v>410</v>
      </c>
    </row>
    <row r="33" spans="3:15" x14ac:dyDescent="0.25">
      <c r="I33" s="1"/>
      <c r="J33" s="1">
        <v>7820</v>
      </c>
      <c r="K33" s="1">
        <f t="shared" si="3"/>
        <v>420</v>
      </c>
      <c r="M33" s="1"/>
      <c r="N33" s="1">
        <v>8140</v>
      </c>
      <c r="O33" s="1">
        <f t="shared" si="4"/>
        <v>370</v>
      </c>
    </row>
    <row r="34" spans="3:15" x14ac:dyDescent="0.25">
      <c r="I34" s="1"/>
      <c r="J34" s="1">
        <v>8560</v>
      </c>
      <c r="K34" s="1">
        <f t="shared" si="3"/>
        <v>740</v>
      </c>
      <c r="M34" s="1"/>
      <c r="N34" s="1">
        <v>8740</v>
      </c>
      <c r="O34" s="1">
        <f t="shared" si="4"/>
        <v>600</v>
      </c>
    </row>
    <row r="35" spans="3:15" x14ac:dyDescent="0.25">
      <c r="I35" s="1"/>
      <c r="J35" s="1">
        <v>9090</v>
      </c>
      <c r="K35" s="1">
        <f t="shared" si="3"/>
        <v>530</v>
      </c>
      <c r="M35" s="1"/>
      <c r="N35" s="1">
        <v>9020</v>
      </c>
      <c r="O35" s="1">
        <f t="shared" si="4"/>
        <v>280</v>
      </c>
    </row>
    <row r="36" spans="3:15" x14ac:dyDescent="0.25">
      <c r="I36" s="1"/>
      <c r="J36" s="1">
        <v>9440</v>
      </c>
      <c r="K36" s="1">
        <f t="shared" si="3"/>
        <v>350</v>
      </c>
      <c r="M36" s="1"/>
      <c r="N36" s="1">
        <v>9500</v>
      </c>
      <c r="O36" s="1">
        <f t="shared" si="4"/>
        <v>480</v>
      </c>
    </row>
    <row r="37" spans="3:15" x14ac:dyDescent="0.25">
      <c r="I37" s="1"/>
      <c r="J37" s="1">
        <v>10140</v>
      </c>
      <c r="K37" s="1">
        <f t="shared" si="3"/>
        <v>700</v>
      </c>
      <c r="M37" s="1"/>
      <c r="N37" s="1">
        <v>10060</v>
      </c>
      <c r="O37" s="1">
        <f t="shared" si="4"/>
        <v>560</v>
      </c>
    </row>
    <row r="40" spans="3:15" x14ac:dyDescent="0.25">
      <c r="C40" s="4" t="s">
        <v>4</v>
      </c>
      <c r="D40" s="1" t="s">
        <v>51</v>
      </c>
      <c r="E40" s="1" t="s">
        <v>44</v>
      </c>
      <c r="F40" s="1" t="s">
        <v>56</v>
      </c>
      <c r="G40" s="1" t="s">
        <v>31</v>
      </c>
      <c r="I40" t="s">
        <v>133</v>
      </c>
      <c r="J40" t="s">
        <v>131</v>
      </c>
      <c r="K40" t="s">
        <v>132</v>
      </c>
    </row>
    <row r="41" spans="3:15" x14ac:dyDescent="0.25">
      <c r="C41" s="1" t="s">
        <v>46</v>
      </c>
      <c r="D41" s="1">
        <v>3</v>
      </c>
      <c r="E41" s="1">
        <v>7</v>
      </c>
      <c r="F41" s="1">
        <f>E41/(R11*2)</f>
        <v>0.34825870646766166</v>
      </c>
      <c r="G41" s="1">
        <f>-4*F41+4</f>
        <v>2.6069651741293534</v>
      </c>
      <c r="I41">
        <v>34</v>
      </c>
      <c r="J41">
        <v>10</v>
      </c>
      <c r="K41">
        <f>((I41/2)^2+J41^2)/(2*J41)</f>
        <v>19.45</v>
      </c>
    </row>
    <row r="42" spans="3:15" x14ac:dyDescent="0.25">
      <c r="C42" s="1" t="s">
        <v>47</v>
      </c>
      <c r="D42" s="1">
        <v>2</v>
      </c>
      <c r="F42" s="1"/>
      <c r="G42" s="1"/>
    </row>
    <row r="43" spans="3:15" x14ac:dyDescent="0.25">
      <c r="C43" s="1" t="s">
        <v>48</v>
      </c>
      <c r="D43" s="1">
        <v>1</v>
      </c>
      <c r="E43" s="1"/>
      <c r="F43" s="1"/>
      <c r="G43" s="1"/>
    </row>
    <row r="44" spans="3:15" x14ac:dyDescent="0.25">
      <c r="C44" s="1" t="s">
        <v>49</v>
      </c>
      <c r="D44" s="1">
        <v>0</v>
      </c>
      <c r="E44" s="1"/>
      <c r="F44" s="1"/>
      <c r="G44" s="1"/>
    </row>
    <row r="45" spans="3:15" x14ac:dyDescent="0.25">
      <c r="F45" s="1" t="s">
        <v>52</v>
      </c>
      <c r="G45" s="1">
        <f>SUM(G41:G44)</f>
        <v>2.6069651741293534</v>
      </c>
      <c r="J45" s="5"/>
    </row>
    <row r="47" spans="3:15" x14ac:dyDescent="0.25">
      <c r="C47" s="8" t="s">
        <v>5</v>
      </c>
      <c r="D47" s="1" t="s">
        <v>51</v>
      </c>
      <c r="E47" s="1" t="s">
        <v>44</v>
      </c>
      <c r="F47" s="1" t="s">
        <v>32</v>
      </c>
      <c r="G47" s="1" t="s">
        <v>31</v>
      </c>
    </row>
    <row r="48" spans="3:15" ht="30" x14ac:dyDescent="0.25">
      <c r="C48" s="2" t="s">
        <v>153</v>
      </c>
      <c r="D48" s="1">
        <v>3</v>
      </c>
      <c r="E48" s="1">
        <v>21</v>
      </c>
      <c r="F48" s="1">
        <f>E48/SUM(E48:E49)</f>
        <v>0.77777777777777779</v>
      </c>
      <c r="G48" s="1">
        <f>D48*F48</f>
        <v>2.3333333333333335</v>
      </c>
    </row>
    <row r="49" spans="3:7" ht="30" x14ac:dyDescent="0.25">
      <c r="C49" s="2" t="s">
        <v>50</v>
      </c>
      <c r="D49" s="1">
        <v>0</v>
      </c>
      <c r="E49" s="1">
        <v>6</v>
      </c>
      <c r="F49" s="1">
        <f>E49/SUM(E48:E49)</f>
        <v>0.22222222222222221</v>
      </c>
      <c r="G49" s="1">
        <f>D49*F49</f>
        <v>0</v>
      </c>
    </row>
    <row r="50" spans="3:7" x14ac:dyDescent="0.25">
      <c r="F50" s="1" t="s">
        <v>45</v>
      </c>
      <c r="G50" s="1">
        <f>SUM(G48:G49)</f>
        <v>2.3333333333333335</v>
      </c>
    </row>
    <row r="52" spans="3:7" x14ac:dyDescent="0.25">
      <c r="C52" s="8" t="s">
        <v>6</v>
      </c>
      <c r="D52" s="1" t="s">
        <v>51</v>
      </c>
      <c r="E52" s="1" t="s">
        <v>44</v>
      </c>
      <c r="F52" s="1" t="s">
        <v>57</v>
      </c>
      <c r="G52" s="1" t="s">
        <v>31</v>
      </c>
    </row>
    <row r="53" spans="3:7" x14ac:dyDescent="0.25">
      <c r="C53" s="1" t="s">
        <v>53</v>
      </c>
      <c r="D53" s="1">
        <v>2</v>
      </c>
      <c r="E53" s="1"/>
      <c r="F53" s="1"/>
      <c r="G53" s="1">
        <v>2</v>
      </c>
    </row>
    <row r="54" spans="3:7" x14ac:dyDescent="0.25">
      <c r="C54" s="1" t="s">
        <v>54</v>
      </c>
      <c r="D54" s="1">
        <v>1</v>
      </c>
      <c r="E54" s="1"/>
      <c r="F54" s="1"/>
      <c r="G54" s="1">
        <v>0</v>
      </c>
    </row>
    <row r="55" spans="3:7" x14ac:dyDescent="0.25">
      <c r="C55" s="1" t="s">
        <v>55</v>
      </c>
      <c r="D55" s="1">
        <v>0</v>
      </c>
      <c r="E55" s="1"/>
      <c r="F55" s="1"/>
      <c r="G55" s="1">
        <v>0</v>
      </c>
    </row>
    <row r="56" spans="3:7" x14ac:dyDescent="0.25">
      <c r="F56" s="1" t="s">
        <v>52</v>
      </c>
      <c r="G56" s="1">
        <f>SUM(G53:G55)</f>
        <v>2</v>
      </c>
    </row>
    <row r="58" spans="3:7" x14ac:dyDescent="0.25">
      <c r="C58" s="1" t="s">
        <v>58</v>
      </c>
      <c r="D58" s="1" t="s">
        <v>51</v>
      </c>
      <c r="E58" s="1" t="s">
        <v>44</v>
      </c>
      <c r="F58" s="1" t="s">
        <v>57</v>
      </c>
      <c r="G58" s="1" t="s">
        <v>31</v>
      </c>
    </row>
    <row r="59" spans="3:7" x14ac:dyDescent="0.25">
      <c r="C59" s="1" t="s">
        <v>59</v>
      </c>
      <c r="D59" s="1">
        <v>1</v>
      </c>
      <c r="E59" s="1">
        <v>0</v>
      </c>
      <c r="F59" s="1"/>
      <c r="G59" s="1">
        <f>D59*F59</f>
        <v>0</v>
      </c>
    </row>
    <row r="60" spans="3:7" x14ac:dyDescent="0.25">
      <c r="C60" s="8" t="s">
        <v>60</v>
      </c>
      <c r="D60" s="1">
        <v>1</v>
      </c>
      <c r="E60" s="1">
        <v>0</v>
      </c>
      <c r="F60" s="1">
        <v>0.5</v>
      </c>
      <c r="G60" s="1">
        <f>D60*F60</f>
        <v>0.5</v>
      </c>
    </row>
    <row r="61" spans="3:7" x14ac:dyDescent="0.25">
      <c r="F61" s="7" t="s">
        <v>52</v>
      </c>
      <c r="G61" s="7">
        <f>SUM(G59:G60)</f>
        <v>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EA32-5F2D-4E9F-BA99-1531F44A829E}">
  <dimension ref="C3:T109"/>
  <sheetViews>
    <sheetView zoomScaleNormal="100" workbookViewId="0">
      <selection activeCell="P22" sqref="P22"/>
    </sheetView>
  </sheetViews>
  <sheetFormatPr defaultRowHeight="15" x14ac:dyDescent="0.25"/>
  <cols>
    <col min="3" max="3" width="47" customWidth="1"/>
    <col min="4" max="4" width="9.42578125" bestFit="1" customWidth="1"/>
    <col min="5" max="5" width="12.85546875" bestFit="1" customWidth="1"/>
    <col min="6" max="6" width="12.28515625" customWidth="1"/>
    <col min="7" max="7" width="12.7109375" bestFit="1" customWidth="1"/>
    <col min="9" max="9" width="18.28515625" customWidth="1"/>
    <col min="10" max="10" width="11.85546875" customWidth="1"/>
    <col min="11" max="11" width="13.7109375" customWidth="1"/>
    <col min="12" max="12" width="10" customWidth="1"/>
    <col min="14" max="14" width="10.5703125" customWidth="1"/>
    <col min="15" max="15" width="17" customWidth="1"/>
    <col min="16" max="16" width="11.140625" customWidth="1"/>
    <col min="17" max="17" width="13.140625" customWidth="1"/>
  </cols>
  <sheetData>
    <row r="3" spans="3:19" x14ac:dyDescent="0.25">
      <c r="I3" t="s">
        <v>161</v>
      </c>
      <c r="O3" t="s">
        <v>163</v>
      </c>
    </row>
    <row r="4" spans="3:19" x14ac:dyDescent="0.25">
      <c r="C4" s="1" t="s">
        <v>14</v>
      </c>
      <c r="D4" s="1" t="s">
        <v>51</v>
      </c>
      <c r="E4" s="1" t="s">
        <v>44</v>
      </c>
      <c r="F4" s="1" t="s">
        <v>72</v>
      </c>
      <c r="G4" s="1" t="s">
        <v>31</v>
      </c>
      <c r="I4" t="s">
        <v>154</v>
      </c>
      <c r="J4" t="s">
        <v>151</v>
      </c>
      <c r="K4" t="s">
        <v>134</v>
      </c>
      <c r="L4" t="s">
        <v>135</v>
      </c>
      <c r="M4" t="s">
        <v>139</v>
      </c>
      <c r="O4" t="s">
        <v>154</v>
      </c>
      <c r="P4" t="s">
        <v>151</v>
      </c>
      <c r="Q4" t="s">
        <v>134</v>
      </c>
      <c r="R4" t="s">
        <v>135</v>
      </c>
      <c r="S4" t="s">
        <v>139</v>
      </c>
    </row>
    <row r="5" spans="3:19" ht="45" x14ac:dyDescent="0.25">
      <c r="C5" s="2" t="s">
        <v>73</v>
      </c>
      <c r="D5" s="1">
        <v>8</v>
      </c>
      <c r="E5" s="1">
        <f>SUMIF(K5:K35,"*Fysisk*",M5:M35)+SUMIF(Q5:Q33,"*Fysisk*",S5:S33)</f>
        <v>12280</v>
      </c>
      <c r="F5" s="6">
        <f>E5/SUM(E5:E8)</f>
        <v>0.60792079207920791</v>
      </c>
      <c r="G5" s="1">
        <f>F5*D5</f>
        <v>4.8633663366336632</v>
      </c>
      <c r="K5" t="s">
        <v>76</v>
      </c>
      <c r="L5">
        <v>512</v>
      </c>
      <c r="M5">
        <f>L5</f>
        <v>512</v>
      </c>
      <c r="P5" t="s">
        <v>162</v>
      </c>
      <c r="Q5" t="s">
        <v>138</v>
      </c>
      <c r="R5">
        <v>3510</v>
      </c>
      <c r="S5">
        <f>R5</f>
        <v>3510</v>
      </c>
    </row>
    <row r="6" spans="3:19" ht="45" x14ac:dyDescent="0.25">
      <c r="C6" s="2" t="s">
        <v>74</v>
      </c>
      <c r="D6" s="1">
        <v>6</v>
      </c>
      <c r="E6" s="1">
        <f>SUMIF(K5:K35,"*Visuell*",M5:M35)+SUMIF(Q5:Q33,"*Visuell*",S5:S33)</f>
        <v>0</v>
      </c>
      <c r="F6" s="6">
        <f>E6/SUM(E5:E8)</f>
        <v>0</v>
      </c>
      <c r="G6" s="1">
        <f t="shared" ref="G6:G8" si="0">F6*D6</f>
        <v>0</v>
      </c>
      <c r="J6" s="9" t="s">
        <v>162</v>
      </c>
      <c r="K6" t="s">
        <v>137</v>
      </c>
      <c r="L6">
        <v>591</v>
      </c>
      <c r="M6">
        <f>L6-L5</f>
        <v>79</v>
      </c>
      <c r="Q6" t="s">
        <v>76</v>
      </c>
      <c r="R6">
        <v>3560</v>
      </c>
      <c r="S6">
        <f>R6-R5</f>
        <v>50</v>
      </c>
    </row>
    <row r="7" spans="3:19" x14ac:dyDescent="0.25">
      <c r="C7" s="2" t="s">
        <v>75</v>
      </c>
      <c r="D7" s="1">
        <v>4</v>
      </c>
      <c r="E7" s="1">
        <f>SUMIF(K5:K35,"*linje*",M5:M35)+SUMIF(Q5:Q33,"*linje*",S5:S33)</f>
        <v>79</v>
      </c>
      <c r="F7" s="6">
        <f>E7/SUM(E5:E8)</f>
        <v>3.9108910891089109E-3</v>
      </c>
      <c r="G7" s="1">
        <f t="shared" si="0"/>
        <v>1.5643564356435644E-2</v>
      </c>
      <c r="J7" s="9"/>
      <c r="K7" t="s">
        <v>76</v>
      </c>
      <c r="L7">
        <v>1610</v>
      </c>
      <c r="M7">
        <f t="shared" ref="M7:M14" si="1">L7-L6</f>
        <v>1019</v>
      </c>
      <c r="P7" t="s">
        <v>162</v>
      </c>
      <c r="Q7" t="s">
        <v>138</v>
      </c>
      <c r="R7">
        <v>5160</v>
      </c>
      <c r="S7">
        <f t="shared" ref="S7:S13" si="2">R7-R6</f>
        <v>1600</v>
      </c>
    </row>
    <row r="8" spans="3:19" x14ac:dyDescent="0.25">
      <c r="C8" s="1" t="s">
        <v>76</v>
      </c>
      <c r="D8" s="1">
        <v>0</v>
      </c>
      <c r="E8" s="1">
        <f>SUMIF(K5:K35,"*Blandtrafik*",M5:M35)+SUMIF(Q5:Q33,"*Blandtrafik*",S5:S33)</f>
        <v>7841</v>
      </c>
      <c r="F8" s="6">
        <f>E8/SUM(E5:E8)</f>
        <v>0.38816831683168318</v>
      </c>
      <c r="G8" s="1">
        <f t="shared" si="0"/>
        <v>0</v>
      </c>
      <c r="J8" t="s">
        <v>162</v>
      </c>
      <c r="K8" t="s">
        <v>138</v>
      </c>
      <c r="L8">
        <v>1750</v>
      </c>
      <c r="M8">
        <f t="shared" si="1"/>
        <v>140</v>
      </c>
      <c r="Q8" t="s">
        <v>76</v>
      </c>
      <c r="R8">
        <v>5200</v>
      </c>
      <c r="S8">
        <f t="shared" si="2"/>
        <v>40</v>
      </c>
    </row>
    <row r="9" spans="3:19" x14ac:dyDescent="0.25">
      <c r="D9" s="1" t="s">
        <v>143</v>
      </c>
      <c r="E9" s="1">
        <f>SUM(E5:E8)</f>
        <v>20200</v>
      </c>
      <c r="F9" s="7" t="s">
        <v>38</v>
      </c>
      <c r="G9" s="10">
        <f>SUM(G5:G8)</f>
        <v>4.8790099009900985</v>
      </c>
      <c r="K9" t="s">
        <v>76</v>
      </c>
      <c r="L9">
        <v>3530</v>
      </c>
      <c r="M9">
        <f t="shared" si="1"/>
        <v>1780</v>
      </c>
      <c r="P9" t="s">
        <v>162</v>
      </c>
      <c r="Q9" t="s">
        <v>138</v>
      </c>
      <c r="R9">
        <v>5250</v>
      </c>
      <c r="S9">
        <f t="shared" si="2"/>
        <v>50</v>
      </c>
    </row>
    <row r="10" spans="3:19" x14ac:dyDescent="0.25">
      <c r="J10" t="s">
        <v>162</v>
      </c>
      <c r="K10" t="s">
        <v>138</v>
      </c>
      <c r="L10">
        <v>4370</v>
      </c>
      <c r="M10">
        <f t="shared" si="1"/>
        <v>840</v>
      </c>
      <c r="Q10" t="s">
        <v>76</v>
      </c>
      <c r="R10">
        <v>5760</v>
      </c>
      <c r="S10">
        <f t="shared" si="2"/>
        <v>510</v>
      </c>
    </row>
    <row r="11" spans="3:19" x14ac:dyDescent="0.25">
      <c r="E11">
        <f>K35+P33</f>
        <v>0</v>
      </c>
      <c r="K11" t="s">
        <v>76</v>
      </c>
      <c r="L11">
        <v>4860</v>
      </c>
      <c r="M11">
        <f t="shared" si="1"/>
        <v>490</v>
      </c>
      <c r="P11" t="s">
        <v>162</v>
      </c>
      <c r="Q11" t="s">
        <v>138</v>
      </c>
      <c r="R11">
        <v>6660</v>
      </c>
      <c r="S11">
        <f t="shared" si="2"/>
        <v>900</v>
      </c>
    </row>
    <row r="12" spans="3:19" x14ac:dyDescent="0.25">
      <c r="E12">
        <f>SUM(E5:E8)</f>
        <v>20200</v>
      </c>
      <c r="J12" t="s">
        <v>162</v>
      </c>
      <c r="K12" t="s">
        <v>138</v>
      </c>
      <c r="L12">
        <v>6600</v>
      </c>
      <c r="M12">
        <f t="shared" si="1"/>
        <v>1740</v>
      </c>
      <c r="Q12" t="s">
        <v>76</v>
      </c>
      <c r="R12">
        <v>10050</v>
      </c>
      <c r="S12">
        <f t="shared" si="2"/>
        <v>3390</v>
      </c>
    </row>
    <row r="13" spans="3:19" x14ac:dyDescent="0.25">
      <c r="K13" t="s">
        <v>76</v>
      </c>
      <c r="L13">
        <v>6650</v>
      </c>
      <c r="M13">
        <f t="shared" si="1"/>
        <v>50</v>
      </c>
      <c r="Q13" t="s">
        <v>138</v>
      </c>
      <c r="R13">
        <v>10140</v>
      </c>
      <c r="S13">
        <f t="shared" si="2"/>
        <v>90</v>
      </c>
    </row>
    <row r="14" spans="3:19" x14ac:dyDescent="0.25">
      <c r="E14" t="s">
        <v>76</v>
      </c>
      <c r="J14" t="s">
        <v>162</v>
      </c>
      <c r="K14" t="s">
        <v>138</v>
      </c>
      <c r="L14">
        <v>10060</v>
      </c>
      <c r="M14">
        <f t="shared" si="1"/>
        <v>3410</v>
      </c>
    </row>
    <row r="15" spans="3:19" x14ac:dyDescent="0.25">
      <c r="E15" s="9" t="s">
        <v>136</v>
      </c>
    </row>
    <row r="16" spans="3:19" x14ac:dyDescent="0.25">
      <c r="E16" t="s">
        <v>137</v>
      </c>
    </row>
    <row r="17" spans="5:5" x14ac:dyDescent="0.25">
      <c r="E17" t="s">
        <v>138</v>
      </c>
    </row>
    <row r="33" spans="3:20" x14ac:dyDescent="0.25">
      <c r="O33" s="5"/>
    </row>
    <row r="34" spans="3:20" x14ac:dyDescent="0.25">
      <c r="M34" s="5"/>
    </row>
    <row r="35" spans="3:20" x14ac:dyDescent="0.25">
      <c r="M35" s="5"/>
      <c r="T35" s="5"/>
    </row>
    <row r="36" spans="3:20" x14ac:dyDescent="0.25">
      <c r="M36" s="5"/>
      <c r="T36" s="5"/>
    </row>
    <row r="37" spans="3:20" x14ac:dyDescent="0.25">
      <c r="T37" s="5"/>
    </row>
    <row r="38" spans="3:20" x14ac:dyDescent="0.25">
      <c r="T38" s="5"/>
    </row>
    <row r="41" spans="3:20" ht="15" customHeight="1" x14ac:dyDescent="0.25">
      <c r="C41" s="1" t="s">
        <v>15</v>
      </c>
      <c r="D41" s="1" t="s">
        <v>51</v>
      </c>
      <c r="E41" s="1" t="s">
        <v>44</v>
      </c>
      <c r="F41" s="1" t="s">
        <v>32</v>
      </c>
      <c r="G41" s="1" t="s">
        <v>79</v>
      </c>
    </row>
    <row r="42" spans="3:20" ht="49.5" customHeight="1" x14ac:dyDescent="0.25">
      <c r="C42" s="2" t="s">
        <v>77</v>
      </c>
      <c r="D42" s="1">
        <v>4</v>
      </c>
      <c r="E42" s="1">
        <v>1</v>
      </c>
      <c r="F42" s="6">
        <f>E42/(E42+E43)</f>
        <v>1</v>
      </c>
      <c r="G42" s="1">
        <f>F42*D42</f>
        <v>4</v>
      </c>
    </row>
    <row r="43" spans="3:20" ht="30" x14ac:dyDescent="0.25">
      <c r="C43" s="2" t="s">
        <v>78</v>
      </c>
      <c r="D43" s="1">
        <v>0</v>
      </c>
      <c r="E43" s="1"/>
      <c r="F43" s="6">
        <f>E43/(E42+E43)</f>
        <v>0</v>
      </c>
      <c r="G43" s="1">
        <f>F43*D43</f>
        <v>0</v>
      </c>
    </row>
    <row r="44" spans="3:20" x14ac:dyDescent="0.25">
      <c r="F44" s="1" t="s">
        <v>38</v>
      </c>
      <c r="G44" s="1">
        <f>SUM(G42:G43)</f>
        <v>4</v>
      </c>
    </row>
    <row r="45" spans="3:20" x14ac:dyDescent="0.25">
      <c r="J45" s="5"/>
      <c r="K45" s="5"/>
    </row>
    <row r="48" spans="3:20" x14ac:dyDescent="0.25">
      <c r="C48" s="1" t="s">
        <v>80</v>
      </c>
      <c r="D48" s="1" t="s">
        <v>51</v>
      </c>
      <c r="E48" s="1" t="s">
        <v>44</v>
      </c>
      <c r="F48" s="1" t="s">
        <v>32</v>
      </c>
      <c r="G48" s="1" t="s">
        <v>31</v>
      </c>
    </row>
    <row r="49" spans="3:7" x14ac:dyDescent="0.25">
      <c r="C49" s="1" t="s">
        <v>81</v>
      </c>
      <c r="D49" s="1">
        <v>3</v>
      </c>
      <c r="E49" s="1"/>
      <c r="F49" s="1">
        <v>1</v>
      </c>
      <c r="G49" s="1">
        <v>3</v>
      </c>
    </row>
    <row r="50" spans="3:7" x14ac:dyDescent="0.25">
      <c r="C50" s="1" t="s">
        <v>82</v>
      </c>
      <c r="D50" s="1">
        <v>0</v>
      </c>
      <c r="E50" s="1"/>
      <c r="F50" s="1">
        <v>0</v>
      </c>
      <c r="G50" s="1"/>
    </row>
    <row r="51" spans="3:7" x14ac:dyDescent="0.25">
      <c r="F51" s="7" t="s">
        <v>38</v>
      </c>
      <c r="G51" s="7">
        <f>SUM(G49:G50)</f>
        <v>3</v>
      </c>
    </row>
    <row r="54" spans="3:7" x14ac:dyDescent="0.25">
      <c r="C54" s="8" t="s">
        <v>83</v>
      </c>
      <c r="D54" s="1" t="s">
        <v>51</v>
      </c>
      <c r="E54" s="1" t="s">
        <v>44</v>
      </c>
      <c r="F54" s="1" t="s">
        <v>32</v>
      </c>
      <c r="G54" s="1" t="s">
        <v>31</v>
      </c>
    </row>
    <row r="55" spans="3:7" x14ac:dyDescent="0.25">
      <c r="C55" s="1" t="s">
        <v>84</v>
      </c>
      <c r="D55" s="1">
        <v>2</v>
      </c>
      <c r="E55" s="1">
        <v>2</v>
      </c>
      <c r="F55" s="1">
        <f>E55/(SUM(E5:E7)/1000)</f>
        <v>0.16182539040375435</v>
      </c>
      <c r="G55" s="1">
        <f>2-4*F55</f>
        <v>1.3526984383849827</v>
      </c>
    </row>
    <row r="56" spans="3:7" x14ac:dyDescent="0.25">
      <c r="C56" s="1" t="s">
        <v>85</v>
      </c>
      <c r="D56" s="1">
        <v>1</v>
      </c>
      <c r="E56" s="1"/>
      <c r="F56" s="1"/>
      <c r="G56" s="1">
        <f>D56*F56</f>
        <v>0</v>
      </c>
    </row>
    <row r="57" spans="3:7" x14ac:dyDescent="0.25">
      <c r="C57" s="1" t="s">
        <v>86</v>
      </c>
      <c r="D57" s="1">
        <v>0</v>
      </c>
      <c r="E57" s="1"/>
      <c r="F57" s="1"/>
      <c r="G57" s="1">
        <v>0</v>
      </c>
    </row>
    <row r="58" spans="3:7" x14ac:dyDescent="0.25">
      <c r="F58" s="7" t="s">
        <v>38</v>
      </c>
      <c r="G58" s="7">
        <f>SUM(G55:G57)</f>
        <v>1.3526984383849827</v>
      </c>
    </row>
    <row r="61" spans="3:7" x14ac:dyDescent="0.25">
      <c r="C61" s="1" t="s">
        <v>87</v>
      </c>
      <c r="D61" s="1" t="s">
        <v>51</v>
      </c>
      <c r="E61" s="1" t="s">
        <v>44</v>
      </c>
      <c r="F61" s="1" t="s">
        <v>72</v>
      </c>
      <c r="G61" s="1" t="s">
        <v>31</v>
      </c>
    </row>
    <row r="62" spans="3:7" x14ac:dyDescent="0.25">
      <c r="C62" s="1" t="s">
        <v>84</v>
      </c>
      <c r="D62" s="1">
        <v>3</v>
      </c>
      <c r="E62" s="1">
        <v>60</v>
      </c>
      <c r="F62" s="6">
        <f>E62/(E9/1000)</f>
        <v>2.9702970297029703</v>
      </c>
      <c r="G62" s="1">
        <f>3-(3*F62)</f>
        <v>-5.9108910891089117</v>
      </c>
    </row>
    <row r="63" spans="3:7" x14ac:dyDescent="0.25">
      <c r="C63" s="1" t="s">
        <v>88</v>
      </c>
      <c r="D63" s="1">
        <v>2</v>
      </c>
      <c r="E63" s="1"/>
      <c r="F63" s="6"/>
      <c r="G63" s="1">
        <f>D63*F63</f>
        <v>0</v>
      </c>
    </row>
    <row r="64" spans="3:7" x14ac:dyDescent="0.25">
      <c r="C64" s="1" t="s">
        <v>89</v>
      </c>
      <c r="D64" s="1">
        <v>1</v>
      </c>
      <c r="E64" s="1"/>
      <c r="F64" s="6"/>
      <c r="G64" s="1">
        <f>D64*F64</f>
        <v>0</v>
      </c>
    </row>
    <row r="65" spans="3:7" x14ac:dyDescent="0.25">
      <c r="C65" s="1" t="s">
        <v>49</v>
      </c>
      <c r="D65" s="1">
        <v>0</v>
      </c>
      <c r="E65" s="1"/>
      <c r="F65" s="6"/>
      <c r="G65" s="1">
        <f>D65*F65</f>
        <v>0</v>
      </c>
    </row>
    <row r="66" spans="3:7" x14ac:dyDescent="0.25">
      <c r="F66" s="7" t="s">
        <v>38</v>
      </c>
      <c r="G66" s="10">
        <v>0</v>
      </c>
    </row>
    <row r="68" spans="3:7" x14ac:dyDescent="0.25">
      <c r="C68" s="1" t="s">
        <v>90</v>
      </c>
      <c r="D68" s="1" t="s">
        <v>51</v>
      </c>
      <c r="E68" s="1" t="s">
        <v>44</v>
      </c>
      <c r="F68" s="1" t="s">
        <v>72</v>
      </c>
      <c r="G68" s="1" t="s">
        <v>31</v>
      </c>
    </row>
    <row r="69" spans="3:7" x14ac:dyDescent="0.25">
      <c r="C69" s="1" t="s">
        <v>84</v>
      </c>
      <c r="D69" s="1">
        <v>3</v>
      </c>
      <c r="E69" s="1"/>
      <c r="F69" s="6">
        <f>E69/(E9/1000)</f>
        <v>0</v>
      </c>
      <c r="G69" s="1">
        <f>3-(6*F69)</f>
        <v>3</v>
      </c>
    </row>
    <row r="70" spans="3:7" x14ac:dyDescent="0.25">
      <c r="C70" s="1" t="s">
        <v>91</v>
      </c>
      <c r="D70" s="1">
        <v>2</v>
      </c>
      <c r="E70" s="1"/>
      <c r="F70" s="6"/>
      <c r="G70" s="1"/>
    </row>
    <row r="71" spans="3:7" x14ac:dyDescent="0.25">
      <c r="C71" s="1" t="s">
        <v>92</v>
      </c>
      <c r="D71" s="1">
        <v>1</v>
      </c>
      <c r="E71" s="1"/>
      <c r="F71" s="6"/>
      <c r="G71" s="1"/>
    </row>
    <row r="72" spans="3:7" x14ac:dyDescent="0.25">
      <c r="C72" s="1" t="s">
        <v>93</v>
      </c>
      <c r="D72" s="1">
        <v>0</v>
      </c>
      <c r="E72" s="1"/>
      <c r="F72" s="6"/>
      <c r="G72" s="1"/>
    </row>
    <row r="73" spans="3:7" x14ac:dyDescent="0.25">
      <c r="F73" s="7" t="s">
        <v>38</v>
      </c>
      <c r="G73" s="10">
        <f>SUM(G69:G72)</f>
        <v>3</v>
      </c>
    </row>
    <row r="76" spans="3:7" x14ac:dyDescent="0.25">
      <c r="C76" s="3" t="s">
        <v>94</v>
      </c>
      <c r="D76" s="1" t="s">
        <v>31</v>
      </c>
      <c r="E76" s="1" t="s">
        <v>44</v>
      </c>
      <c r="F76" s="1" t="s">
        <v>32</v>
      </c>
      <c r="G76" s="1" t="s">
        <v>31</v>
      </c>
    </row>
    <row r="77" spans="3:7" x14ac:dyDescent="0.25">
      <c r="C77" s="1" t="s">
        <v>95</v>
      </c>
      <c r="D77" s="1">
        <v>7</v>
      </c>
      <c r="E77" s="1"/>
      <c r="F77" s="1">
        <v>0.5</v>
      </c>
      <c r="G77" s="1">
        <f>D77*F77</f>
        <v>3.5</v>
      </c>
    </row>
    <row r="78" spans="3:7" ht="30" x14ac:dyDescent="0.25">
      <c r="C78" s="2" t="s">
        <v>96</v>
      </c>
      <c r="D78" s="1">
        <v>0</v>
      </c>
      <c r="E78" s="1"/>
      <c r="F78" s="1"/>
      <c r="G78" s="1"/>
    </row>
    <row r="79" spans="3:7" x14ac:dyDescent="0.25">
      <c r="F79" s="1" t="s">
        <v>38</v>
      </c>
      <c r="G79" s="1">
        <f>SUM(G77:G78)</f>
        <v>3.5</v>
      </c>
    </row>
    <row r="82" spans="3:7" x14ac:dyDescent="0.25">
      <c r="C82" s="8" t="s">
        <v>97</v>
      </c>
      <c r="D82" s="1" t="s">
        <v>51</v>
      </c>
      <c r="E82" s="1" t="s">
        <v>44</v>
      </c>
      <c r="F82" s="1" t="s">
        <v>72</v>
      </c>
      <c r="G82" s="1" t="s">
        <v>31</v>
      </c>
    </row>
    <row r="83" spans="3:7" x14ac:dyDescent="0.25">
      <c r="C83" s="1" t="s">
        <v>98</v>
      </c>
      <c r="D83" s="1">
        <v>3</v>
      </c>
      <c r="E83" s="1"/>
      <c r="F83" s="6">
        <f>E83/(SUM(E5:E7)/1000)</f>
        <v>0</v>
      </c>
      <c r="G83" s="1">
        <f>3-1.5*F83</f>
        <v>3</v>
      </c>
    </row>
    <row r="84" spans="3:7" x14ac:dyDescent="0.25">
      <c r="C84" s="1" t="s">
        <v>99</v>
      </c>
      <c r="D84" s="1">
        <v>2</v>
      </c>
      <c r="E84" s="1"/>
      <c r="F84" s="6"/>
      <c r="G84" s="1"/>
    </row>
    <row r="85" spans="3:7" x14ac:dyDescent="0.25">
      <c r="C85" s="1" t="s">
        <v>100</v>
      </c>
      <c r="D85" s="1">
        <v>1</v>
      </c>
      <c r="E85" s="1"/>
      <c r="F85" s="6"/>
      <c r="G85" s="1"/>
    </row>
    <row r="86" spans="3:7" x14ac:dyDescent="0.25">
      <c r="C86" s="1" t="s">
        <v>101</v>
      </c>
      <c r="D86" s="1">
        <v>0</v>
      </c>
      <c r="E86" s="1"/>
      <c r="F86" s="6"/>
      <c r="G86" s="1"/>
    </row>
    <row r="87" spans="3:7" x14ac:dyDescent="0.25">
      <c r="F87" s="7" t="s">
        <v>38</v>
      </c>
      <c r="G87" s="10">
        <f>SUM(G83:G86)</f>
        <v>3</v>
      </c>
    </row>
    <row r="88" spans="3:7" x14ac:dyDescent="0.25">
      <c r="C88" t="s">
        <v>152</v>
      </c>
    </row>
    <row r="96" spans="3:7" x14ac:dyDescent="0.25">
      <c r="C96" s="1" t="s">
        <v>102</v>
      </c>
      <c r="D96" s="1" t="s">
        <v>51</v>
      </c>
      <c r="E96" s="1" t="s">
        <v>44</v>
      </c>
      <c r="F96" s="1" t="s">
        <v>72</v>
      </c>
      <c r="G96" s="1" t="s">
        <v>31</v>
      </c>
    </row>
    <row r="97" spans="3:8" ht="90" x14ac:dyDescent="0.25">
      <c r="C97" s="2" t="s">
        <v>103</v>
      </c>
      <c r="D97" s="1">
        <v>10</v>
      </c>
      <c r="E97" s="1">
        <v>0</v>
      </c>
      <c r="F97" s="6">
        <f>E97/SUM(E97:E100)</f>
        <v>0</v>
      </c>
      <c r="G97" s="1">
        <f>D97*F97</f>
        <v>0</v>
      </c>
      <c r="H97" t="s">
        <v>127</v>
      </c>
    </row>
    <row r="98" spans="3:8" ht="60" x14ac:dyDescent="0.25">
      <c r="C98" s="2" t="s">
        <v>104</v>
      </c>
      <c r="D98" s="1">
        <v>8</v>
      </c>
      <c r="E98" s="1">
        <v>0</v>
      </c>
      <c r="F98" s="6">
        <f>E98/SUM(E97:E100)</f>
        <v>0</v>
      </c>
      <c r="G98" s="1">
        <f>D98*F98</f>
        <v>0</v>
      </c>
      <c r="H98" t="s">
        <v>125</v>
      </c>
    </row>
    <row r="99" spans="3:8" x14ac:dyDescent="0.25">
      <c r="C99" s="1" t="s">
        <v>105</v>
      </c>
      <c r="D99" s="1">
        <v>5</v>
      </c>
      <c r="E99" s="1">
        <v>1</v>
      </c>
      <c r="F99" s="6">
        <f>E99/SUM(E97:E100)</f>
        <v>1</v>
      </c>
      <c r="G99" s="1">
        <f>D99*F99</f>
        <v>5</v>
      </c>
      <c r="H99" t="s">
        <v>126</v>
      </c>
    </row>
    <row r="100" spans="3:8" ht="45" x14ac:dyDescent="0.25">
      <c r="C100" s="2" t="s">
        <v>106</v>
      </c>
      <c r="D100" s="1">
        <v>0</v>
      </c>
      <c r="E100" s="1">
        <v>0</v>
      </c>
      <c r="F100" s="6">
        <f>E100/SUM(E97:E100)</f>
        <v>0</v>
      </c>
      <c r="G100" s="1">
        <f>D100*F100</f>
        <v>0</v>
      </c>
    </row>
    <row r="101" spans="3:8" x14ac:dyDescent="0.25">
      <c r="F101" s="7" t="s">
        <v>38</v>
      </c>
      <c r="G101" s="10">
        <f>SUM(G97:G100)</f>
        <v>5</v>
      </c>
    </row>
    <row r="104" spans="3:8" x14ac:dyDescent="0.25">
      <c r="C104" s="1" t="s">
        <v>107</v>
      </c>
      <c r="D104" s="1" t="s">
        <v>51</v>
      </c>
      <c r="E104" s="1" t="s">
        <v>44</v>
      </c>
      <c r="F104" s="1" t="s">
        <v>72</v>
      </c>
      <c r="G104" s="1" t="s">
        <v>31</v>
      </c>
    </row>
    <row r="105" spans="3:8" ht="60" x14ac:dyDescent="0.25">
      <c r="C105" s="2" t="s">
        <v>108</v>
      </c>
      <c r="D105" s="1">
        <v>3</v>
      </c>
      <c r="E105" s="6">
        <v>0</v>
      </c>
      <c r="F105" s="6">
        <f>E105/SUM(E105:E108)</f>
        <v>0</v>
      </c>
      <c r="G105" s="1">
        <f>D105*F105</f>
        <v>0</v>
      </c>
    </row>
    <row r="106" spans="3:8" ht="45" x14ac:dyDescent="0.25">
      <c r="C106" s="2" t="s">
        <v>109</v>
      </c>
      <c r="D106" s="1">
        <v>2</v>
      </c>
      <c r="E106" s="6">
        <v>33</v>
      </c>
      <c r="F106" s="6">
        <f>E106/SUM(E105:E108)</f>
        <v>0.91666666666666663</v>
      </c>
      <c r="G106" s="1">
        <f t="shared" ref="G106:G108" si="3">D106*F106</f>
        <v>1.8333333333333333</v>
      </c>
    </row>
    <row r="107" spans="3:8" ht="45" x14ac:dyDescent="0.25">
      <c r="C107" s="2" t="s">
        <v>110</v>
      </c>
      <c r="D107" s="1">
        <v>1</v>
      </c>
      <c r="E107" s="6">
        <v>1</v>
      </c>
      <c r="F107" s="6">
        <f>E107/SUM(E105:E108)</f>
        <v>2.7777777777777776E-2</v>
      </c>
      <c r="G107" s="1">
        <f t="shared" si="3"/>
        <v>2.7777777777777776E-2</v>
      </c>
    </row>
    <row r="108" spans="3:8" x14ac:dyDescent="0.25">
      <c r="C108" s="1" t="s">
        <v>111</v>
      </c>
      <c r="D108" s="1">
        <v>0</v>
      </c>
      <c r="E108" s="6">
        <v>2</v>
      </c>
      <c r="F108" s="6">
        <f>E108/SUM(E105:E108)</f>
        <v>5.5555555555555552E-2</v>
      </c>
      <c r="G108" s="1">
        <f t="shared" si="3"/>
        <v>0</v>
      </c>
    </row>
    <row r="109" spans="3:8" x14ac:dyDescent="0.25">
      <c r="E109" s="7" t="s">
        <v>38</v>
      </c>
      <c r="F109" s="1">
        <f>SUM(F105:F108)</f>
        <v>1</v>
      </c>
      <c r="G109" s="10">
        <f>SUM(G105:G108)</f>
        <v>1.8611111111111109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6450-5474-48B5-AC59-8D973462AF0B}">
  <dimension ref="C4:G20"/>
  <sheetViews>
    <sheetView tabSelected="1" workbookViewId="0">
      <selection activeCell="I10" sqref="I10:I11"/>
    </sheetView>
  </sheetViews>
  <sheetFormatPr defaultRowHeight="15" x14ac:dyDescent="0.25"/>
  <cols>
    <col min="3" max="3" width="51.7109375" customWidth="1"/>
    <col min="5" max="5" width="11.42578125" customWidth="1"/>
  </cols>
  <sheetData>
    <row r="4" spans="3:7" x14ac:dyDescent="0.25">
      <c r="C4" s="1" t="s">
        <v>64</v>
      </c>
      <c r="D4" s="1" t="s">
        <v>51</v>
      </c>
      <c r="E4" s="1" t="s">
        <v>32</v>
      </c>
      <c r="F4" s="1" t="s">
        <v>31</v>
      </c>
    </row>
    <row r="5" spans="3:7" ht="30" x14ac:dyDescent="0.25">
      <c r="C5" s="2" t="s">
        <v>62</v>
      </c>
      <c r="D5" s="1">
        <v>2</v>
      </c>
      <c r="E5" s="1">
        <v>1</v>
      </c>
      <c r="F5" s="1">
        <v>2</v>
      </c>
      <c r="G5" t="s">
        <v>195</v>
      </c>
    </row>
    <row r="6" spans="3:7" ht="60" x14ac:dyDescent="0.25">
      <c r="C6" s="2" t="s">
        <v>63</v>
      </c>
      <c r="D6" s="1">
        <v>2</v>
      </c>
      <c r="E6" s="1">
        <v>1</v>
      </c>
      <c r="F6" s="1">
        <v>0</v>
      </c>
      <c r="G6" t="s">
        <v>196</v>
      </c>
    </row>
    <row r="7" spans="3:7" x14ac:dyDescent="0.25">
      <c r="E7" s="1" t="s">
        <v>38</v>
      </c>
      <c r="F7" s="1">
        <f>SUM(F5:F6)</f>
        <v>2</v>
      </c>
    </row>
    <row r="9" spans="3:7" x14ac:dyDescent="0.25">
      <c r="C9" s="1" t="s">
        <v>10</v>
      </c>
      <c r="D9" s="1" t="s">
        <v>51</v>
      </c>
      <c r="E9" s="1" t="s">
        <v>44</v>
      </c>
      <c r="F9" s="1" t="s">
        <v>32</v>
      </c>
      <c r="G9" s="1" t="s">
        <v>31</v>
      </c>
    </row>
    <row r="10" spans="3:7" ht="30" x14ac:dyDescent="0.25">
      <c r="C10" s="2" t="s">
        <v>65</v>
      </c>
      <c r="D10" s="1">
        <v>2</v>
      </c>
      <c r="E10" s="1">
        <v>33</v>
      </c>
      <c r="F10" s="1">
        <f>33/36</f>
        <v>0.91666666666666663</v>
      </c>
      <c r="G10" s="1">
        <f>D10*F10</f>
        <v>1.8333333333333333</v>
      </c>
    </row>
    <row r="11" spans="3:7" ht="30" x14ac:dyDescent="0.25">
      <c r="C11" s="2" t="s">
        <v>66</v>
      </c>
      <c r="D11" s="1">
        <v>2</v>
      </c>
      <c r="E11" s="1"/>
      <c r="F11" s="1" t="s">
        <v>67</v>
      </c>
      <c r="G11" s="1">
        <v>2</v>
      </c>
    </row>
    <row r="12" spans="3:7" x14ac:dyDescent="0.25">
      <c r="F12" s="1" t="s">
        <v>38</v>
      </c>
      <c r="G12" s="1">
        <f>SUM(G10:G11)</f>
        <v>3.833333333333333</v>
      </c>
    </row>
    <row r="14" spans="3:7" x14ac:dyDescent="0.25">
      <c r="C14" s="1" t="s">
        <v>68</v>
      </c>
      <c r="D14" s="1" t="s">
        <v>51</v>
      </c>
      <c r="E14" s="1" t="s">
        <v>32</v>
      </c>
      <c r="F14" s="1" t="s">
        <v>31</v>
      </c>
    </row>
    <row r="15" spans="3:7" x14ac:dyDescent="0.25">
      <c r="C15" s="1" t="s">
        <v>69</v>
      </c>
      <c r="D15" s="1">
        <v>9</v>
      </c>
      <c r="E15" s="1" t="s">
        <v>67</v>
      </c>
      <c r="F15" s="1">
        <v>9</v>
      </c>
    </row>
    <row r="16" spans="3:7" x14ac:dyDescent="0.25">
      <c r="C16" s="1" t="s">
        <v>70</v>
      </c>
      <c r="D16" s="1">
        <v>1</v>
      </c>
      <c r="E16" s="1" t="s">
        <v>67</v>
      </c>
      <c r="F16" s="1"/>
    </row>
    <row r="17" spans="3:6" x14ac:dyDescent="0.25">
      <c r="E17" s="1" t="s">
        <v>38</v>
      </c>
      <c r="F17" s="1">
        <f>SUM(F15:F16)</f>
        <v>9</v>
      </c>
    </row>
    <row r="19" spans="3:6" x14ac:dyDescent="0.25">
      <c r="C19" s="3" t="s">
        <v>12</v>
      </c>
      <c r="D19" s="1" t="s">
        <v>51</v>
      </c>
      <c r="E19" s="1" t="s">
        <v>32</v>
      </c>
      <c r="F19" s="1" t="s">
        <v>31</v>
      </c>
    </row>
    <row r="20" spans="3:6" ht="30" x14ac:dyDescent="0.25">
      <c r="C20" s="2" t="s">
        <v>71</v>
      </c>
      <c r="D20" s="1">
        <v>2</v>
      </c>
      <c r="E20" s="1">
        <v>1</v>
      </c>
      <c r="F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A04AF-4065-408B-9E87-D12417F6B070}">
  <dimension ref="C4:H29"/>
  <sheetViews>
    <sheetView topLeftCell="A4" workbookViewId="0">
      <selection activeCell="J8" sqref="J8"/>
    </sheetView>
  </sheetViews>
  <sheetFormatPr defaultRowHeight="15" x14ac:dyDescent="0.25"/>
  <cols>
    <col min="3" max="3" width="58" customWidth="1"/>
  </cols>
  <sheetData>
    <row r="4" spans="3:8" x14ac:dyDescent="0.25">
      <c r="C4" s="1" t="s">
        <v>140</v>
      </c>
      <c r="D4" s="1" t="s">
        <v>51</v>
      </c>
      <c r="E4" s="1" t="s">
        <v>32</v>
      </c>
      <c r="F4" s="1" t="s">
        <v>31</v>
      </c>
    </row>
    <row r="5" spans="3:8" x14ac:dyDescent="0.25">
      <c r="C5" s="1" t="s">
        <v>112</v>
      </c>
      <c r="D5" s="1">
        <v>4</v>
      </c>
      <c r="E5" s="1">
        <v>0</v>
      </c>
      <c r="F5" s="1"/>
      <c r="H5" t="s">
        <v>164</v>
      </c>
    </row>
    <row r="6" spans="3:8" x14ac:dyDescent="0.25">
      <c r="C6" s="1" t="s">
        <v>113</v>
      </c>
      <c r="D6" s="1">
        <v>3</v>
      </c>
      <c r="E6" s="1">
        <v>0</v>
      </c>
      <c r="F6" s="1">
        <f>D6*E6</f>
        <v>0</v>
      </c>
    </row>
    <row r="7" spans="3:8" x14ac:dyDescent="0.25">
      <c r="C7" s="1" t="s">
        <v>114</v>
      </c>
      <c r="D7" s="1">
        <v>0</v>
      </c>
      <c r="E7" s="1">
        <v>0</v>
      </c>
      <c r="F7" s="1">
        <v>0</v>
      </c>
    </row>
    <row r="8" spans="3:8" x14ac:dyDescent="0.25">
      <c r="E8" s="7" t="s">
        <v>38</v>
      </c>
      <c r="F8" s="7">
        <f>SUM(F5:F7)</f>
        <v>0</v>
      </c>
    </row>
    <row r="11" spans="3:8" x14ac:dyDescent="0.25">
      <c r="C11" s="1" t="s">
        <v>141</v>
      </c>
      <c r="D11" s="1" t="s">
        <v>51</v>
      </c>
      <c r="E11" s="1" t="s">
        <v>32</v>
      </c>
      <c r="F11" s="1" t="s">
        <v>31</v>
      </c>
    </row>
    <row r="12" spans="3:8" x14ac:dyDescent="0.25">
      <c r="C12" s="1" t="s">
        <v>115</v>
      </c>
      <c r="D12" s="1">
        <v>4</v>
      </c>
      <c r="E12" s="1">
        <v>0</v>
      </c>
      <c r="F12" s="1">
        <v>4</v>
      </c>
    </row>
    <row r="13" spans="3:8" x14ac:dyDescent="0.25">
      <c r="C13" s="1" t="s">
        <v>116</v>
      </c>
      <c r="D13" s="1">
        <v>3</v>
      </c>
      <c r="E13" s="1">
        <v>0</v>
      </c>
      <c r="F13" s="1"/>
    </row>
    <row r="14" spans="3:8" x14ac:dyDescent="0.25">
      <c r="C14" s="1" t="s">
        <v>117</v>
      </c>
      <c r="D14" s="1">
        <v>0</v>
      </c>
      <c r="E14" s="1">
        <v>0</v>
      </c>
      <c r="F14" s="1">
        <v>0</v>
      </c>
    </row>
    <row r="15" spans="3:8" x14ac:dyDescent="0.25">
      <c r="E15" s="7" t="s">
        <v>38</v>
      </c>
      <c r="F15" s="7">
        <f>SUM(F12:F14)</f>
        <v>4</v>
      </c>
    </row>
    <row r="18" spans="3:6" x14ac:dyDescent="0.25">
      <c r="C18" s="1" t="s">
        <v>118</v>
      </c>
      <c r="D18" s="1" t="s">
        <v>51</v>
      </c>
      <c r="E18" s="1" t="s">
        <v>32</v>
      </c>
      <c r="F18" s="1" t="s">
        <v>31</v>
      </c>
    </row>
    <row r="19" spans="3:6" x14ac:dyDescent="0.25">
      <c r="C19" s="1" t="s">
        <v>119</v>
      </c>
      <c r="D19" s="1">
        <v>3</v>
      </c>
      <c r="E19" s="1">
        <v>0</v>
      </c>
      <c r="F19" s="1"/>
    </row>
    <row r="20" spans="3:6" x14ac:dyDescent="0.25">
      <c r="C20" s="1" t="s">
        <v>120</v>
      </c>
      <c r="D20" s="1">
        <v>2</v>
      </c>
      <c r="E20" s="1">
        <v>0</v>
      </c>
      <c r="F20" s="1">
        <v>2</v>
      </c>
    </row>
    <row r="21" spans="3:6" x14ac:dyDescent="0.25">
      <c r="C21" s="1" t="s">
        <v>121</v>
      </c>
      <c r="D21" s="1">
        <v>0</v>
      </c>
      <c r="E21" s="1">
        <v>0</v>
      </c>
      <c r="F21" s="1">
        <v>0</v>
      </c>
    </row>
    <row r="22" spans="3:6" x14ac:dyDescent="0.25">
      <c r="E22" s="7" t="s">
        <v>38</v>
      </c>
      <c r="F22" s="7">
        <f>SUM(F19:F21)</f>
        <v>2</v>
      </c>
    </row>
    <row r="25" spans="3:6" x14ac:dyDescent="0.25">
      <c r="C25" s="1" t="s">
        <v>122</v>
      </c>
      <c r="D25" s="1" t="s">
        <v>51</v>
      </c>
      <c r="E25" s="1" t="s">
        <v>32</v>
      </c>
      <c r="F25" s="1" t="s">
        <v>31</v>
      </c>
    </row>
    <row r="26" spans="3:6" x14ac:dyDescent="0.25">
      <c r="C26" s="1" t="s">
        <v>120</v>
      </c>
      <c r="D26" s="1">
        <v>3</v>
      </c>
      <c r="E26" s="1">
        <v>0</v>
      </c>
      <c r="F26" s="1"/>
    </row>
    <row r="27" spans="3:6" x14ac:dyDescent="0.25">
      <c r="C27" s="1" t="s">
        <v>123</v>
      </c>
      <c r="D27" s="1">
        <v>2</v>
      </c>
      <c r="E27" s="1">
        <v>0</v>
      </c>
      <c r="F27" s="1">
        <v>2</v>
      </c>
    </row>
    <row r="28" spans="3:6" x14ac:dyDescent="0.25">
      <c r="C28" s="1" t="s">
        <v>124</v>
      </c>
      <c r="D28" s="1">
        <v>0</v>
      </c>
      <c r="E28" s="1">
        <v>0</v>
      </c>
      <c r="F28" s="1">
        <v>0</v>
      </c>
    </row>
    <row r="29" spans="3:6" x14ac:dyDescent="0.25">
      <c r="E29" s="7" t="s">
        <v>38</v>
      </c>
      <c r="F29" s="7">
        <f>SUM(F26:F28)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Sammanfattning</vt:lpstr>
      <vt:lpstr>Stadens utformning</vt:lpstr>
      <vt:lpstr>Kollektivtrafikens infrastruktu</vt:lpstr>
      <vt:lpstr>Fordon och Stödsystem</vt:lpstr>
      <vt:lpstr>Trafikering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Edvin Ramberg</dc:creator>
  <cp:lastModifiedBy>Edvin Ramberg</cp:lastModifiedBy>
  <dcterms:created xsi:type="dcterms:W3CDTF">2015-06-05T18:19:34Z</dcterms:created>
  <dcterms:modified xsi:type="dcterms:W3CDTF">2024-05-29T08:55:56Z</dcterms:modified>
</cp:coreProperties>
</file>