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368" documentId="11_AD4D7A0C205A6B9A452FA844A794D2E6693EDF1F" xr6:coauthVersionLast="47" xr6:coauthVersionMax="47" xr10:uidLastSave="{0E0D0925-AB92-4385-8663-43F31BDD8862}"/>
  <bookViews>
    <workbookView xWindow="-120" yWindow="-120" windowWidth="29040" windowHeight="15720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 s="1"/>
  <c r="D68" i="1"/>
  <c r="F67" i="1"/>
  <c r="D67" i="1"/>
  <c r="E67" i="1" s="1"/>
  <c r="F66" i="1"/>
  <c r="E66" i="1"/>
  <c r="D66" i="1"/>
  <c r="F65" i="1"/>
  <c r="E65" i="1" s="1"/>
  <c r="D65" i="1"/>
  <c r="F64" i="1"/>
  <c r="D64" i="1"/>
  <c r="E64" i="1" s="1"/>
  <c r="F63" i="1"/>
  <c r="E63" i="1" s="1"/>
  <c r="D63" i="1"/>
  <c r="F62" i="1"/>
  <c r="E62" i="1" s="1"/>
  <c r="D62" i="1"/>
  <c r="F61" i="1"/>
  <c r="D61" i="1"/>
  <c r="E61" i="1" s="1"/>
  <c r="F60" i="1"/>
  <c r="E60" i="1" s="1"/>
  <c r="D60" i="1"/>
  <c r="F59" i="1"/>
  <c r="D59" i="1"/>
  <c r="E59" i="1" s="1"/>
  <c r="F58" i="1"/>
  <c r="E58" i="1"/>
  <c r="D58" i="1"/>
  <c r="F57" i="1"/>
  <c r="D57" i="1"/>
  <c r="E57" i="1" s="1"/>
  <c r="F56" i="1"/>
  <c r="D56" i="1"/>
  <c r="E56" i="1" s="1"/>
  <c r="F55" i="1"/>
  <c r="F54" i="1"/>
  <c r="E54" i="1" s="1"/>
  <c r="D54" i="1"/>
  <c r="F53" i="1"/>
  <c r="D53" i="1"/>
  <c r="E53" i="1" s="1"/>
  <c r="F52" i="1"/>
  <c r="E52" i="1" s="1"/>
  <c r="D52" i="1"/>
  <c r="F51" i="1"/>
  <c r="D51" i="1"/>
  <c r="E51" i="1" s="1"/>
  <c r="F50" i="1"/>
  <c r="E50" i="1"/>
  <c r="D50" i="1"/>
  <c r="F49" i="1"/>
  <c r="D49" i="1"/>
  <c r="E49" i="1" s="1"/>
  <c r="F48" i="1"/>
  <c r="D48" i="1"/>
  <c r="E48" i="1" s="1"/>
  <c r="F47" i="1"/>
  <c r="E47" i="1" s="1"/>
  <c r="D47" i="1"/>
  <c r="F46" i="1"/>
  <c r="E46" i="1" s="1"/>
  <c r="D46" i="1"/>
  <c r="F45" i="1"/>
  <c r="D45" i="1"/>
  <c r="E45" i="1" s="1"/>
  <c r="F44" i="1"/>
  <c r="E44" i="1" s="1"/>
  <c r="D44" i="1"/>
  <c r="T28" i="4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T9" i="4" s="1"/>
  <c r="T8" i="4" s="1"/>
  <c r="T7" i="4" s="1"/>
  <c r="T6" i="4" s="1"/>
  <c r="T5" i="4" s="1"/>
  <c r="T29" i="4"/>
  <c r="T30" i="4"/>
  <c r="L34" i="4"/>
  <c r="F5" i="5"/>
  <c r="F6" i="5"/>
  <c r="G77" i="4"/>
  <c r="G79" i="4" s="1"/>
  <c r="F32" i="1"/>
  <c r="F12" i="1"/>
  <c r="F8" i="5" l="1"/>
  <c r="H7" i="5"/>
  <c r="H6" i="5"/>
  <c r="H5" i="5"/>
  <c r="G49" i="4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6" i="4"/>
  <c r="M32" i="4"/>
  <c r="M30" i="4"/>
  <c r="M31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F10" i="3"/>
  <c r="G10" i="3" s="1"/>
  <c r="F63" i="2"/>
  <c r="F62" i="2"/>
  <c r="F44" i="2"/>
  <c r="J41" i="2"/>
  <c r="G44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K40" i="2"/>
  <c r="K39" i="2"/>
  <c r="K38" i="2"/>
  <c r="K37" i="2"/>
  <c r="K35" i="2"/>
  <c r="K36" i="2"/>
  <c r="E8" i="4"/>
  <c r="E7" i="4"/>
  <c r="E6" i="4"/>
  <c r="S5" i="4"/>
  <c r="M6" i="4"/>
  <c r="M5" i="4"/>
  <c r="K32" i="2"/>
  <c r="K33" i="2"/>
  <c r="K34" i="2"/>
  <c r="O21" i="2"/>
  <c r="O20" i="2"/>
  <c r="O19" i="2"/>
  <c r="D21" i="1"/>
  <c r="D55" i="1" s="1"/>
  <c r="E55" i="1" s="1"/>
  <c r="E7" i="2"/>
  <c r="D5" i="1" s="1"/>
  <c r="E39" i="1"/>
  <c r="E32" i="1"/>
  <c r="E25" i="1"/>
  <c r="E12" i="1"/>
  <c r="E11" i="4"/>
  <c r="E5" i="4" l="1"/>
  <c r="F5" i="4" s="1"/>
  <c r="G5" i="4" s="1"/>
  <c r="E42" i="4"/>
  <c r="E40" i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3" i="2"/>
  <c r="G62" i="2"/>
  <c r="F52" i="2"/>
  <c r="G52" i="2" s="1"/>
  <c r="F51" i="2"/>
  <c r="G51" i="2" s="1"/>
  <c r="K44" i="2"/>
  <c r="F55" i="4" l="1"/>
  <c r="G55" i="4" s="1"/>
  <c r="G58" i="4" s="1"/>
  <c r="D18" i="1" s="1"/>
  <c r="E9" i="4"/>
  <c r="F8" i="4"/>
  <c r="G8" i="4" s="1"/>
  <c r="F7" i="4"/>
  <c r="G7" i="4" s="1"/>
  <c r="E43" i="4"/>
  <c r="F43" i="4" s="1"/>
  <c r="G43" i="4" s="1"/>
  <c r="E12" i="4"/>
  <c r="F83" i="4"/>
  <c r="G83" i="4" s="1"/>
  <c r="F6" i="4"/>
  <c r="G6" i="4" s="1"/>
  <c r="G64" i="2"/>
  <c r="D11" i="1" s="1"/>
  <c r="F62" i="4"/>
  <c r="G62" i="4" s="1"/>
  <c r="F69" i="4"/>
  <c r="G69" i="4" s="1"/>
  <c r="G73" i="4" s="1"/>
  <c r="D20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E19" i="2" s="1"/>
  <c r="E20" i="2" s="1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D35" i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G59" i="2"/>
  <c r="D10" i="1" s="1"/>
  <c r="G53" i="2"/>
  <c r="D9" i="1" s="1"/>
  <c r="G48" i="2"/>
  <c r="D8" i="1" s="1"/>
  <c r="F11" i="2"/>
  <c r="F12" i="2"/>
  <c r="F13" i="2"/>
  <c r="F42" i="4" l="1"/>
  <c r="G42" i="4" s="1"/>
  <c r="E21" i="2"/>
  <c r="E22" i="2" s="1"/>
  <c r="O15" i="2"/>
  <c r="J14" i="2"/>
  <c r="J15" i="2" s="1"/>
  <c r="L16" i="2"/>
  <c r="D39" i="1"/>
  <c r="F39" i="1" s="1"/>
  <c r="D32" i="1"/>
  <c r="G101" i="4"/>
  <c r="D23" i="1" s="1"/>
  <c r="D19" i="1"/>
  <c r="F10" i="2" l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12" i="1" s="1"/>
  <c r="D25" i="1"/>
  <c r="F25" i="1" s="1"/>
  <c r="D40" i="1" l="1"/>
  <c r="M10" i="1"/>
  <c r="M11" i="1" s="1"/>
  <c r="M4" i="1"/>
  <c r="M5" i="1"/>
  <c r="M13" i="1"/>
  <c r="M12" i="1"/>
  <c r="N7" i="1" l="1"/>
  <c r="N4" i="1"/>
  <c r="N6" i="1"/>
  <c r="N5" i="1"/>
</calcChain>
</file>

<file path=xl/sharedStrings.xml><?xml version="1.0" encoding="utf-8"?>
<sst xmlns="http://schemas.openxmlformats.org/spreadsheetml/2006/main" count="440" uniqueCount="197">
  <si>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</si>
  <si>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</si>
  <si>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</si>
  <si>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</si>
  <si>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</si>
  <si>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</si>
  <si>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</si>
  <si>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</si>
  <si>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</si>
  <si>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</si>
  <si>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</si>
  <si>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</si>
  <si>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</si>
  <si>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</si>
  <si>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</si>
  <si>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</si>
  <si>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</si>
  <si>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</si>
  <si>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</si>
  <si>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</si>
  <si>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</si>
  <si>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</si>
  <si>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</si>
  <si>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</si>
  <si>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</si>
  <si>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</si>
  <si>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</si>
  <si>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</si>
  <si>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</si>
  <si>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</si>
  <si>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</si>
  <si>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</si>
  <si>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</si>
  <si>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</si>
  <si>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</si>
  <si>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</si>
  <si>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</si>
  <si>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</si>
  <si>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</si>
  <si>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</si>
  <si>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</si>
  <si>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</si>
  <si>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</si>
  <si>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</si>
  <si>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</si>
  <si>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</si>
  <si>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</si>
  <si>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</si>
  <si>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</si>
  <si>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</si>
  <si>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</si>
  <si>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</si>
  <si>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</si>
  <si>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</si>
  <si>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</si>
  <si>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</si>
  <si>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</si>
  <si>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</si>
  <si>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</si>
  <si>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</si>
  <si>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</si>
  <si>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</si>
  <si>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</si>
  <si>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</si>
  <si>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</si>
  <si>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</si>
  <si>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</si>
  <si>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</si>
  <si>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</si>
  <si>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</si>
  <si>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</si>
  <si>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</si>
  <si>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</si>
  <si>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</si>
  <si>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</si>
  <si>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</si>
  <si>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</si>
  <si>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</si>
  <si>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</si>
  <si>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</si>
  <si>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</si>
  <si>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</si>
  <si>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</si>
  <si>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</si>
  <si>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</si>
  <si>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</si>
  <si>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</si>
  <si>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</si>
  <si>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</si>
  <si>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</si>
  <si>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</si>
  <si>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</si>
  <si>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</si>
  <si>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</si>
  <si>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</si>
  <si>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</si>
  <si>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</si>
  <si>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</si>
  <si>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</si>
  <si>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</si>
  <si>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</si>
  <si>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</si>
  <si>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</si>
  <si>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</si>
  <si>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</si>
  <si>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</si>
  <si>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</si>
  <si>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</si>
  <si>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</si>
  <si>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</si>
  <si>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</si>
  <si>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</si>
  <si>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</si>
  <si>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</si>
  <si>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</si>
  <si>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</si>
  <si>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</si>
  <si>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</si>
  <si>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</si>
  <si>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</si>
  <si>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</si>
  <si>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</si>
  <si>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</si>
  <si>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</si>
  <si>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</si>
  <si>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</si>
  <si>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</si>
  <si>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</si>
  <si>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</si>
  <si>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</si>
  <si>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</si>
  <si>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</si>
  <si>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</si>
  <si>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</si>
  <si>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</si>
  <si>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</si>
  <si>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</si>
  <si>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</si>
  <si>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</si>
  <si>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</si>
  <si>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</si>
  <si>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</si>
  <si>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</si>
  <si>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</si>
  <si>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</si>
  <si>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Namn: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</si>
  <si>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</si>
  <si>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</si>
  <si>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</si>
  <si>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</si>
  <si>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</si>
  <si>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</si>
  <si>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Start …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</si>
  <si>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</si>
  <si>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</si>
  <si>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</si>
  <si>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</si>
  <si>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Bockkranen - Nordstan få</t>
  </si>
  <si>
    <t>Bockkranen - Nordstan fa</t>
  </si>
  <si>
    <t>Fyrktorget - Nordstan få</t>
  </si>
  <si>
    <t>Fyrktorget - Nordstan fa</t>
  </si>
  <si>
    <t>Bockkranen</t>
  </si>
  <si>
    <t>Eriksbergsdockan</t>
  </si>
  <si>
    <t>Fyrktget</t>
  </si>
  <si>
    <t>Tolvskilling</t>
  </si>
  <si>
    <t>Start Bockkranen</t>
  </si>
  <si>
    <t>x</t>
  </si>
  <si>
    <t>Mycket parkeringar på vissa stäckor, slutade räkna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</si>
  <si>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</si>
  <si>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</si>
  <si>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</si>
  <si>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</si>
  <si>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</si>
  <si>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</si>
  <si>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</si>
  <si>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</si>
  <si>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</si>
  <si>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</si>
  <si>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</si>
  <si>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</si>
  <si>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</si>
  <si>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</si>
  <si>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</si>
  <si>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</si>
  <si>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</si>
  <si>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</si>
  <si>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</si>
  <si>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</si>
  <si>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</si>
  <si>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</si>
  <si>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</si>
  <si>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</si>
  <si>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</si>
  <si>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</si>
  <si>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</si>
  <si>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</si>
  <si>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Står inte ut från övrig busstrafik i staden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</si>
</sst>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0" fontId="0" fillId="0" borderId="5" xfId="0" applyBorder="1"/>
    <xf numFmtId="1" fontId="0" fillId="0" borderId="0" xfId="0" applyNumberFormat="1"/>
    <xf numFmtId="0" fontId="0" fillId="9" borderId="0" xfId="0" applyFill="1"/>
    <xf numFmtId="0" fontId="0" fillId="10" borderId="0" xfId="0" applyFill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C9-49E6-AFF7-1A9D39B4770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BC9-49E6-AFF7-1A9D39B4770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BC9-49E6-AFF7-1A9D39B4770E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BC9-49E6-AFF7-1A9D39B4770E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BC9-49E6-AFF7-1A9D39B4770E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BC9-49E6-AFF7-1A9D39B4770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BC9-49E6-AFF7-1A9D39B4770E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BC9-49E6-AFF7-1A9D39B477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7.7960161749288597</c:v>
                </c:pt>
                <c:pt idx="1">
                  <c:v>12.203983825071141</c:v>
                </c:pt>
                <c:pt idx="2">
                  <c:v>27.676322965319201</c:v>
                </c:pt>
                <c:pt idx="3">
                  <c:v>18.323677034680799</c:v>
                </c:pt>
                <c:pt idx="4">
                  <c:v>12.59090909090909</c:v>
                </c:pt>
                <c:pt idx="5">
                  <c:v>7.4090909090909101</c:v>
                </c:pt>
                <c:pt idx="6">
                  <c:v>12.644079397672826</c:v>
                </c:pt>
                <c:pt idx="7">
                  <c:v>1.3559206023271742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BC9-49E6-AFF7-1A9D39B477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Göteborg Stombuss 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4563492063492"/>
          <c:y val="0.19080714285714287"/>
          <c:w val="0.7851488095238095"/>
          <c:h val="0.785148809523809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36-426D-B70E-1BFF5CA6F409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36-426D-B70E-1BFF5CA6F40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36-426D-B70E-1BFF5CA6F4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36-426D-B70E-1BFF5CA6F4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36-426D-B70E-1BFF5CA6F409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A36-426D-B70E-1BFF5CA6F409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A36-426D-B70E-1BFF5CA6F409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A36-426D-B70E-1BFF5CA6F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7.7960161749288597</c:v>
                </c:pt>
                <c:pt idx="1">
                  <c:v>12.203983825071141</c:v>
                </c:pt>
                <c:pt idx="2">
                  <c:v>27.676322965319201</c:v>
                </c:pt>
                <c:pt idx="3">
                  <c:v>18.323677034680799</c:v>
                </c:pt>
                <c:pt idx="4">
                  <c:v>12.59090909090909</c:v>
                </c:pt>
                <c:pt idx="5">
                  <c:v>7.4090909090909101</c:v>
                </c:pt>
                <c:pt idx="6">
                  <c:v>12.644079397672826</c:v>
                </c:pt>
                <c:pt idx="7">
                  <c:v>1.3559206023271742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A36-426D-B70E-1BFF5CA6F4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58-4047-8971-B70C1586733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58-4047-8971-B70C1586733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58-4047-8971-B70C1586733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58-4047-8971-B70C15867332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58-4047-8971-B70C15867332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458-4047-8971-B70C15867332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458-4047-8971-B70C15867332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458-4047-8971-B70C158673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458-4047-8971-B70C1586733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458-4047-8971-B70C1586733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458-4047-8971-B70C1586733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458-4047-8971-B70C1586733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458-4047-8971-B70C1586733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458-4047-8971-B70C158673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458-4047-8971-B70C158673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458-4047-8971-B70C158673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458-4047-8971-B70C15867332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458-4047-8971-B70C15867332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458-4047-8971-B70C15867332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458-4047-8971-B70C15867332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458-4047-8971-B70C15867332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458-4047-8971-B70C15867332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458-4047-8971-B70C15867332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458-4047-8971-B70C15867332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5458-4047-8971-B70C15867332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3.6440793976728267</c:v>
                </c:pt>
                <c:pt idx="4">
                  <c:v>0</c:v>
                </c:pt>
                <c:pt idx="5">
                  <c:v>9</c:v>
                </c:pt>
                <c:pt idx="6">
                  <c:v>3.5909090909090908</c:v>
                </c:pt>
                <c:pt idx="7">
                  <c:v>0</c:v>
                </c:pt>
                <c:pt idx="8">
                  <c:v>1.4444444444444444</c:v>
                </c:pt>
                <c:pt idx="9">
                  <c:v>5.8181818181818183</c:v>
                </c:pt>
                <c:pt idx="10">
                  <c:v>2.902483422181771</c:v>
                </c:pt>
                <c:pt idx="11">
                  <c:v>3.5</c:v>
                </c:pt>
                <c:pt idx="12">
                  <c:v>2.2037159920371598</c:v>
                </c:pt>
                <c:pt idx="13">
                  <c:v>0</c:v>
                </c:pt>
                <c:pt idx="14">
                  <c:v>1.7399557924847224</c:v>
                </c:pt>
                <c:pt idx="15">
                  <c:v>2.7</c:v>
                </c:pt>
                <c:pt idx="16">
                  <c:v>3.8049668443635416</c:v>
                </c:pt>
                <c:pt idx="17">
                  <c:v>3.5625746516257464</c:v>
                </c:pt>
                <c:pt idx="18">
                  <c:v>0.22727272727272729</c:v>
                </c:pt>
                <c:pt idx="19">
                  <c:v>1</c:v>
                </c:pt>
                <c:pt idx="20">
                  <c:v>3</c:v>
                </c:pt>
                <c:pt idx="21">
                  <c:v>0.70510708401976929</c:v>
                </c:pt>
                <c:pt idx="22">
                  <c:v>2.8636363636363633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58-4047-8971-B70C15867332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5458-4047-8971-B70C158673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5458-4047-8971-B70C158673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5458-4047-8971-B70C158673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458-4047-8971-B70C158673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5458-4047-8971-B70C158673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458-4047-8971-B70C158673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5458-4047-8971-B70C158673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458-4047-8971-B70C158673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458-4047-8971-B70C1586733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5458-4047-8971-B70C1586733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5458-4047-8971-B70C1586733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5458-4047-8971-B70C1586733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5458-4047-8971-B70C1586733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5458-4047-8971-B70C158673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5458-4047-8971-B70C158673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5458-4047-8971-B70C158673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5458-4047-8971-B70C158673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5458-4047-8971-B70C1586733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5458-4047-8971-B70C158673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5458-4047-8971-B70C1586733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5458-4047-8971-B70C158673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5458-4047-8971-B70C1586733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5458-4047-8971-B70C1586733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5458-4047-8971-B70C1586733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5458-4047-8971-B70C15867332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0.35592060232717326</c:v>
                </c:pt>
                <c:pt idx="4">
                  <c:v>2</c:v>
                </c:pt>
                <c:pt idx="5">
                  <c:v>1</c:v>
                </c:pt>
                <c:pt idx="6">
                  <c:v>0.40909090909090917</c:v>
                </c:pt>
                <c:pt idx="7">
                  <c:v>4</c:v>
                </c:pt>
                <c:pt idx="8">
                  <c:v>1.5555555555555556</c:v>
                </c:pt>
                <c:pt idx="9">
                  <c:v>4.1818181818181817</c:v>
                </c:pt>
                <c:pt idx="10">
                  <c:v>9.7516577818228978E-2</c:v>
                </c:pt>
                <c:pt idx="11">
                  <c:v>3.5</c:v>
                </c:pt>
                <c:pt idx="12">
                  <c:v>0.79628400796284016</c:v>
                </c:pt>
                <c:pt idx="13">
                  <c:v>3</c:v>
                </c:pt>
                <c:pt idx="14">
                  <c:v>0.26004420751527757</c:v>
                </c:pt>
                <c:pt idx="15">
                  <c:v>0.29999999999999982</c:v>
                </c:pt>
                <c:pt idx="16">
                  <c:v>0.1950331556364584</c:v>
                </c:pt>
                <c:pt idx="17">
                  <c:v>4.4374253483742532</c:v>
                </c:pt>
                <c:pt idx="18">
                  <c:v>1.7727272727272727</c:v>
                </c:pt>
                <c:pt idx="19">
                  <c:v>1</c:v>
                </c:pt>
                <c:pt idx="20">
                  <c:v>0</c:v>
                </c:pt>
                <c:pt idx="21">
                  <c:v>2.2948929159802307</c:v>
                </c:pt>
                <c:pt idx="22">
                  <c:v>2.1363636363636367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458-4047-8971-B70C1586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2</xdr:row>
      <xdr:rowOff>76200</xdr:rowOff>
    </xdr:from>
    <xdr:to>
      <xdr:col>16</xdr:col>
      <xdr:colOff>466049</xdr:colOff>
      <xdr:row>13</xdr:row>
      <xdr:rowOff>140700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B35E5C-0592-44A2-9156-406C96757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19</xdr:row>
      <xdr:rowOff>28575</xdr:rowOff>
    </xdr:from>
    <xdr:to>
      <xdr:col>12</xdr:col>
      <xdr:colOff>176850</xdr:colOff>
      <xdr:row>32</xdr:row>
      <xdr:rowOff>72075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4C68A5-A31D-4D7B-8C31-936BDDE0B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85724</xdr:rowOff>
    </xdr:from>
    <xdr:to>
      <xdr:col>12</xdr:col>
      <xdr:colOff>514350</xdr:colOff>
      <xdr:row>71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7CA2A8-1054-87EF-C84C-B1AFF0469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workbookViewId="0">
      <selection activeCell="R19" sqref="R19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145</v>
      </c>
    </row>
    <row r="3" spans="2:14" x14ac:dyDescent="0.25">
      <c r="B3" s="31" t="s">
        <v>0</v>
      </c>
      <c r="C3" s="32"/>
      <c r="D3" s="32"/>
      <c r="E3" s="33"/>
    </row>
    <row r="4" spans="2:14" x14ac:dyDescent="0.25">
      <c r="B4" s="14"/>
      <c r="C4" s="12" t="s">
        <v>146</v>
      </c>
      <c r="D4" s="12" t="s">
        <v>31</v>
      </c>
      <c r="E4" s="12" t="s">
        <v>147</v>
      </c>
      <c r="L4" t="s">
        <v>0</v>
      </c>
      <c r="M4">
        <f>D12</f>
        <v>7.7960161749288597</v>
      </c>
      <c r="N4">
        <f>M4/SUM($M$4:$M$7)</f>
        <v>0.12841968967229786</v>
      </c>
    </row>
    <row r="5" spans="2:14" x14ac:dyDescent="0.25">
      <c r="B5" s="15"/>
      <c r="C5" t="s">
        <v>1</v>
      </c>
      <c r="D5" s="1">
        <f>'Stadens utformning'!E7</f>
        <v>1</v>
      </c>
      <c r="E5" s="1">
        <v>2</v>
      </c>
      <c r="L5" t="s">
        <v>13</v>
      </c>
      <c r="M5">
        <f>D25</f>
        <v>27.676322965319201</v>
      </c>
      <c r="N5">
        <f>M5/SUM($M$4:$M$7)</f>
        <v>0.45589756700434442</v>
      </c>
    </row>
    <row r="6" spans="2:14" x14ac:dyDescent="0.25">
      <c r="B6" s="15"/>
      <c r="C6" s="1" t="s">
        <v>2</v>
      </c>
      <c r="D6" s="11">
        <f>'Stadens utformning'!F14</f>
        <v>0</v>
      </c>
      <c r="E6" s="1">
        <v>3</v>
      </c>
      <c r="L6" t="s">
        <v>8</v>
      </c>
      <c r="M6">
        <f>D32</f>
        <v>12.59090909090909</v>
      </c>
      <c r="N6">
        <f>M6/SUM($M$4:$M$7)</f>
        <v>0.20740344835949678</v>
      </c>
    </row>
    <row r="7" spans="2:14" x14ac:dyDescent="0.25">
      <c r="B7" s="15"/>
      <c r="C7" s="1" t="s">
        <v>3</v>
      </c>
      <c r="D7" s="11">
        <f>'Stadens utformning'!G23</f>
        <v>2.8636363636363633</v>
      </c>
      <c r="E7" s="1">
        <v>5</v>
      </c>
      <c r="L7" t="s">
        <v>24</v>
      </c>
      <c r="M7">
        <f>D39</f>
        <v>12.644079397672826</v>
      </c>
      <c r="N7">
        <f>M7/SUM($M$4:$M$7)</f>
        <v>0.20827929496386099</v>
      </c>
    </row>
    <row r="8" spans="2:14" x14ac:dyDescent="0.25">
      <c r="B8" s="15"/>
      <c r="C8" s="1" t="s">
        <v>4</v>
      </c>
      <c r="D8" s="11">
        <f>'Stadens utformning'!G48</f>
        <v>0.70510708401976929</v>
      </c>
      <c r="E8" s="1">
        <v>3</v>
      </c>
    </row>
    <row r="9" spans="2:14" x14ac:dyDescent="0.25">
      <c r="B9" s="15"/>
      <c r="C9" s="1" t="s">
        <v>5</v>
      </c>
      <c r="D9" s="11">
        <f>'Stadens utformning'!G53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utformning'!G59</f>
        <v>1</v>
      </c>
      <c r="E10" s="1">
        <v>2</v>
      </c>
      <c r="L10" t="s">
        <v>0</v>
      </c>
      <c r="M10" s="28">
        <f>D12</f>
        <v>7.7960161749288597</v>
      </c>
    </row>
    <row r="11" spans="2:14" x14ac:dyDescent="0.25">
      <c r="B11" s="15"/>
      <c r="C11" s="1" t="s">
        <v>7</v>
      </c>
      <c r="D11" s="11">
        <f>'Stadens utformning'!G64</f>
        <v>0.22727272727272729</v>
      </c>
      <c r="E11" s="1">
        <v>2</v>
      </c>
      <c r="L11" t="s">
        <v>148</v>
      </c>
      <c r="M11" s="28">
        <f>E12-M10</f>
        <v>12.203983825071141</v>
      </c>
    </row>
    <row r="12" spans="2:14" x14ac:dyDescent="0.25">
      <c r="B12" s="16"/>
      <c r="C12" s="1" t="s">
        <v>61</v>
      </c>
      <c r="D12" s="11">
        <f>SUM(D6:D11)</f>
        <v>7.7960161749288597</v>
      </c>
      <c r="E12" s="11">
        <f>SUM(E5:E11)</f>
        <v>20</v>
      </c>
      <c r="F12">
        <f>D12/E12</f>
        <v>0.38980080874644296</v>
      </c>
      <c r="L12" t="s">
        <v>13</v>
      </c>
      <c r="M12" s="28">
        <f>D25</f>
        <v>27.676322965319201</v>
      </c>
    </row>
    <row r="13" spans="2:14" x14ac:dyDescent="0.25">
      <c r="B13" s="31" t="s">
        <v>13</v>
      </c>
      <c r="C13" s="32"/>
      <c r="D13" s="32"/>
      <c r="E13" s="33"/>
      <c r="L13" t="s">
        <v>149</v>
      </c>
      <c r="M13" s="28">
        <f>E25-D25</f>
        <v>18.323677034680799</v>
      </c>
    </row>
    <row r="14" spans="2:14" x14ac:dyDescent="0.25">
      <c r="B14" s="17"/>
      <c r="C14" s="12" t="s">
        <v>146</v>
      </c>
      <c r="D14" s="12" t="s">
        <v>31</v>
      </c>
      <c r="E14" s="12" t="s">
        <v>147</v>
      </c>
      <c r="L14" t="s">
        <v>8</v>
      </c>
      <c r="M14" s="28">
        <f>D32</f>
        <v>12.59090909090909</v>
      </c>
    </row>
    <row r="15" spans="2:14" x14ac:dyDescent="0.25">
      <c r="B15" s="18"/>
      <c r="C15" s="1" t="s">
        <v>14</v>
      </c>
      <c r="D15" s="11">
        <f>'Kollektivtrafikens infrastruktu'!G9</f>
        <v>3.5625746516257464</v>
      </c>
      <c r="E15" s="1">
        <v>8</v>
      </c>
      <c r="L15" t="s">
        <v>150</v>
      </c>
      <c r="M15" s="28">
        <f>E32-D32</f>
        <v>7.4090909090909101</v>
      </c>
    </row>
    <row r="16" spans="2:14" x14ac:dyDescent="0.25">
      <c r="B16" s="18"/>
      <c r="C16" s="1" t="s">
        <v>15</v>
      </c>
      <c r="D16" s="11">
        <f>'Kollektivtrafikens infrastruktu'!G44</f>
        <v>3.8049668443635416</v>
      </c>
      <c r="E16" s="1">
        <v>4</v>
      </c>
      <c r="L16" t="s">
        <v>24</v>
      </c>
      <c r="M16" s="28">
        <f>D39</f>
        <v>12.644079397672826</v>
      </c>
    </row>
    <row r="17" spans="2:13" x14ac:dyDescent="0.25">
      <c r="B17" s="18"/>
      <c r="C17" s="1" t="s">
        <v>16</v>
      </c>
      <c r="D17" s="11">
        <f>'Kollektivtrafikens infrastruktu'!G51</f>
        <v>2.7</v>
      </c>
      <c r="E17" s="1">
        <v>3</v>
      </c>
      <c r="L17" t="s">
        <v>151</v>
      </c>
      <c r="M17" s="28">
        <f>E39-D39</f>
        <v>1.3559206023271742</v>
      </c>
    </row>
    <row r="18" spans="2:13" x14ac:dyDescent="0.25">
      <c r="B18" s="18"/>
      <c r="C18" s="1" t="s">
        <v>17</v>
      </c>
      <c r="D18" s="11">
        <f>'Kollektivtrafikens infrastruktu'!G58</f>
        <v>1.7399557924847224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2.2037159920371598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3.5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2.902483422181771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5.8181818181818183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1.4444444444444444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27.676322965319201</v>
      </c>
      <c r="E25" s="11">
        <f>SUM(E15:E24)</f>
        <v>46</v>
      </c>
      <c r="F25">
        <f>D25/E25</f>
        <v>0.60165919489824349</v>
      </c>
    </row>
    <row r="26" spans="2:13" x14ac:dyDescent="0.25">
      <c r="B26" s="31" t="s">
        <v>8</v>
      </c>
      <c r="C26" s="32"/>
      <c r="D26" s="32"/>
      <c r="E26" s="33"/>
    </row>
    <row r="27" spans="2:13" x14ac:dyDescent="0.25">
      <c r="B27" s="20"/>
      <c r="C27" s="12" t="s">
        <v>146</v>
      </c>
      <c r="D27" s="12" t="s">
        <v>31</v>
      </c>
      <c r="E27" s="12" t="s">
        <v>147</v>
      </c>
    </row>
    <row r="28" spans="2:13" x14ac:dyDescent="0.25">
      <c r="B28" s="21"/>
      <c r="C28" s="1" t="s">
        <v>9</v>
      </c>
      <c r="D28" s="11">
        <f>'Fordon och Stödsystem'!F7</f>
        <v>0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3.5909090909090908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12.59090909090909</v>
      </c>
      <c r="E32" s="1">
        <f>SUM(E28:E31)</f>
        <v>20</v>
      </c>
      <c r="F32">
        <f>D32/E32</f>
        <v>0.62954545454545452</v>
      </c>
    </row>
    <row r="33" spans="2:6" x14ac:dyDescent="0.25">
      <c r="B33" s="31" t="s">
        <v>24</v>
      </c>
      <c r="C33" s="32"/>
      <c r="D33" s="32"/>
      <c r="E33" s="33"/>
    </row>
    <row r="34" spans="2:6" x14ac:dyDescent="0.25">
      <c r="B34" s="23"/>
      <c r="C34" s="12" t="s">
        <v>146</v>
      </c>
      <c r="D34" s="12" t="s">
        <v>31</v>
      </c>
      <c r="E34" s="12" t="s">
        <v>147</v>
      </c>
    </row>
    <row r="35" spans="2:6" x14ac:dyDescent="0.25">
      <c r="B35" s="24"/>
      <c r="C35" s="1" t="s">
        <v>25</v>
      </c>
      <c r="D35" s="11">
        <f>Trafikering!F8</f>
        <v>3.6440793976728267</v>
      </c>
      <c r="E35" s="1">
        <v>4</v>
      </c>
    </row>
    <row r="36" spans="2:6" x14ac:dyDescent="0.25">
      <c r="B36" s="24"/>
      <c r="C36" s="1" t="s">
        <v>26</v>
      </c>
      <c r="D36" s="11">
        <f>Trafikering!F15</f>
        <v>3</v>
      </c>
      <c r="E36" s="1">
        <v>4</v>
      </c>
    </row>
    <row r="37" spans="2:6" x14ac:dyDescent="0.25">
      <c r="B37" s="24"/>
      <c r="C37" s="1" t="s">
        <v>27</v>
      </c>
      <c r="D37" s="1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1">
        <f>SUM(D35:D38)</f>
        <v>12.644079397672826</v>
      </c>
      <c r="E39" s="1">
        <f>SUM(E35:E38)</f>
        <v>14</v>
      </c>
      <c r="F39">
        <f>D39/E39</f>
        <v>0.90314852840520188</v>
      </c>
    </row>
    <row r="40" spans="2:6" x14ac:dyDescent="0.25">
      <c r="B40" s="4"/>
      <c r="C40" s="26" t="s">
        <v>38</v>
      </c>
      <c r="D40" s="13">
        <f>SUM(D5:D11)+SUM(D28:D31)+SUM(D15:D24)+SUM(D35:D38)</f>
        <v>61.707327628829972</v>
      </c>
      <c r="E40" s="13">
        <f>SUM(E12+E25+E32+E39)</f>
        <v>100</v>
      </c>
    </row>
    <row r="43" spans="2:6" x14ac:dyDescent="0.25">
      <c r="C43" t="s">
        <v>168</v>
      </c>
      <c r="D43" t="s">
        <v>169</v>
      </c>
      <c r="E43" t="s">
        <v>139</v>
      </c>
      <c r="F43" t="s">
        <v>170</v>
      </c>
    </row>
    <row r="44" spans="2:6" x14ac:dyDescent="0.25">
      <c r="C44" t="s">
        <v>171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172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173</v>
      </c>
      <c r="D46">
        <f>D36</f>
        <v>3</v>
      </c>
      <c r="E46">
        <f t="shared" si="0"/>
        <v>1</v>
      </c>
      <c r="F46">
        <f>E36</f>
        <v>4</v>
      </c>
    </row>
    <row r="47" spans="2:6" x14ac:dyDescent="0.25">
      <c r="C47" t="s">
        <v>174</v>
      </c>
      <c r="D47">
        <f>D35</f>
        <v>3.6440793976728267</v>
      </c>
      <c r="E47">
        <f t="shared" si="0"/>
        <v>0.35592060232717326</v>
      </c>
      <c r="F47">
        <f>E35</f>
        <v>4</v>
      </c>
    </row>
    <row r="48" spans="2:6" x14ac:dyDescent="0.25">
      <c r="C48" t="s">
        <v>175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176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177</v>
      </c>
      <c r="D50">
        <f>D29</f>
        <v>3.5909090909090908</v>
      </c>
      <c r="E50">
        <f t="shared" si="0"/>
        <v>0.40909090909090917</v>
      </c>
      <c r="F50">
        <f>E29</f>
        <v>4</v>
      </c>
    </row>
    <row r="51" spans="3:6" x14ac:dyDescent="0.25">
      <c r="C51" t="s">
        <v>178</v>
      </c>
      <c r="D51">
        <f>D28</f>
        <v>0</v>
      </c>
      <c r="E51">
        <f t="shared" si="0"/>
        <v>4</v>
      </c>
      <c r="F51">
        <f>E28</f>
        <v>4</v>
      </c>
    </row>
    <row r="52" spans="3:6" x14ac:dyDescent="0.25">
      <c r="C52" t="s">
        <v>179</v>
      </c>
      <c r="D52">
        <f>D24</f>
        <v>1.4444444444444444</v>
      </c>
      <c r="E52">
        <f t="shared" si="0"/>
        <v>1.5555555555555556</v>
      </c>
      <c r="F52">
        <f>E24</f>
        <v>3</v>
      </c>
    </row>
    <row r="53" spans="3:6" x14ac:dyDescent="0.25">
      <c r="C53" t="s">
        <v>180</v>
      </c>
      <c r="D53">
        <f>D23</f>
        <v>5.8181818181818183</v>
      </c>
      <c r="E53">
        <f t="shared" si="0"/>
        <v>4.1818181818181817</v>
      </c>
      <c r="F53">
        <f>E23</f>
        <v>10</v>
      </c>
    </row>
    <row r="54" spans="3:6" x14ac:dyDescent="0.25">
      <c r="C54" t="s">
        <v>181</v>
      </c>
      <c r="D54">
        <f>D22</f>
        <v>2.902483422181771</v>
      </c>
      <c r="E54">
        <f t="shared" si="0"/>
        <v>9.7516577818228978E-2</v>
      </c>
      <c r="F54">
        <f>E22</f>
        <v>3</v>
      </c>
    </row>
    <row r="55" spans="3:6" x14ac:dyDescent="0.25">
      <c r="C55" t="s">
        <v>182</v>
      </c>
      <c r="D55">
        <f>D21</f>
        <v>3.5</v>
      </c>
      <c r="E55">
        <f t="shared" si="0"/>
        <v>3.5</v>
      </c>
      <c r="F55">
        <f>E21</f>
        <v>7</v>
      </c>
    </row>
    <row r="56" spans="3:6" x14ac:dyDescent="0.25">
      <c r="C56" t="s">
        <v>183</v>
      </c>
      <c r="D56">
        <f>D20</f>
        <v>2.2037159920371598</v>
      </c>
      <c r="E56">
        <f t="shared" si="0"/>
        <v>0.79628400796284016</v>
      </c>
      <c r="F56">
        <f>E20</f>
        <v>3</v>
      </c>
    </row>
    <row r="57" spans="3:6" x14ac:dyDescent="0.25">
      <c r="C57" t="s">
        <v>184</v>
      </c>
      <c r="D57">
        <f>D19</f>
        <v>0</v>
      </c>
      <c r="E57">
        <f t="shared" si="0"/>
        <v>3</v>
      </c>
      <c r="F57">
        <f>E19</f>
        <v>3</v>
      </c>
    </row>
    <row r="58" spans="3:6" x14ac:dyDescent="0.25">
      <c r="C58" t="s">
        <v>185</v>
      </c>
      <c r="D58">
        <f>D18</f>
        <v>1.7399557924847224</v>
      </c>
      <c r="E58">
        <f t="shared" si="0"/>
        <v>0.26004420751527757</v>
      </c>
      <c r="F58">
        <f>E18</f>
        <v>2</v>
      </c>
    </row>
    <row r="59" spans="3:6" x14ac:dyDescent="0.25">
      <c r="C59" t="s">
        <v>186</v>
      </c>
      <c r="D59">
        <f>D17</f>
        <v>2.7</v>
      </c>
      <c r="E59">
        <f t="shared" si="0"/>
        <v>0.29999999999999982</v>
      </c>
      <c r="F59">
        <f>E17</f>
        <v>3</v>
      </c>
    </row>
    <row r="60" spans="3:6" x14ac:dyDescent="0.25">
      <c r="C60" t="s">
        <v>187</v>
      </c>
      <c r="D60">
        <f>D16</f>
        <v>3.8049668443635416</v>
      </c>
      <c r="E60">
        <f t="shared" si="0"/>
        <v>0.1950331556364584</v>
      </c>
      <c r="F60">
        <f>E16</f>
        <v>4</v>
      </c>
    </row>
    <row r="61" spans="3:6" x14ac:dyDescent="0.25">
      <c r="C61" t="s">
        <v>188</v>
      </c>
      <c r="D61">
        <f>D15</f>
        <v>3.5625746516257464</v>
      </c>
      <c r="E61">
        <f t="shared" si="0"/>
        <v>4.4374253483742532</v>
      </c>
      <c r="F61">
        <f>E15</f>
        <v>8</v>
      </c>
    </row>
    <row r="62" spans="3:6" x14ac:dyDescent="0.25">
      <c r="C62" t="s">
        <v>189</v>
      </c>
      <c r="D62">
        <f>D11</f>
        <v>0.22727272727272729</v>
      </c>
      <c r="E62">
        <f t="shared" si="0"/>
        <v>1.7727272727272727</v>
      </c>
      <c r="F62">
        <f>E11</f>
        <v>2</v>
      </c>
    </row>
    <row r="63" spans="3:6" x14ac:dyDescent="0.25">
      <c r="C63" t="s">
        <v>190</v>
      </c>
      <c r="D63">
        <f>D10</f>
        <v>1</v>
      </c>
      <c r="E63">
        <f>F63-D63</f>
        <v>1</v>
      </c>
      <c r="F63">
        <f>E10</f>
        <v>2</v>
      </c>
    </row>
    <row r="64" spans="3:6" x14ac:dyDescent="0.25">
      <c r="C64" t="s">
        <v>191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192</v>
      </c>
      <c r="D65">
        <f>D8</f>
        <v>0.70510708401976929</v>
      </c>
      <c r="E65">
        <f t="shared" si="0"/>
        <v>2.2948929159802307</v>
      </c>
      <c r="F65">
        <f>E8</f>
        <v>3</v>
      </c>
    </row>
    <row r="66" spans="3:6" x14ac:dyDescent="0.25">
      <c r="C66" t="s">
        <v>193</v>
      </c>
      <c r="D66">
        <f>D7</f>
        <v>2.8636363636363633</v>
      </c>
      <c r="E66">
        <f t="shared" si="0"/>
        <v>2.1363636363636367</v>
      </c>
      <c r="F66">
        <f>E7</f>
        <v>5</v>
      </c>
    </row>
    <row r="67" spans="3:6" x14ac:dyDescent="0.25">
      <c r="C67" t="s">
        <v>194</v>
      </c>
      <c r="D67">
        <f>D6</f>
        <v>0</v>
      </c>
      <c r="E67">
        <f t="shared" si="0"/>
        <v>3</v>
      </c>
      <c r="F67">
        <f>E6</f>
        <v>3</v>
      </c>
    </row>
    <row r="68" spans="3:6" x14ac:dyDescent="0.25">
      <c r="C68" t="s">
        <v>195</v>
      </c>
      <c r="D68">
        <f>D5</f>
        <v>1</v>
      </c>
      <c r="E68">
        <f t="shared" si="0"/>
        <v>1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4"/>
  <sheetViews>
    <sheetView topLeftCell="A26" workbookViewId="0">
      <selection activeCell="F5" sqref="F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  <col min="15" max="15" width="10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</row>
    <row r="6" spans="3:18" ht="30" x14ac:dyDescent="0.25">
      <c r="C6" s="2" t="s">
        <v>30</v>
      </c>
      <c r="D6" s="1">
        <v>1</v>
      </c>
      <c r="E6" s="1">
        <v>1</v>
      </c>
    </row>
    <row r="7" spans="3:18" x14ac:dyDescent="0.25">
      <c r="C7" s="9"/>
      <c r="D7" s="1" t="s">
        <v>38</v>
      </c>
      <c r="E7" s="1">
        <f>SUM(E5:E6)</f>
        <v>1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-1.8032770369165241</v>
      </c>
      <c r="H10" s="1" t="s">
        <v>157</v>
      </c>
      <c r="I10" s="1"/>
      <c r="J10" s="1">
        <v>3.97</v>
      </c>
      <c r="K10" s="1"/>
      <c r="L10" s="1" t="s">
        <v>159</v>
      </c>
      <c r="M10" s="1"/>
      <c r="N10" s="1"/>
      <c r="O10" s="1">
        <v>5.28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158</v>
      </c>
      <c r="I11" s="1"/>
      <c r="J11" s="1">
        <v>6.44</v>
      </c>
      <c r="K11" s="1"/>
      <c r="L11" s="1" t="s">
        <v>160</v>
      </c>
      <c r="M11" s="1"/>
      <c r="N11" s="1"/>
      <c r="O11" s="1">
        <v>8.17</v>
      </c>
      <c r="Q11" t="s">
        <v>129</v>
      </c>
      <c r="R11">
        <f>J11+O11</f>
        <v>14.61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1.6221662468513853</v>
      </c>
      <c r="K12" s="1"/>
      <c r="L12" s="1"/>
      <c r="M12" s="1"/>
      <c r="N12" s="1" t="s">
        <v>128</v>
      </c>
      <c r="O12" s="1">
        <f>O11/O10</f>
        <v>1.5473484848484849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-2.221662468513852</v>
      </c>
      <c r="K13" s="1"/>
      <c r="L13" s="1"/>
      <c r="M13" s="1"/>
      <c r="N13" s="1"/>
      <c r="O13" s="1">
        <f>14-10*O12</f>
        <v>-1.4734848484848477</v>
      </c>
    </row>
    <row r="14" spans="3:18" x14ac:dyDescent="0.25">
      <c r="C14" s="1"/>
      <c r="D14" s="1"/>
      <c r="E14" s="1" t="s">
        <v>38</v>
      </c>
      <c r="F14" s="11">
        <v>0</v>
      </c>
      <c r="H14" s="1"/>
      <c r="I14" s="1" t="s">
        <v>130</v>
      </c>
      <c r="J14" s="1">
        <f>J11/R11</f>
        <v>0.44079397672826837</v>
      </c>
      <c r="K14" s="1"/>
      <c r="L14" s="1"/>
      <c r="M14" s="1"/>
      <c r="N14" s="1"/>
      <c r="O14" s="1">
        <f>O11/R11</f>
        <v>0.55920602327173174</v>
      </c>
    </row>
    <row r="15" spans="3:18" x14ac:dyDescent="0.25">
      <c r="H15" s="1"/>
      <c r="I15" s="1"/>
      <c r="J15" s="1">
        <f>J13*J14</f>
        <v>-0.97929543444416212</v>
      </c>
      <c r="K15" s="1"/>
      <c r="L15" s="1"/>
      <c r="M15" s="1"/>
      <c r="N15" s="1"/>
      <c r="O15" s="1">
        <f>O13*O14</f>
        <v>-0.82398160247236185</v>
      </c>
    </row>
    <row r="16" spans="3:18" x14ac:dyDescent="0.25">
      <c r="L16">
        <f>(J13+O13)/2</f>
        <v>-1.8475736584993498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161</v>
      </c>
      <c r="J18" s="1">
        <v>0</v>
      </c>
      <c r="K18" s="1">
        <v>0</v>
      </c>
      <c r="M18" s="1" t="s">
        <v>163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COUNTIF(K19:K40,"&gt;600")+COUNTIF(O19:O40,"&gt;600")</f>
        <v>17</v>
      </c>
      <c r="F19" s="6">
        <f>E19/$E$23</f>
        <v>0.38636363636363635</v>
      </c>
      <c r="G19" s="6">
        <f>D19*F19</f>
        <v>1.9318181818181817</v>
      </c>
      <c r="I19" s="1" t="s">
        <v>162</v>
      </c>
      <c r="J19" s="1">
        <v>398</v>
      </c>
      <c r="K19" s="1">
        <f>J19-J18</f>
        <v>398</v>
      </c>
      <c r="M19" s="1" t="s">
        <v>164</v>
      </c>
      <c r="N19" s="1">
        <v>281</v>
      </c>
      <c r="O19" s="1">
        <f>N19-N18</f>
        <v>281</v>
      </c>
    </row>
    <row r="20" spans="3:15" x14ac:dyDescent="0.25">
      <c r="C20" s="1" t="s">
        <v>40</v>
      </c>
      <c r="D20" s="1">
        <v>4</v>
      </c>
      <c r="E20" s="1">
        <f>COUNTIF(K19:K40,"&gt;500")+COUNTIF(O19:O40,"&gt;500")-E19</f>
        <v>2</v>
      </c>
      <c r="F20" s="6">
        <f t="shared" ref="F20:F22" si="1">E20/$E$23</f>
        <v>4.5454545454545456E-2</v>
      </c>
      <c r="G20" s="6">
        <f t="shared" ref="G20:G22" si="2">D20*F20</f>
        <v>0.18181818181818182</v>
      </c>
      <c r="I20" s="1"/>
      <c r="J20" s="1">
        <v>837</v>
      </c>
      <c r="K20" s="1">
        <f t="shared" ref="K20:K36" si="3">J20-J19</f>
        <v>439</v>
      </c>
      <c r="M20" s="1"/>
      <c r="N20" s="1">
        <v>715</v>
      </c>
      <c r="O20" s="1">
        <f t="shared" ref="O20:O40" si="4">N20-N19</f>
        <v>434</v>
      </c>
    </row>
    <row r="21" spans="3:15" x14ac:dyDescent="0.25">
      <c r="C21" s="1" t="s">
        <v>41</v>
      </c>
      <c r="D21" s="1">
        <v>3</v>
      </c>
      <c r="E21" s="1">
        <f>COUNTIF(K19:K40,"&gt;400")+COUNTIF(O19:O40,"&gt;400")-E20-E19</f>
        <v>11</v>
      </c>
      <c r="F21" s="6">
        <f t="shared" si="1"/>
        <v>0.25</v>
      </c>
      <c r="G21" s="6">
        <f t="shared" si="2"/>
        <v>0.75</v>
      </c>
      <c r="I21" s="1"/>
      <c r="J21" s="1">
        <v>1260</v>
      </c>
      <c r="K21" s="1">
        <f t="shared" si="3"/>
        <v>423</v>
      </c>
      <c r="M21" s="1"/>
      <c r="N21" s="1">
        <v>2120</v>
      </c>
      <c r="O21" s="1">
        <f t="shared" si="4"/>
        <v>1405</v>
      </c>
    </row>
    <row r="22" spans="3:15" x14ac:dyDescent="0.25">
      <c r="C22" s="1" t="s">
        <v>42</v>
      </c>
      <c r="D22" s="1">
        <v>0</v>
      </c>
      <c r="E22" s="1">
        <f>COUNTIF(K19:K40,"&gt;0")+COUNTIF(O19:O40,"&gt;0")-E20-E19-E21</f>
        <v>14</v>
      </c>
      <c r="F22" s="6">
        <f t="shared" si="1"/>
        <v>0.31818181818181818</v>
      </c>
      <c r="G22" s="6">
        <f t="shared" si="2"/>
        <v>0</v>
      </c>
      <c r="I22" s="1"/>
      <c r="J22" s="1">
        <v>1870</v>
      </c>
      <c r="K22" s="1">
        <f t="shared" si="3"/>
        <v>610</v>
      </c>
      <c r="M22" s="1"/>
      <c r="N22" s="1">
        <v>4360</v>
      </c>
      <c r="O22" s="1">
        <f t="shared" si="4"/>
        <v>2240</v>
      </c>
    </row>
    <row r="23" spans="3:15" x14ac:dyDescent="0.25">
      <c r="C23" s="1"/>
      <c r="D23" s="1" t="s">
        <v>45</v>
      </c>
      <c r="E23" s="1">
        <f>SUM(E19:E22)</f>
        <v>44</v>
      </c>
      <c r="F23" s="1"/>
      <c r="G23" s="6">
        <f>SUM(G19:G22)</f>
        <v>2.8636363636363633</v>
      </c>
      <c r="I23" s="1"/>
      <c r="J23" s="1">
        <v>2580</v>
      </c>
      <c r="K23" s="1">
        <f t="shared" si="3"/>
        <v>710</v>
      </c>
      <c r="M23" s="1"/>
      <c r="N23" s="1">
        <v>5140</v>
      </c>
      <c r="O23" s="1">
        <f t="shared" si="4"/>
        <v>780</v>
      </c>
    </row>
    <row r="24" spans="3:15" x14ac:dyDescent="0.25">
      <c r="I24" s="1"/>
      <c r="J24" s="1">
        <v>3060</v>
      </c>
      <c r="K24" s="1">
        <f t="shared" si="3"/>
        <v>480</v>
      </c>
      <c r="M24" s="1"/>
      <c r="N24" s="1">
        <v>5480</v>
      </c>
      <c r="O24" s="1">
        <f t="shared" si="4"/>
        <v>340</v>
      </c>
    </row>
    <row r="25" spans="3:15" x14ac:dyDescent="0.25">
      <c r="I25" s="1"/>
      <c r="J25" s="1">
        <v>3460</v>
      </c>
      <c r="K25" s="1">
        <f t="shared" si="3"/>
        <v>400</v>
      </c>
      <c r="M25" s="1"/>
      <c r="N25" s="1">
        <v>5840</v>
      </c>
      <c r="O25" s="1">
        <f t="shared" si="4"/>
        <v>360</v>
      </c>
    </row>
    <row r="26" spans="3:15" x14ac:dyDescent="0.25">
      <c r="I26" s="1"/>
      <c r="J26" s="1">
        <v>3750</v>
      </c>
      <c r="K26" s="1">
        <f t="shared" si="3"/>
        <v>290</v>
      </c>
      <c r="M26" s="1"/>
      <c r="N26" s="1">
        <v>6590</v>
      </c>
      <c r="O26" s="1">
        <f t="shared" si="4"/>
        <v>750</v>
      </c>
    </row>
    <row r="27" spans="3:15" x14ac:dyDescent="0.25">
      <c r="I27" s="1"/>
      <c r="J27" s="1">
        <v>4570</v>
      </c>
      <c r="K27" s="1">
        <f t="shared" si="3"/>
        <v>820</v>
      </c>
      <c r="M27" s="1"/>
      <c r="N27" s="1">
        <v>7030</v>
      </c>
      <c r="O27" s="1">
        <f t="shared" si="4"/>
        <v>440</v>
      </c>
    </row>
    <row r="28" spans="3:15" x14ac:dyDescent="0.25">
      <c r="I28" s="1"/>
      <c r="J28" s="1">
        <v>6460</v>
      </c>
      <c r="K28" s="1">
        <f t="shared" si="3"/>
        <v>1890</v>
      </c>
      <c r="M28" s="1"/>
      <c r="N28" s="1">
        <v>7240</v>
      </c>
      <c r="O28" s="1">
        <f t="shared" si="4"/>
        <v>210</v>
      </c>
    </row>
    <row r="29" spans="3:15" x14ac:dyDescent="0.25">
      <c r="I29" s="1"/>
      <c r="J29" s="1">
        <v>6840</v>
      </c>
      <c r="K29" s="1">
        <f t="shared" si="3"/>
        <v>380</v>
      </c>
      <c r="M29" s="1"/>
      <c r="N29" s="1">
        <v>7840</v>
      </c>
      <c r="O29" s="1">
        <f t="shared" si="4"/>
        <v>600</v>
      </c>
    </row>
    <row r="30" spans="3:15" x14ac:dyDescent="0.25">
      <c r="I30" s="1"/>
      <c r="J30" s="1">
        <v>7370</v>
      </c>
      <c r="K30" s="1">
        <f t="shared" si="3"/>
        <v>530</v>
      </c>
      <c r="M30" s="1"/>
      <c r="N30" s="1">
        <v>8170</v>
      </c>
      <c r="O30" s="1">
        <f t="shared" si="4"/>
        <v>330</v>
      </c>
    </row>
    <row r="31" spans="3:15" x14ac:dyDescent="0.25">
      <c r="I31" s="1"/>
      <c r="J31" s="1">
        <v>7580</v>
      </c>
      <c r="K31" s="1">
        <f t="shared" si="3"/>
        <v>210</v>
      </c>
      <c r="M31" s="1"/>
      <c r="N31" s="1">
        <v>10370</v>
      </c>
      <c r="O31" s="1">
        <f t="shared" si="4"/>
        <v>2200</v>
      </c>
    </row>
    <row r="32" spans="3:15" x14ac:dyDescent="0.25">
      <c r="I32" s="1"/>
      <c r="J32" s="1">
        <v>8050</v>
      </c>
      <c r="K32" s="1">
        <f t="shared" si="3"/>
        <v>470</v>
      </c>
      <c r="M32" s="1"/>
      <c r="N32" s="1">
        <v>11210</v>
      </c>
      <c r="O32" s="1">
        <f t="shared" si="4"/>
        <v>840</v>
      </c>
    </row>
    <row r="33" spans="3:15" x14ac:dyDescent="0.25">
      <c r="I33" s="1"/>
      <c r="J33" s="1">
        <v>8810</v>
      </c>
      <c r="K33" s="1">
        <f t="shared" si="3"/>
        <v>760</v>
      </c>
      <c r="M33" s="1"/>
      <c r="N33" s="1">
        <v>11520</v>
      </c>
      <c r="O33" s="1">
        <f t="shared" si="4"/>
        <v>310</v>
      </c>
    </row>
    <row r="34" spans="3:15" x14ac:dyDescent="0.25">
      <c r="I34" s="1"/>
      <c r="J34" s="1">
        <v>9130</v>
      </c>
      <c r="K34" s="1">
        <f t="shared" si="3"/>
        <v>320</v>
      </c>
      <c r="M34" s="1"/>
      <c r="N34" s="1">
        <v>11930</v>
      </c>
      <c r="O34" s="1">
        <f t="shared" si="4"/>
        <v>410</v>
      </c>
    </row>
    <row r="35" spans="3:15" x14ac:dyDescent="0.25">
      <c r="I35" s="1"/>
      <c r="J35" s="1">
        <v>9450</v>
      </c>
      <c r="K35" s="1">
        <f t="shared" si="3"/>
        <v>320</v>
      </c>
      <c r="M35" s="1"/>
      <c r="N35" s="1">
        <v>12350</v>
      </c>
      <c r="O35" s="1">
        <f t="shared" si="4"/>
        <v>420</v>
      </c>
    </row>
    <row r="36" spans="3:15" x14ac:dyDescent="0.25">
      <c r="I36" s="1"/>
      <c r="J36" s="1">
        <v>10190</v>
      </c>
      <c r="K36" s="1">
        <f t="shared" si="3"/>
        <v>740</v>
      </c>
      <c r="M36" s="1"/>
      <c r="N36" s="1">
        <v>13090</v>
      </c>
      <c r="O36" s="1">
        <f t="shared" si="4"/>
        <v>740</v>
      </c>
    </row>
    <row r="37" spans="3:15" x14ac:dyDescent="0.25">
      <c r="I37" s="1"/>
      <c r="J37" s="1">
        <v>2640</v>
      </c>
      <c r="K37" s="1">
        <f>J37</f>
        <v>2640</v>
      </c>
      <c r="M37" s="1"/>
      <c r="N37" s="1">
        <v>13710</v>
      </c>
      <c r="O37" s="1">
        <f t="shared" si="4"/>
        <v>620</v>
      </c>
    </row>
    <row r="38" spans="3:15" x14ac:dyDescent="0.25">
      <c r="I38" s="1"/>
      <c r="J38" s="1">
        <v>4070</v>
      </c>
      <c r="K38" s="1">
        <f>J38-J37</f>
        <v>1430</v>
      </c>
      <c r="M38" s="1"/>
      <c r="N38" s="1">
        <v>14160</v>
      </c>
      <c r="O38" s="1">
        <f t="shared" si="4"/>
        <v>450</v>
      </c>
    </row>
    <row r="39" spans="3:15" x14ac:dyDescent="0.25">
      <c r="I39" s="1"/>
      <c r="J39" s="27">
        <v>4560</v>
      </c>
      <c r="K39" s="1">
        <f>J40-J38</f>
        <v>780</v>
      </c>
      <c r="M39" s="1"/>
      <c r="N39" s="1">
        <v>14570</v>
      </c>
      <c r="O39" s="1">
        <f t="shared" si="4"/>
        <v>410</v>
      </c>
    </row>
    <row r="40" spans="3:15" x14ac:dyDescent="0.25">
      <c r="I40" s="1"/>
      <c r="J40" s="1">
        <v>4850</v>
      </c>
      <c r="K40" s="1">
        <f>J40-J39</f>
        <v>290</v>
      </c>
      <c r="M40" s="1"/>
      <c r="N40" s="1">
        <v>15020</v>
      </c>
      <c r="O40" s="1">
        <f t="shared" si="4"/>
        <v>450</v>
      </c>
    </row>
    <row r="41" spans="3:15" x14ac:dyDescent="0.25">
      <c r="J41">
        <f>J36+SUM(K37:K40)</f>
        <v>15330</v>
      </c>
    </row>
    <row r="43" spans="3:15" x14ac:dyDescent="0.25">
      <c r="C43" s="4" t="s">
        <v>4</v>
      </c>
      <c r="D43" s="1" t="s">
        <v>51</v>
      </c>
      <c r="E43" s="1" t="s">
        <v>44</v>
      </c>
      <c r="F43" s="1" t="s">
        <v>56</v>
      </c>
      <c r="G43" s="1" t="s">
        <v>31</v>
      </c>
      <c r="I43" t="s">
        <v>133</v>
      </c>
      <c r="J43" t="s">
        <v>131</v>
      </c>
      <c r="K43" t="s">
        <v>132</v>
      </c>
    </row>
    <row r="44" spans="3:15" x14ac:dyDescent="0.25">
      <c r="C44" s="1" t="s">
        <v>46</v>
      </c>
      <c r="D44" s="1">
        <v>3</v>
      </c>
      <c r="E44" s="1">
        <v>25</v>
      </c>
      <c r="F44" s="1">
        <f>E44/((J41+N40)/1000)</f>
        <v>0.82372322899505768</v>
      </c>
      <c r="G44" s="1">
        <f>-4*F44+4</f>
        <v>0.70510708401976929</v>
      </c>
      <c r="I44">
        <v>33</v>
      </c>
      <c r="J44">
        <v>10</v>
      </c>
      <c r="K44">
        <f>((I44/2)^2+J44^2)/(2*J44)</f>
        <v>18.612500000000001</v>
      </c>
    </row>
    <row r="45" spans="3:15" x14ac:dyDescent="0.25">
      <c r="C45" s="1" t="s">
        <v>47</v>
      </c>
      <c r="D45" s="1">
        <v>2</v>
      </c>
      <c r="F45" s="1"/>
      <c r="G45" s="1"/>
    </row>
    <row r="46" spans="3:15" x14ac:dyDescent="0.25">
      <c r="C46" s="1" t="s">
        <v>48</v>
      </c>
      <c r="D46" s="1">
        <v>1</v>
      </c>
      <c r="E46" s="1"/>
      <c r="F46" s="1"/>
      <c r="G46" s="1"/>
    </row>
    <row r="47" spans="3:15" x14ac:dyDescent="0.25">
      <c r="C47" s="1" t="s">
        <v>49</v>
      </c>
      <c r="D47" s="1">
        <v>0</v>
      </c>
      <c r="E47" s="1"/>
      <c r="F47" s="1"/>
      <c r="G47" s="1"/>
    </row>
    <row r="48" spans="3:15" x14ac:dyDescent="0.25">
      <c r="F48" s="1" t="s">
        <v>52</v>
      </c>
      <c r="G48" s="1">
        <f>SUM(G44:G47)</f>
        <v>0.70510708401976929</v>
      </c>
      <c r="J48" s="5"/>
    </row>
    <row r="50" spans="3:7" x14ac:dyDescent="0.25">
      <c r="C50" s="8" t="s">
        <v>5</v>
      </c>
      <c r="D50" s="1" t="s">
        <v>51</v>
      </c>
      <c r="E50" s="1" t="s">
        <v>44</v>
      </c>
      <c r="F50" s="1" t="s">
        <v>32</v>
      </c>
      <c r="G50" s="1" t="s">
        <v>31</v>
      </c>
    </row>
    <row r="51" spans="3:7" ht="30" x14ac:dyDescent="0.25">
      <c r="C51" s="2" t="s">
        <v>155</v>
      </c>
      <c r="D51" s="1">
        <v>3</v>
      </c>
      <c r="E51" s="1">
        <v>1</v>
      </c>
      <c r="F51" s="1">
        <f>E51/SUM(E51:E52)</f>
        <v>1</v>
      </c>
      <c r="G51" s="1">
        <f>D51*F51</f>
        <v>3</v>
      </c>
    </row>
    <row r="52" spans="3:7" ht="30" x14ac:dyDescent="0.25">
      <c r="C52" s="2" t="s">
        <v>50</v>
      </c>
      <c r="D52" s="1">
        <v>0</v>
      </c>
      <c r="E52" s="1">
        <v>0</v>
      </c>
      <c r="F52" s="1">
        <f>E52/SUM(E51:E52)</f>
        <v>0</v>
      </c>
      <c r="G52" s="1">
        <f>D52*F52</f>
        <v>0</v>
      </c>
    </row>
    <row r="53" spans="3:7" x14ac:dyDescent="0.25">
      <c r="F53" s="1" t="s">
        <v>45</v>
      </c>
      <c r="G53" s="1">
        <f>SUM(G51:G52)</f>
        <v>3</v>
      </c>
    </row>
    <row r="55" spans="3:7" x14ac:dyDescent="0.25">
      <c r="C55" s="8" t="s">
        <v>6</v>
      </c>
      <c r="D55" s="1" t="s">
        <v>51</v>
      </c>
      <c r="E55" s="1" t="s">
        <v>44</v>
      </c>
      <c r="F55" s="1" t="s">
        <v>57</v>
      </c>
      <c r="G55" s="1" t="s">
        <v>31</v>
      </c>
    </row>
    <row r="56" spans="3:7" x14ac:dyDescent="0.25">
      <c r="C56" s="1" t="s">
        <v>53</v>
      </c>
      <c r="D56" s="1">
        <v>2</v>
      </c>
      <c r="E56" s="1"/>
      <c r="F56" s="1"/>
      <c r="G56" s="1">
        <v>0</v>
      </c>
    </row>
    <row r="57" spans="3:7" x14ac:dyDescent="0.25">
      <c r="C57" s="1" t="s">
        <v>54</v>
      </c>
      <c r="D57" s="1">
        <v>1</v>
      </c>
      <c r="E57" s="1"/>
      <c r="F57" s="1"/>
      <c r="G57" s="1">
        <v>1</v>
      </c>
    </row>
    <row r="58" spans="3:7" x14ac:dyDescent="0.25">
      <c r="C58" s="1" t="s">
        <v>55</v>
      </c>
      <c r="D58" s="1">
        <v>0</v>
      </c>
      <c r="E58" s="1"/>
      <c r="F58" s="1"/>
      <c r="G58" s="1">
        <v>0</v>
      </c>
    </row>
    <row r="59" spans="3:7" x14ac:dyDescent="0.25">
      <c r="F59" s="1" t="s">
        <v>52</v>
      </c>
      <c r="G59" s="1">
        <f>SUM(G56:G58)</f>
        <v>1</v>
      </c>
    </row>
    <row r="61" spans="3:7" x14ac:dyDescent="0.25">
      <c r="C61" s="1" t="s">
        <v>58</v>
      </c>
      <c r="D61" s="1" t="s">
        <v>51</v>
      </c>
      <c r="E61" s="1" t="s">
        <v>44</v>
      </c>
      <c r="F61" s="1" t="s">
        <v>57</v>
      </c>
      <c r="G61" s="1" t="s">
        <v>31</v>
      </c>
    </row>
    <row r="62" spans="3:7" x14ac:dyDescent="0.25">
      <c r="C62" s="1" t="s">
        <v>59</v>
      </c>
      <c r="D62" s="1">
        <v>1</v>
      </c>
      <c r="E62" s="1">
        <v>2</v>
      </c>
      <c r="F62" s="1">
        <f>E62/44</f>
        <v>4.5454545454545456E-2</v>
      </c>
      <c r="G62" s="1">
        <f>D62*F62</f>
        <v>4.5454545454545456E-2</v>
      </c>
    </row>
    <row r="63" spans="3:7" x14ac:dyDescent="0.25">
      <c r="C63" s="8" t="s">
        <v>60</v>
      </c>
      <c r="D63" s="1">
        <v>1</v>
      </c>
      <c r="E63" s="1">
        <v>8</v>
      </c>
      <c r="F63" s="1">
        <f>E63/44</f>
        <v>0.18181818181818182</v>
      </c>
      <c r="G63" s="1">
        <f>D63*F63</f>
        <v>0.18181818181818182</v>
      </c>
    </row>
    <row r="64" spans="3:7" x14ac:dyDescent="0.25">
      <c r="F64" s="7" t="s">
        <v>52</v>
      </c>
      <c r="G64" s="7">
        <f>SUM(G62:G63)</f>
        <v>0.22727272727272729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opLeftCell="B1" zoomScaleNormal="100" workbookViewId="0">
      <selection activeCell="J69" sqref="J69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20" x14ac:dyDescent="0.25">
      <c r="I3" t="s">
        <v>165</v>
      </c>
      <c r="O3" t="s">
        <v>152</v>
      </c>
    </row>
    <row r="4" spans="3:20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156</v>
      </c>
      <c r="J4" t="s">
        <v>153</v>
      </c>
      <c r="K4" t="s">
        <v>134</v>
      </c>
      <c r="L4" t="s">
        <v>135</v>
      </c>
      <c r="M4" t="s">
        <v>139</v>
      </c>
      <c r="O4" t="s">
        <v>156</v>
      </c>
      <c r="P4" t="s">
        <v>153</v>
      </c>
      <c r="Q4" t="s">
        <v>134</v>
      </c>
      <c r="R4" t="s">
        <v>135</v>
      </c>
      <c r="S4" t="s">
        <v>139</v>
      </c>
    </row>
    <row r="5" spans="3:20" ht="45" x14ac:dyDescent="0.25">
      <c r="C5" s="2" t="s">
        <v>73</v>
      </c>
      <c r="D5" s="1">
        <v>8</v>
      </c>
      <c r="E5" s="1">
        <f>SUMIF(K5:K35,"*Fysisk*",M5:M35)+SUMIF(Q5:Q33,"*Fysisk*",S5:S33)</f>
        <v>11462</v>
      </c>
      <c r="F5" s="6">
        <f>E5/SUM(E5:E8)</f>
        <v>0.38029197080291971</v>
      </c>
      <c r="G5" s="1">
        <f>F5*D5</f>
        <v>3.0423357664233577</v>
      </c>
      <c r="K5" t="s">
        <v>76</v>
      </c>
      <c r="L5">
        <v>718</v>
      </c>
      <c r="M5">
        <f>L5</f>
        <v>718</v>
      </c>
      <c r="Q5" t="s">
        <v>76</v>
      </c>
      <c r="R5" s="29">
        <v>2040</v>
      </c>
      <c r="S5">
        <f>R5</f>
        <v>2040</v>
      </c>
      <c r="T5" s="30">
        <f t="shared" ref="T5:T28" si="0">S5+T6</f>
        <v>15040</v>
      </c>
    </row>
    <row r="6" spans="3:20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>
        <f>E6/SUM(E5:E8)</f>
        <v>0</v>
      </c>
      <c r="G6" s="1">
        <f t="shared" ref="G6:G8" si="1">F6*D6</f>
        <v>0</v>
      </c>
      <c r="J6" s="9" t="s">
        <v>166</v>
      </c>
      <c r="K6" t="s">
        <v>138</v>
      </c>
      <c r="L6">
        <v>3800</v>
      </c>
      <c r="M6">
        <f>L6-L5</f>
        <v>3082</v>
      </c>
      <c r="P6" t="s">
        <v>166</v>
      </c>
      <c r="Q6" t="s">
        <v>138</v>
      </c>
      <c r="R6" s="29">
        <v>2320</v>
      </c>
      <c r="S6">
        <f t="shared" ref="S6:S11" si="2">R6-R5</f>
        <v>280</v>
      </c>
      <c r="T6" s="30">
        <f t="shared" si="0"/>
        <v>13000</v>
      </c>
    </row>
    <row r="7" spans="3:20" x14ac:dyDescent="0.25">
      <c r="C7" s="2" t="s">
        <v>75</v>
      </c>
      <c r="D7" s="1">
        <v>4</v>
      </c>
      <c r="E7" s="1">
        <f>SUMIF(K5:K35,"*linje*",M5:M35)+SUMIF(Q5:Q33,"*linje*",S5:S33)</f>
        <v>3920</v>
      </c>
      <c r="F7" s="6">
        <f>E7/SUM(E5:E8)</f>
        <v>0.1300597213005972</v>
      </c>
      <c r="G7" s="1">
        <f t="shared" si="1"/>
        <v>0.52023888520238881</v>
      </c>
      <c r="J7" s="9"/>
      <c r="K7" t="s">
        <v>76</v>
      </c>
      <c r="L7">
        <v>5300</v>
      </c>
      <c r="M7">
        <f t="shared" ref="M7:M26" si="3">L7-L6</f>
        <v>1500</v>
      </c>
      <c r="P7" t="s">
        <v>166</v>
      </c>
      <c r="Q7" t="s">
        <v>137</v>
      </c>
      <c r="R7" s="29">
        <v>2640</v>
      </c>
      <c r="S7">
        <f t="shared" si="2"/>
        <v>320</v>
      </c>
      <c r="T7" s="30">
        <f t="shared" si="0"/>
        <v>12720</v>
      </c>
    </row>
    <row r="8" spans="3:20" x14ac:dyDescent="0.25">
      <c r="C8" s="1" t="s">
        <v>76</v>
      </c>
      <c r="D8" s="1">
        <v>0</v>
      </c>
      <c r="E8" s="1">
        <f>SUMIF(K5:K35,"*Blandtrafik*",M5:M35)+SUMIF(Q5:Q33,"*Blandtrafik*",S5:S33)</f>
        <v>14758</v>
      </c>
      <c r="F8" s="6">
        <f>E8/SUM(E5:E8)</f>
        <v>0.48964830789648306</v>
      </c>
      <c r="G8" s="1">
        <f t="shared" si="1"/>
        <v>0</v>
      </c>
      <c r="J8" t="s">
        <v>166</v>
      </c>
      <c r="K8" t="s">
        <v>137</v>
      </c>
      <c r="L8">
        <v>5850</v>
      </c>
      <c r="M8">
        <f t="shared" si="3"/>
        <v>550</v>
      </c>
      <c r="Q8" t="s">
        <v>76</v>
      </c>
      <c r="R8" s="29">
        <v>2770</v>
      </c>
      <c r="S8">
        <f t="shared" si="2"/>
        <v>130</v>
      </c>
      <c r="T8" s="30">
        <f t="shared" si="0"/>
        <v>12400</v>
      </c>
    </row>
    <row r="9" spans="3:20" x14ac:dyDescent="0.25">
      <c r="D9" s="1" t="s">
        <v>143</v>
      </c>
      <c r="E9" s="1">
        <f>SUM(E5:E8)</f>
        <v>30140</v>
      </c>
      <c r="F9" s="7" t="s">
        <v>38</v>
      </c>
      <c r="G9" s="10">
        <f>SUM(G5:G8)</f>
        <v>3.5625746516257464</v>
      </c>
      <c r="J9" t="s">
        <v>166</v>
      </c>
      <c r="K9" t="s">
        <v>138</v>
      </c>
      <c r="L9">
        <v>6630</v>
      </c>
      <c r="M9">
        <f t="shared" si="3"/>
        <v>780</v>
      </c>
      <c r="P9" t="s">
        <v>166</v>
      </c>
      <c r="Q9" t="s">
        <v>137</v>
      </c>
      <c r="R9" s="29">
        <v>3280</v>
      </c>
      <c r="S9">
        <f t="shared" si="2"/>
        <v>510</v>
      </c>
      <c r="T9" s="30">
        <f t="shared" si="0"/>
        <v>12270</v>
      </c>
    </row>
    <row r="10" spans="3:20" x14ac:dyDescent="0.25">
      <c r="K10" t="s">
        <v>76</v>
      </c>
      <c r="L10">
        <v>6710</v>
      </c>
      <c r="M10">
        <f t="shared" si="3"/>
        <v>80</v>
      </c>
      <c r="Q10" t="s">
        <v>76</v>
      </c>
      <c r="R10" s="29">
        <v>5070</v>
      </c>
      <c r="S10">
        <f t="shared" si="2"/>
        <v>1790</v>
      </c>
      <c r="T10" s="30">
        <f t="shared" si="0"/>
        <v>11760</v>
      </c>
    </row>
    <row r="11" spans="3:20" x14ac:dyDescent="0.25">
      <c r="E11">
        <f>K35+P33</f>
        <v>0</v>
      </c>
      <c r="K11" t="s">
        <v>137</v>
      </c>
      <c r="L11">
        <v>7290</v>
      </c>
      <c r="M11">
        <f t="shared" si="3"/>
        <v>580</v>
      </c>
      <c r="P11" t="s">
        <v>166</v>
      </c>
      <c r="Q11" t="s">
        <v>138</v>
      </c>
      <c r="R11" s="29">
        <v>5200</v>
      </c>
      <c r="S11">
        <f t="shared" si="2"/>
        <v>130</v>
      </c>
      <c r="T11" s="30">
        <f t="shared" si="0"/>
        <v>9970</v>
      </c>
    </row>
    <row r="12" spans="3:20" x14ac:dyDescent="0.25">
      <c r="E12">
        <f>SUM(E5:E8)</f>
        <v>30140</v>
      </c>
      <c r="J12" t="s">
        <v>166</v>
      </c>
      <c r="K12" t="s">
        <v>138</v>
      </c>
      <c r="L12">
        <v>7660</v>
      </c>
      <c r="M12">
        <f t="shared" si="3"/>
        <v>370</v>
      </c>
      <c r="P12" t="s">
        <v>166</v>
      </c>
      <c r="Q12" t="s">
        <v>137</v>
      </c>
      <c r="R12" s="29">
        <v>5450</v>
      </c>
      <c r="S12">
        <f t="shared" ref="S12:S30" si="4">R12-R11</f>
        <v>250</v>
      </c>
      <c r="T12" s="30">
        <f t="shared" si="0"/>
        <v>9840</v>
      </c>
    </row>
    <row r="13" spans="3:20" x14ac:dyDescent="0.25">
      <c r="J13" t="s">
        <v>166</v>
      </c>
      <c r="K13" t="s">
        <v>137</v>
      </c>
      <c r="L13">
        <v>7710</v>
      </c>
      <c r="M13">
        <f t="shared" si="3"/>
        <v>50</v>
      </c>
      <c r="P13" t="s">
        <v>166</v>
      </c>
      <c r="Q13" t="s">
        <v>138</v>
      </c>
      <c r="R13" s="29">
        <v>5530</v>
      </c>
      <c r="S13">
        <f t="shared" si="4"/>
        <v>80</v>
      </c>
      <c r="T13" s="30">
        <f t="shared" si="0"/>
        <v>9590</v>
      </c>
    </row>
    <row r="14" spans="3:20" x14ac:dyDescent="0.25">
      <c r="E14" t="s">
        <v>76</v>
      </c>
      <c r="J14" t="s">
        <v>166</v>
      </c>
      <c r="K14" t="s">
        <v>138</v>
      </c>
      <c r="L14">
        <v>7830</v>
      </c>
      <c r="M14">
        <f t="shared" si="3"/>
        <v>120</v>
      </c>
      <c r="Q14" t="s">
        <v>76</v>
      </c>
      <c r="R14" s="29">
        <v>5770</v>
      </c>
      <c r="S14">
        <f t="shared" si="4"/>
        <v>240</v>
      </c>
      <c r="T14" s="30">
        <f t="shared" si="0"/>
        <v>9510</v>
      </c>
    </row>
    <row r="15" spans="3:20" x14ac:dyDescent="0.25">
      <c r="E15" s="9" t="s">
        <v>136</v>
      </c>
      <c r="K15" t="s">
        <v>76</v>
      </c>
      <c r="L15">
        <v>7940</v>
      </c>
      <c r="M15">
        <f t="shared" si="3"/>
        <v>110</v>
      </c>
      <c r="P15" t="s">
        <v>166</v>
      </c>
      <c r="Q15" t="s">
        <v>138</v>
      </c>
      <c r="R15" s="29">
        <v>6270</v>
      </c>
      <c r="S15">
        <f t="shared" si="4"/>
        <v>500</v>
      </c>
      <c r="T15" s="30">
        <f t="shared" si="0"/>
        <v>9270</v>
      </c>
    </row>
    <row r="16" spans="3:20" x14ac:dyDescent="0.25">
      <c r="E16" t="s">
        <v>137</v>
      </c>
      <c r="J16" t="s">
        <v>166</v>
      </c>
      <c r="K16" t="s">
        <v>138</v>
      </c>
      <c r="L16">
        <v>8090</v>
      </c>
      <c r="M16">
        <f t="shared" si="3"/>
        <v>150</v>
      </c>
      <c r="P16" t="s">
        <v>166</v>
      </c>
      <c r="Q16" t="s">
        <v>137</v>
      </c>
      <c r="R16" s="29">
        <v>6330</v>
      </c>
      <c r="S16">
        <f t="shared" si="4"/>
        <v>60</v>
      </c>
      <c r="T16" s="30">
        <f t="shared" si="0"/>
        <v>8770</v>
      </c>
    </row>
    <row r="17" spans="5:20" x14ac:dyDescent="0.25">
      <c r="E17" t="s">
        <v>138</v>
      </c>
      <c r="J17" t="s">
        <v>166</v>
      </c>
      <c r="K17" t="s">
        <v>137</v>
      </c>
      <c r="L17">
        <v>8160</v>
      </c>
      <c r="M17">
        <f t="shared" si="3"/>
        <v>70</v>
      </c>
      <c r="Q17" t="s">
        <v>76</v>
      </c>
      <c r="R17" s="29">
        <v>6540</v>
      </c>
      <c r="S17">
        <f t="shared" si="4"/>
        <v>210</v>
      </c>
      <c r="T17" s="30">
        <f t="shared" si="0"/>
        <v>8710</v>
      </c>
    </row>
    <row r="18" spans="5:20" x14ac:dyDescent="0.25">
      <c r="J18" t="s">
        <v>166</v>
      </c>
      <c r="K18" t="s">
        <v>138</v>
      </c>
      <c r="L18">
        <v>8270</v>
      </c>
      <c r="M18">
        <f t="shared" si="3"/>
        <v>110</v>
      </c>
      <c r="P18" t="s">
        <v>166</v>
      </c>
      <c r="Q18" t="s">
        <v>138</v>
      </c>
      <c r="R18" s="29">
        <v>6690</v>
      </c>
      <c r="S18">
        <f t="shared" si="4"/>
        <v>150</v>
      </c>
      <c r="T18" s="30">
        <f t="shared" si="0"/>
        <v>8500</v>
      </c>
    </row>
    <row r="19" spans="5:20" x14ac:dyDescent="0.25">
      <c r="J19" t="s">
        <v>166</v>
      </c>
      <c r="K19" t="s">
        <v>137</v>
      </c>
      <c r="L19">
        <v>8370</v>
      </c>
      <c r="M19">
        <f t="shared" si="3"/>
        <v>100</v>
      </c>
      <c r="Q19" t="s">
        <v>76</v>
      </c>
      <c r="R19" s="29">
        <v>6780</v>
      </c>
      <c r="S19">
        <f t="shared" si="4"/>
        <v>90</v>
      </c>
      <c r="T19" s="30">
        <f t="shared" si="0"/>
        <v>8350</v>
      </c>
    </row>
    <row r="20" spans="5:20" x14ac:dyDescent="0.25">
      <c r="J20" t="s">
        <v>166</v>
      </c>
      <c r="K20" t="s">
        <v>138</v>
      </c>
      <c r="L20">
        <v>8880</v>
      </c>
      <c r="M20">
        <f t="shared" si="3"/>
        <v>510</v>
      </c>
      <c r="P20" t="s">
        <v>166</v>
      </c>
      <c r="Q20" t="s">
        <v>138</v>
      </c>
      <c r="R20" s="29">
        <v>6940</v>
      </c>
      <c r="S20">
        <f t="shared" si="4"/>
        <v>160</v>
      </c>
      <c r="T20" s="30">
        <f t="shared" si="0"/>
        <v>8260</v>
      </c>
    </row>
    <row r="21" spans="5:20" x14ac:dyDescent="0.25">
      <c r="J21" t="s">
        <v>166</v>
      </c>
      <c r="K21" t="s">
        <v>137</v>
      </c>
      <c r="L21">
        <v>9090</v>
      </c>
      <c r="M21">
        <f t="shared" si="3"/>
        <v>210</v>
      </c>
      <c r="P21" t="s">
        <v>166</v>
      </c>
      <c r="Q21" t="s">
        <v>137</v>
      </c>
      <c r="R21" s="29">
        <v>7020</v>
      </c>
      <c r="S21">
        <f t="shared" si="4"/>
        <v>80</v>
      </c>
      <c r="T21" s="30">
        <f t="shared" si="0"/>
        <v>8100</v>
      </c>
    </row>
    <row r="22" spans="5:20" x14ac:dyDescent="0.25">
      <c r="J22" t="s">
        <v>166</v>
      </c>
      <c r="K22" t="s">
        <v>138</v>
      </c>
      <c r="L22">
        <v>9180</v>
      </c>
      <c r="M22">
        <f t="shared" si="3"/>
        <v>90</v>
      </c>
      <c r="P22" t="s">
        <v>166</v>
      </c>
      <c r="Q22" t="s">
        <v>138</v>
      </c>
      <c r="R22" s="29">
        <v>7390</v>
      </c>
      <c r="S22">
        <f t="shared" si="4"/>
        <v>370</v>
      </c>
      <c r="T22" s="30">
        <f t="shared" si="0"/>
        <v>8020</v>
      </c>
    </row>
    <row r="23" spans="5:20" x14ac:dyDescent="0.25">
      <c r="J23" t="s">
        <v>166</v>
      </c>
      <c r="K23" t="s">
        <v>137</v>
      </c>
      <c r="L23">
        <v>9440</v>
      </c>
      <c r="M23">
        <f t="shared" si="3"/>
        <v>260</v>
      </c>
      <c r="Q23" t="s">
        <v>76</v>
      </c>
      <c r="R23" s="29">
        <v>7710</v>
      </c>
      <c r="S23">
        <f t="shared" si="4"/>
        <v>320</v>
      </c>
      <c r="T23" s="30">
        <f t="shared" si="0"/>
        <v>7650</v>
      </c>
    </row>
    <row r="24" spans="5:20" x14ac:dyDescent="0.25">
      <c r="J24" t="s">
        <v>166</v>
      </c>
      <c r="K24" t="s">
        <v>138</v>
      </c>
      <c r="L24">
        <v>9530</v>
      </c>
      <c r="M24">
        <f t="shared" si="3"/>
        <v>90</v>
      </c>
      <c r="P24" t="s">
        <v>166</v>
      </c>
      <c r="Q24" t="s">
        <v>138</v>
      </c>
      <c r="R24" s="29">
        <v>7830</v>
      </c>
      <c r="S24">
        <f t="shared" si="4"/>
        <v>120</v>
      </c>
      <c r="T24" s="30">
        <f t="shared" si="0"/>
        <v>7330</v>
      </c>
    </row>
    <row r="25" spans="5:20" x14ac:dyDescent="0.25">
      <c r="K25" t="s">
        <v>76</v>
      </c>
      <c r="L25">
        <v>10140</v>
      </c>
      <c r="M25">
        <f t="shared" si="3"/>
        <v>610</v>
      </c>
      <c r="Q25" t="s">
        <v>76</v>
      </c>
      <c r="R25" s="29">
        <v>7920</v>
      </c>
      <c r="S25">
        <f t="shared" si="4"/>
        <v>90</v>
      </c>
      <c r="T25" s="30">
        <f t="shared" si="0"/>
        <v>7210</v>
      </c>
    </row>
    <row r="26" spans="5:20" x14ac:dyDescent="0.25">
      <c r="J26" t="s">
        <v>166</v>
      </c>
      <c r="K26" t="s">
        <v>138</v>
      </c>
      <c r="L26">
        <v>10260</v>
      </c>
      <c r="M26">
        <f t="shared" si="3"/>
        <v>120</v>
      </c>
      <c r="P26" t="s">
        <v>166</v>
      </c>
      <c r="Q26" t="s">
        <v>138</v>
      </c>
      <c r="R26" s="29">
        <v>8810</v>
      </c>
      <c r="S26">
        <f t="shared" si="4"/>
        <v>890</v>
      </c>
      <c r="T26" s="30">
        <f t="shared" si="0"/>
        <v>7120</v>
      </c>
    </row>
    <row r="27" spans="5:20" x14ac:dyDescent="0.25">
      <c r="K27" t="s">
        <v>76</v>
      </c>
      <c r="L27">
        <v>12480</v>
      </c>
      <c r="M27">
        <f>L27-L26</f>
        <v>2220</v>
      </c>
      <c r="P27" t="s">
        <v>166</v>
      </c>
      <c r="Q27" t="s">
        <v>137</v>
      </c>
      <c r="R27" s="29">
        <v>9520</v>
      </c>
      <c r="S27">
        <f t="shared" si="4"/>
        <v>710</v>
      </c>
      <c r="T27" s="30">
        <f t="shared" si="0"/>
        <v>6230</v>
      </c>
    </row>
    <row r="28" spans="5:20" x14ac:dyDescent="0.25">
      <c r="K28" t="s">
        <v>137</v>
      </c>
      <c r="L28">
        <v>12600</v>
      </c>
      <c r="M28">
        <f>L28-L27</f>
        <v>120</v>
      </c>
      <c r="Q28" t="s">
        <v>76</v>
      </c>
      <c r="R28" s="29">
        <v>11170</v>
      </c>
      <c r="S28">
        <f t="shared" si="4"/>
        <v>1650</v>
      </c>
      <c r="T28" s="30">
        <f t="shared" si="0"/>
        <v>5520</v>
      </c>
    </row>
    <row r="29" spans="5:20" x14ac:dyDescent="0.25">
      <c r="J29" t="s">
        <v>166</v>
      </c>
      <c r="K29" t="s">
        <v>138</v>
      </c>
      <c r="L29">
        <v>12900</v>
      </c>
      <c r="M29">
        <f>L29-L28</f>
        <v>300</v>
      </c>
      <c r="P29" t="s">
        <v>166</v>
      </c>
      <c r="Q29" t="s">
        <v>138</v>
      </c>
      <c r="R29" s="29">
        <v>14230</v>
      </c>
      <c r="S29">
        <f t="shared" si="4"/>
        <v>3060</v>
      </c>
      <c r="T29" s="30">
        <f>S29+T30</f>
        <v>3870</v>
      </c>
    </row>
    <row r="30" spans="5:20" x14ac:dyDescent="0.25">
      <c r="K30" t="s">
        <v>76</v>
      </c>
      <c r="L30">
        <v>13250</v>
      </c>
      <c r="M30">
        <f>L30-L29</f>
        <v>350</v>
      </c>
      <c r="Q30" t="s">
        <v>76</v>
      </c>
      <c r="R30" s="29">
        <v>15040</v>
      </c>
      <c r="S30">
        <f t="shared" si="4"/>
        <v>810</v>
      </c>
      <c r="T30" s="30">
        <f>S30</f>
        <v>810</v>
      </c>
    </row>
    <row r="31" spans="5:20" x14ac:dyDescent="0.25">
      <c r="K31" t="s">
        <v>137</v>
      </c>
      <c r="L31">
        <v>13300</v>
      </c>
      <c r="M31">
        <f>L31-L30</f>
        <v>50</v>
      </c>
    </row>
    <row r="32" spans="5:20" x14ac:dyDescent="0.25">
      <c r="K32" t="s">
        <v>76</v>
      </c>
      <c r="L32">
        <v>1800</v>
      </c>
      <c r="M32">
        <f>L32</f>
        <v>1800</v>
      </c>
    </row>
    <row r="33" spans="3:20" x14ac:dyDescent="0.25">
      <c r="O33" s="5"/>
    </row>
    <row r="34" spans="3:20" x14ac:dyDescent="0.25">
      <c r="K34" t="s">
        <v>143</v>
      </c>
      <c r="L34">
        <f>SUM(M5:M32)</f>
        <v>15100</v>
      </c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f>SUM(M6,M8:M9,M12:M14,M16:M24,M26,M29,S6,S7,S9,S11:S13,S15:S16,S18,S20:S22,S24,S26:S27,S29)</f>
        <v>14632</v>
      </c>
      <c r="F42" s="6">
        <f>E42/(E42+E43)</f>
        <v>0.9512417110908854</v>
      </c>
      <c r="G42" s="1">
        <f>F42*D42</f>
        <v>3.8049668443635416</v>
      </c>
    </row>
    <row r="43" spans="3:20" ht="30" x14ac:dyDescent="0.25">
      <c r="C43" s="2" t="s">
        <v>78</v>
      </c>
      <c r="D43" s="1">
        <v>0</v>
      </c>
      <c r="E43" s="1">
        <f>SUM(E5:E7)-E42</f>
        <v>750</v>
      </c>
      <c r="F43" s="6">
        <f>E43/(E42+E43)</f>
        <v>4.8758288909114551E-2</v>
      </c>
      <c r="G43" s="1">
        <f>F43*D43</f>
        <v>0</v>
      </c>
    </row>
    <row r="44" spans="3:20" x14ac:dyDescent="0.25">
      <c r="F44" s="1" t="s">
        <v>38</v>
      </c>
      <c r="G44" s="1">
        <f>SUM(G42:G43)</f>
        <v>3.8049668443635416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9" x14ac:dyDescent="0.25">
      <c r="C49" s="1" t="s">
        <v>81</v>
      </c>
      <c r="D49" s="1">
        <v>3</v>
      </c>
      <c r="E49" s="1"/>
      <c r="F49" s="1">
        <v>0.9</v>
      </c>
      <c r="G49" s="1">
        <f>D49*F49</f>
        <v>2.7</v>
      </c>
    </row>
    <row r="50" spans="3:9" x14ac:dyDescent="0.25">
      <c r="C50" s="1" t="s">
        <v>82</v>
      </c>
      <c r="D50" s="1">
        <v>0</v>
      </c>
      <c r="E50" s="1"/>
      <c r="F50" s="1">
        <v>0.1</v>
      </c>
      <c r="G50" s="1"/>
    </row>
    <row r="51" spans="3:9" x14ac:dyDescent="0.25">
      <c r="F51" s="7" t="s">
        <v>38</v>
      </c>
      <c r="G51" s="7">
        <f>SUM(G49:G50)</f>
        <v>2.7</v>
      </c>
    </row>
    <row r="54" spans="3:9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9" x14ac:dyDescent="0.25">
      <c r="C55" s="1" t="s">
        <v>84</v>
      </c>
      <c r="D55" s="1">
        <v>2</v>
      </c>
      <c r="E55" s="1">
        <v>1</v>
      </c>
      <c r="F55" s="1">
        <f>E55/(SUM(E5:E7)/1000)</f>
        <v>6.5011051878819406E-2</v>
      </c>
      <c r="G55" s="1">
        <f>2-4*F55</f>
        <v>1.7399557924847224</v>
      </c>
    </row>
    <row r="56" spans="3:9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9" x14ac:dyDescent="0.25">
      <c r="C57" s="1" t="s">
        <v>86</v>
      </c>
      <c r="D57" s="1">
        <v>0</v>
      </c>
      <c r="E57" s="1"/>
      <c r="F57" s="1"/>
      <c r="G57" s="1">
        <v>0</v>
      </c>
    </row>
    <row r="58" spans="3:9" x14ac:dyDescent="0.25">
      <c r="F58" s="7" t="s">
        <v>38</v>
      </c>
      <c r="G58" s="7">
        <f>SUM(G55:G57)</f>
        <v>1.7399557924847224</v>
      </c>
    </row>
    <row r="61" spans="3:9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9" x14ac:dyDescent="0.25">
      <c r="C62" s="1" t="s">
        <v>84</v>
      </c>
      <c r="D62" s="1">
        <v>3</v>
      </c>
      <c r="E62" s="1">
        <v>40</v>
      </c>
      <c r="F62" s="6">
        <f>E62/(E9/1000)</f>
        <v>1.3271400132714002</v>
      </c>
      <c r="G62" s="1">
        <f>3-(3*F62)</f>
        <v>-0.98142003981420078</v>
      </c>
      <c r="I62" t="s">
        <v>167</v>
      </c>
    </row>
    <row r="63" spans="3:9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9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>
        <v>4</v>
      </c>
      <c r="F69" s="6">
        <f>E69/(E9/1000)</f>
        <v>0.13271400132714001</v>
      </c>
      <c r="G69" s="1">
        <f>3-(6*F69)</f>
        <v>2.2037159920371598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2.2037159920371598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>
        <v>0.5</v>
      </c>
      <c r="G77" s="1">
        <f>F77*D77</f>
        <v>3.5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G77</f>
        <v>3.5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>
        <v>1</v>
      </c>
      <c r="F83" s="6">
        <f>E83/(SUM(E5:E7)/1000)</f>
        <v>6.5011051878819406E-2</v>
      </c>
      <c r="G83" s="1">
        <f>3-1.5*F83</f>
        <v>2.902483422181771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2.902483422181771</v>
      </c>
    </row>
    <row r="88" spans="3:7" x14ac:dyDescent="0.25">
      <c r="C88" t="s">
        <v>154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17</v>
      </c>
      <c r="F98" s="6">
        <f>E98/SUM(E97:E100)</f>
        <v>0.38636363636363635</v>
      </c>
      <c r="G98" s="1">
        <f>D98*F98</f>
        <v>3.0909090909090908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24</v>
      </c>
      <c r="F99" s="6">
        <f>E99/SUM(E97:E100)</f>
        <v>0.54545454545454541</v>
      </c>
      <c r="G99" s="1">
        <f>D99*F99</f>
        <v>2.7272727272727271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3</v>
      </c>
      <c r="F100" s="6">
        <f>E100/SUM(E97:E100)</f>
        <v>6.8181818181818177E-2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5.8181818181818183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4</v>
      </c>
      <c r="F105" s="6">
        <f>E105/SUM(E105:E108)</f>
        <v>8.8888888888888892E-2</v>
      </c>
      <c r="G105" s="1">
        <f>D105*F105</f>
        <v>0.26666666666666666</v>
      </c>
    </row>
    <row r="106" spans="3:8" ht="45" x14ac:dyDescent="0.25">
      <c r="C106" s="2" t="s">
        <v>109</v>
      </c>
      <c r="D106" s="1">
        <v>2</v>
      </c>
      <c r="E106" s="6">
        <v>14</v>
      </c>
      <c r="F106" s="6">
        <f>E106/SUM(E105:E108)</f>
        <v>0.31111111111111112</v>
      </c>
      <c r="G106" s="1">
        <f t="shared" ref="G106:G108" si="5">D106*F106</f>
        <v>0.62222222222222223</v>
      </c>
    </row>
    <row r="107" spans="3:8" ht="45" x14ac:dyDescent="0.25">
      <c r="C107" s="2" t="s">
        <v>110</v>
      </c>
      <c r="D107" s="1">
        <v>1</v>
      </c>
      <c r="E107" s="6">
        <v>25</v>
      </c>
      <c r="F107" s="6">
        <f>E107/SUM(E105:E108)</f>
        <v>0.55555555555555558</v>
      </c>
      <c r="G107" s="1">
        <f t="shared" si="5"/>
        <v>0.55555555555555558</v>
      </c>
    </row>
    <row r="108" spans="3:8" x14ac:dyDescent="0.25">
      <c r="C108" s="1" t="s">
        <v>111</v>
      </c>
      <c r="D108" s="1">
        <v>0</v>
      </c>
      <c r="E108" s="6">
        <v>2</v>
      </c>
      <c r="F108" s="6">
        <f>E108/SUM(E105:E108)</f>
        <v>4.4444444444444446E-2</v>
      </c>
      <c r="G108" s="1">
        <f t="shared" si="5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1.4444444444444444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M11" sqref="M11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0</v>
      </c>
      <c r="G5" t="s">
        <v>196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  <c r="G6" t="s">
        <v>196</v>
      </c>
    </row>
    <row r="7" spans="3:7" x14ac:dyDescent="0.25">
      <c r="E7" s="1" t="s">
        <v>38</v>
      </c>
      <c r="F7" s="1">
        <f>SUM(F5:F6)</f>
        <v>0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35</v>
      </c>
      <c r="F10" s="1">
        <f>E10/44</f>
        <v>0.79545454545454541</v>
      </c>
      <c r="G10" s="1">
        <f>D10*F10</f>
        <v>1.5909090909090908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3.5909090909090908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>
        <v>0</v>
      </c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4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J29"/>
  <sheetViews>
    <sheetView workbookViewId="0">
      <selection activeCell="I10" sqref="I10"/>
    </sheetView>
  </sheetViews>
  <sheetFormatPr defaultRowHeight="15" x14ac:dyDescent="0.25"/>
  <cols>
    <col min="3" max="3" width="58" customWidth="1"/>
  </cols>
  <sheetData>
    <row r="4" spans="3:10" x14ac:dyDescent="0.25">
      <c r="C4" s="1" t="s">
        <v>140</v>
      </c>
      <c r="D4" s="1" t="s">
        <v>51</v>
      </c>
      <c r="E4" s="1" t="s">
        <v>32</v>
      </c>
      <c r="F4" s="1" t="s">
        <v>31</v>
      </c>
    </row>
    <row r="5" spans="3:10" x14ac:dyDescent="0.25">
      <c r="C5" s="1" t="s">
        <v>112</v>
      </c>
      <c r="D5" s="1">
        <v>4</v>
      </c>
      <c r="E5" s="1">
        <v>0</v>
      </c>
      <c r="F5" s="1">
        <f>D5*H7</f>
        <v>2.5763175906913069</v>
      </c>
      <c r="H5">
        <f>'Stadens utformning'!R11</f>
        <v>14.61</v>
      </c>
      <c r="I5">
        <v>3.06</v>
      </c>
      <c r="J5">
        <v>2.14</v>
      </c>
    </row>
    <row r="6" spans="3:10" x14ac:dyDescent="0.25">
      <c r="C6" s="1" t="s">
        <v>113</v>
      </c>
      <c r="D6" s="1">
        <v>3</v>
      </c>
      <c r="E6" s="1">
        <v>0</v>
      </c>
      <c r="F6" s="1">
        <f>D6*H6</f>
        <v>1.0677618069815196</v>
      </c>
      <c r="H6">
        <f>(I5+J5)/H5</f>
        <v>0.35592060232717321</v>
      </c>
    </row>
    <row r="7" spans="3:10" x14ac:dyDescent="0.25">
      <c r="C7" s="1" t="s">
        <v>114</v>
      </c>
      <c r="D7" s="1">
        <v>0</v>
      </c>
      <c r="E7" s="1">
        <v>0</v>
      </c>
      <c r="F7" s="1">
        <v>0</v>
      </c>
      <c r="H7">
        <f>1-H6</f>
        <v>0.64407939767282674</v>
      </c>
    </row>
    <row r="8" spans="3:10" x14ac:dyDescent="0.25">
      <c r="E8" s="7" t="s">
        <v>38</v>
      </c>
      <c r="F8" s="7">
        <f>SUM(F5:F7)</f>
        <v>3.6440793976728267</v>
      </c>
    </row>
    <row r="11" spans="3:10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10" x14ac:dyDescent="0.25">
      <c r="C12" s="1" t="s">
        <v>115</v>
      </c>
      <c r="D12" s="1">
        <v>4</v>
      </c>
      <c r="E12" s="1">
        <v>0</v>
      </c>
      <c r="F12" s="1"/>
    </row>
    <row r="13" spans="3:10" x14ac:dyDescent="0.25">
      <c r="C13" s="1" t="s">
        <v>116</v>
      </c>
      <c r="D13" s="1">
        <v>3</v>
      </c>
      <c r="E13" s="1">
        <v>0</v>
      </c>
      <c r="F13" s="1">
        <v>3</v>
      </c>
    </row>
    <row r="14" spans="3:10" x14ac:dyDescent="0.25">
      <c r="C14" s="1" t="s">
        <v>117</v>
      </c>
      <c r="D14" s="1">
        <v>0</v>
      </c>
      <c r="E14" s="1">
        <v>0</v>
      </c>
      <c r="F14" s="1">
        <v>0</v>
      </c>
    </row>
    <row r="15" spans="3:10" x14ac:dyDescent="0.25">
      <c r="E15" s="7" t="s">
        <v>38</v>
      </c>
      <c r="F15" s="7">
        <f>SUM(F12:F14)</f>
        <v>3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>
        <v>3</v>
      </c>
    </row>
    <row r="20" spans="3:6" x14ac:dyDescent="0.25">
      <c r="C20" s="1" t="s">
        <v>120</v>
      </c>
      <c r="D20" s="1">
        <v>2</v>
      </c>
      <c r="E20" s="1">
        <v>0</v>
      </c>
      <c r="F20" s="1">
        <v>0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>
        <v>3</v>
      </c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2024-05-29T08:22:19Z</dcterms:modified>
</cp:coreProperties>
</file>