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153" documentId="13_ncr:1_{BA2BDF43-9909-4E6F-8A5B-7DA7F55EA75F}" xr6:coauthVersionLast="47" xr6:coauthVersionMax="47" xr10:uidLastSave="{643C44C7-A2BC-4AFB-A880-2225B0F96B7E}"/>
  <bookViews>
    <workbookView xWindow="-120" yWindow="-120" windowWidth="29040" windowHeight="15720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G79" i="4"/>
  <c r="G77" i="4"/>
  <c r="F77" i="4"/>
  <c r="E49" i="4" l="1"/>
  <c r="E50" i="4"/>
  <c r="E43" i="4"/>
  <c r="E4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6" i="4"/>
  <c r="Q5" i="4"/>
  <c r="O25" i="4"/>
  <c r="O6" i="4"/>
  <c r="O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J9" i="4"/>
  <c r="J7" i="4"/>
  <c r="L6" i="4"/>
  <c r="J6" i="4"/>
  <c r="L5" i="4"/>
  <c r="AF24" i="4"/>
  <c r="AF23" i="4"/>
  <c r="AF22" i="4"/>
  <c r="AF21" i="4"/>
  <c r="AA21" i="4"/>
  <c r="AF20" i="4"/>
  <c r="AA20" i="4"/>
  <c r="AF19" i="4"/>
  <c r="AA19" i="4"/>
  <c r="AF18" i="4"/>
  <c r="AA18" i="4"/>
  <c r="AF17" i="4"/>
  <c r="AA17" i="4"/>
  <c r="AF16" i="4"/>
  <c r="AA16" i="4"/>
  <c r="AF15" i="4"/>
  <c r="AA15" i="4"/>
  <c r="AF14" i="4"/>
  <c r="AA14" i="4"/>
  <c r="AF13" i="4"/>
  <c r="AA13" i="4"/>
  <c r="AF12" i="4"/>
  <c r="AA12" i="4"/>
  <c r="AF11" i="4"/>
  <c r="AA11" i="4"/>
  <c r="AF10" i="4"/>
  <c r="AA10" i="4"/>
  <c r="AF9" i="4"/>
  <c r="AA9" i="4"/>
  <c r="AF8" i="4"/>
  <c r="AA8" i="4"/>
  <c r="AF7" i="4"/>
  <c r="AA7" i="4"/>
  <c r="AF6" i="4"/>
  <c r="AA6" i="4"/>
  <c r="AF5" i="4"/>
  <c r="AA5" i="4"/>
  <c r="F39" i="1"/>
  <c r="F12" i="1"/>
  <c r="F68" i="1"/>
  <c r="F67" i="1"/>
  <c r="D67" i="1"/>
  <c r="E67" i="1" s="1"/>
  <c r="F66" i="1"/>
  <c r="E66" i="1"/>
  <c r="D66" i="1"/>
  <c r="F65" i="1"/>
  <c r="D65" i="1"/>
  <c r="E65" i="1" s="1"/>
  <c r="F64" i="1"/>
  <c r="D64" i="1"/>
  <c r="E64" i="1" s="1"/>
  <c r="F63" i="1"/>
  <c r="E63" i="1" s="1"/>
  <c r="D63" i="1"/>
  <c r="F62" i="1"/>
  <c r="D62" i="1"/>
  <c r="E62" i="1" s="1"/>
  <c r="F61" i="1"/>
  <c r="F60" i="1"/>
  <c r="F59" i="1"/>
  <c r="F58" i="1"/>
  <c r="F57" i="1"/>
  <c r="F56" i="1"/>
  <c r="F55" i="1"/>
  <c r="F54" i="1"/>
  <c r="F53" i="1"/>
  <c r="F52" i="1"/>
  <c r="F51" i="1"/>
  <c r="F50" i="1"/>
  <c r="E50" i="1"/>
  <c r="D50" i="1"/>
  <c r="F49" i="1"/>
  <c r="D49" i="1"/>
  <c r="E49" i="1" s="1"/>
  <c r="F48" i="1"/>
  <c r="D48" i="1"/>
  <c r="E48" i="1" s="1"/>
  <c r="F47" i="1"/>
  <c r="E47" i="1" s="1"/>
  <c r="D47" i="1"/>
  <c r="F46" i="1"/>
  <c r="D46" i="1"/>
  <c r="E46" i="1" s="1"/>
  <c r="F45" i="1"/>
  <c r="E45" i="1"/>
  <c r="D45" i="1"/>
  <c r="F44" i="1"/>
  <c r="E44" i="1" s="1"/>
  <c r="D44" i="1"/>
  <c r="F10" i="3" l="1"/>
  <c r="G10" i="3" s="1"/>
  <c r="F70" i="2"/>
  <c r="G69" i="2"/>
  <c r="F69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E19" i="2"/>
  <c r="E20" i="2" s="1"/>
  <c r="K46" i="2"/>
  <c r="K47" i="2"/>
  <c r="K41" i="2"/>
  <c r="K40" i="2"/>
  <c r="K42" i="2"/>
  <c r="K43" i="2"/>
  <c r="K44" i="2"/>
  <c r="K45" i="2"/>
  <c r="K33" i="2"/>
  <c r="K34" i="2"/>
  <c r="K35" i="2"/>
  <c r="K36" i="2"/>
  <c r="K37" i="2"/>
  <c r="K38" i="2"/>
  <c r="K39" i="2"/>
  <c r="K32" i="2"/>
  <c r="O20" i="2"/>
  <c r="O19" i="2"/>
  <c r="D21" i="1"/>
  <c r="E7" i="2"/>
  <c r="D5" i="1" s="1"/>
  <c r="E5" i="4"/>
  <c r="E39" i="1"/>
  <c r="E32" i="1"/>
  <c r="E25" i="1"/>
  <c r="E12" i="1"/>
  <c r="D18" i="1"/>
  <c r="D58" i="1" s="1"/>
  <c r="E58" i="1" s="1"/>
  <c r="E11" i="4"/>
  <c r="E8" i="4"/>
  <c r="E7" i="4"/>
  <c r="E6" i="4"/>
  <c r="D55" i="1" l="1"/>
  <c r="E55" i="1" s="1"/>
  <c r="D68" i="1"/>
  <c r="E68" i="1" s="1"/>
  <c r="F51" i="2"/>
  <c r="G51" i="2" s="1"/>
  <c r="F49" i="4"/>
  <c r="G49" i="4" s="1"/>
  <c r="F43" i="4"/>
  <c r="G43" i="4" s="1"/>
  <c r="F55" i="4"/>
  <c r="G55" i="4" s="1"/>
  <c r="E21" i="2"/>
  <c r="E22" i="2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70" i="2"/>
  <c r="F59" i="2"/>
  <c r="G59" i="2" s="1"/>
  <c r="F58" i="2"/>
  <c r="G58" i="2" s="1"/>
  <c r="K51" i="2"/>
  <c r="F42" i="4" l="1"/>
  <c r="G42" i="4" s="1"/>
  <c r="F62" i="4"/>
  <c r="G62" i="4" s="1"/>
  <c r="F69" i="4"/>
  <c r="G69" i="4" s="1"/>
  <c r="G73" i="4" s="1"/>
  <c r="D20" i="1" s="1"/>
  <c r="D56" i="1" s="1"/>
  <c r="E56" i="1" s="1"/>
  <c r="G71" i="2"/>
  <c r="D11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6" i="5"/>
  <c r="F8" i="5" s="1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51" i="1" s="1"/>
  <c r="E51" i="1" s="1"/>
  <c r="G66" i="2"/>
  <c r="D10" i="1" s="1"/>
  <c r="G60" i="2"/>
  <c r="D9" i="1" s="1"/>
  <c r="D8" i="1"/>
  <c r="F11" i="2"/>
  <c r="F12" i="2"/>
  <c r="F13" i="2"/>
  <c r="O15" i="2" l="1"/>
  <c r="J14" i="2"/>
  <c r="J15" i="2" s="1"/>
  <c r="L16" i="2"/>
  <c r="D39" i="1"/>
  <c r="D32" i="1"/>
  <c r="F32" i="1" s="1"/>
  <c r="G101" i="4"/>
  <c r="D23" i="1" s="1"/>
  <c r="D53" i="1" s="1"/>
  <c r="E53" i="1" s="1"/>
  <c r="D19" i="1"/>
  <c r="D57" i="1" s="1"/>
  <c r="E57" i="1" s="1"/>
  <c r="F10" i="2" l="1"/>
  <c r="D6" i="1" s="1"/>
  <c r="M14" i="1"/>
  <c r="M6" i="1"/>
  <c r="M15" i="1"/>
  <c r="M16" i="1"/>
  <c r="M7" i="1"/>
  <c r="M17" i="1"/>
  <c r="G109" i="4"/>
  <c r="D24" i="1" s="1"/>
  <c r="D52" i="1" s="1"/>
  <c r="E52" i="1" s="1"/>
  <c r="G44" i="4"/>
  <c r="D16" i="1" s="1"/>
  <c r="D60" i="1" s="1"/>
  <c r="E60" i="1" s="1"/>
  <c r="G87" i="4"/>
  <c r="D22" i="1" s="1"/>
  <c r="D54" i="1" s="1"/>
  <c r="E54" i="1" s="1"/>
  <c r="E23" i="2" l="1"/>
  <c r="G51" i="4"/>
  <c r="D17" i="1" s="1"/>
  <c r="D59" i="1" s="1"/>
  <c r="E59" i="1" s="1"/>
  <c r="G9" i="4"/>
  <c r="F19" i="2" l="1"/>
  <c r="G19" i="2" s="1"/>
  <c r="F20" i="2"/>
  <c r="G20" i="2" s="1"/>
  <c r="F21" i="2"/>
  <c r="G21" i="2" s="1"/>
  <c r="F22" i="2"/>
  <c r="G22" i="2" s="1"/>
  <c r="D15" i="1"/>
  <c r="D61" i="1" s="1"/>
  <c r="E61" i="1" s="1"/>
  <c r="G23" i="2" l="1"/>
  <c r="D7" i="1" s="1"/>
  <c r="D12" i="1" s="1"/>
  <c r="D25" i="1"/>
  <c r="F25" i="1" l="1"/>
  <c r="D40" i="1"/>
  <c r="M10" i="1"/>
  <c r="M11" i="1" s="1"/>
  <c r="M4" i="1"/>
  <c r="M5" i="1"/>
  <c r="M13" i="1"/>
  <c r="M12" i="1"/>
  <c r="N7" i="1" l="1"/>
  <c r="N4" i="1"/>
  <c r="N6" i="1"/>
  <c r="N5" i="1"/>
</calcChain>
</file>

<file path=xl/sharedStrings.xml><?xml version="1.0" encoding="utf-8"?>
<sst xmlns="http://schemas.openxmlformats.org/spreadsheetml/2006/main" count="467" uniqueCount="206">
  <si>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</si>
  <si>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</si>
  <si>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</si>
  <si>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</si>
  <si>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</si>
  <si>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</si>
  <si>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</si>
  <si>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</si>
  <si>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</si>
  <si>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</si>
  <si>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</si>
  <si>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</si>
  <si>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</si>
  <si>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</si>
  <si>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</si>
  <si>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</si>
  <si>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</si>
  <si>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</si>
  <si>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</si>
  <si>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</si>
  <si>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</si>
  <si>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</si>
  <si>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</si>
  <si>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</si>
  <si>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</si>
  <si>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</si>
  <si>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</si>
  <si>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</si>
  <si>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</si>
  <si>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</si>
  <si>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</si>
  <si>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</si>
  <si>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</si>
  <si>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</si>
  <si>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</si>
  <si>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</si>
  <si>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</si>
  <si>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</si>
  <si>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</si>
  <si>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</si>
  <si>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</si>
  <si>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</si>
  <si>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</si>
  <si>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</si>
  <si>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</si>
  <si>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</si>
  <si>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</si>
  <si>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</si>
  <si>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</si>
  <si>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</si>
  <si>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</si>
  <si>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</si>
  <si>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</si>
  <si>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</si>
  <si>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</si>
  <si>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</si>
  <si>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</si>
  <si>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</si>
  <si>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</si>
  <si>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</si>
  <si>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</si>
  <si>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</si>
  <si>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</si>
  <si>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</si>
  <si>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</si>
  <si>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</si>
  <si>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</si>
  <si>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</si>
  <si>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</si>
  <si>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</si>
  <si>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</si>
  <si>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</si>
  <si>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</si>
  <si>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</si>
  <si>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</si>
  <si>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</si>
  <si>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</si>
  <si>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</si>
  <si>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</si>
  <si>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</si>
  <si>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</si>
  <si>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</si>
  <si>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</si>
  <si>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</si>
  <si>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</si>
  <si>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</si>
  <si>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</si>
  <si>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</si>
  <si>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</si>
  <si>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</si>
  <si>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</si>
  <si>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</si>
  <si>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</si>
  <si>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</si>
  <si>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</si>
  <si>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</si>
  <si>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</si>
  <si>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</si>
  <si>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</si>
  <si>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</si>
  <si>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</si>
  <si>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</si>
  <si>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</si>
  <si>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</si>
  <si>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</si>
  <si>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</si>
  <si>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</si>
  <si>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</si>
  <si>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</si>
  <si>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</si>
  <si>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</si>
  <si>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</si>
  <si>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</si>
  <si>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</si>
  <si>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</si>
  <si>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</si>
  <si>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</si>
  <si>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</si>
  <si>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</si>
  <si>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</si>
  <si>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</si>
  <si>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</si>
  <si>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</si>
  <si>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</si>
  <si>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</si>
  <si>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</si>
  <si>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</si>
  <si>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</si>
  <si>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</si>
  <si>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</si>
  <si>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</si>
  <si>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</si>
  <si>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</si>
  <si>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</si>
  <si>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</si>
  <si>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</si>
  <si>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</si>
  <si>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</si>
  <si>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</si>
  <si>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</si>
  <si>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</si>
  <si>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</si>
  <si>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</si>
  <si>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</si>
  <si>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</si>
  <si>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</si>
  <si>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</si>
  <si>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</si>
  <si>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</si>
  <si>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</si>
  <si>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</si>
  <si>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</si>
  <si>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</si>
  <si>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</si>
  <si>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Namn: Jönköping Linje 4</t>
  </si>
  <si>
    <t>Vätterslund - Juneporten fa</t>
  </si>
  <si>
    <t>Vätterslund - Juneporten få</t>
  </si>
  <si>
    <t>Viktoriaplan - Juneporten få</t>
  </si>
  <si>
    <t>Viktoriaplan - Juneporten fa</t>
  </si>
  <si>
    <t>Viktoriaplan</t>
  </si>
  <si>
    <t>Vätterslund</t>
  </si>
  <si>
    <t>Start Vätterslund</t>
  </si>
  <si>
    <t>c</t>
  </si>
  <si>
    <t>Start Viktoriaplan</t>
  </si>
  <si>
    <t>Bra lösning?</t>
  </si>
  <si>
    <t>många parkerignar, speciellt vid Hallmansvägen samt Drottninggatan.</t>
  </si>
  <si>
    <t>10 minuters trafik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</si>
  <si>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</si>
  <si>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</si>
  <si>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</si>
  <si>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</si>
  <si>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</si>
  <si>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</si>
  <si>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</si>
  <si>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</si>
  <si>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</si>
  <si>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</si>
  <si>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</si>
  <si>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</si>
  <si>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</si>
  <si>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</si>
  <si>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</si>
  <si>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</si>
  <si>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</si>
  <si>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</si>
  <si>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</si>
  <si>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</si>
  <si>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</si>
  <si>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</si>
  <si>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</si>
  <si>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</si>
  <si>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</si>
  <si>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</si>
  <si>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</si>
  <si>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</si>
  <si>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Har jobbat med gångstråk</t>
  </si>
  <si>
    <t>inte parkering</t>
  </si>
  <si>
    <t xml:space="preserve"> Viss trafik behövs släppas in då det är en centrumgata. </t>
  </si>
  <si>
    <t>Har röd asfalt i korsningar för tydlighet</t>
  </si>
  <si>
    <t>Annan</t>
  </si>
  <si>
    <t>Gammal</t>
  </si>
  <si>
    <t>x</t>
  </si>
  <si>
    <t>Ej genomfört</t>
  </si>
  <si>
    <t>Fordonen har egen färg och form</t>
  </si>
  <si>
    <t>Skillnader finns på hållplatsskyltar och på linjekarta då varje linje har egen färg.</t>
  </si>
  <si>
    <t>Genomfört för vägar till och från hållplatser för gång och cykel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</si>
</sst>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0" fillId="0" borderId="3" xfId="0" applyBorder="1"/>
    <xf numFmtId="0" fontId="4" fillId="0" borderId="0" xfId="0" applyFont="1"/>
    <xf numFmtId="164" fontId="0" fillId="0" borderId="0" xfId="0" applyNumberFormat="1"/>
    <xf numFmtId="0" fontId="0" fillId="0" borderId="5" xfId="0" applyBorder="1"/>
    <xf numFmtId="165" fontId="0" fillId="0" borderId="1" xfId="0" applyNumberFormat="1" applyBorder="1"/>
    <xf numFmtId="166" fontId="0" fillId="0" borderId="1" xfId="0" applyNumberFormat="1" applyBorder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Jönköping Linje 4, 58,2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E4-49E2-A45C-60361C2E00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E4-49E2-A45C-60361C2E00C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E4-49E2-A45C-60361C2E00C8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E4-49E2-A45C-60361C2E00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E4-49E2-A45C-60361C2E00C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E4-49E2-A45C-60361C2E00C8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E4-49E2-A45C-60361C2E00C8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E4-49E2-A45C-60361C2E0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7.2586206896551726</c:v>
                </c:pt>
                <c:pt idx="1">
                  <c:v>12.741379310344827</c:v>
                </c:pt>
                <c:pt idx="2">
                  <c:v>21.886973322128298</c:v>
                </c:pt>
                <c:pt idx="3">
                  <c:v>24.113026677871702</c:v>
                </c:pt>
                <c:pt idx="4">
                  <c:v>16.03448275862069</c:v>
                </c:pt>
                <c:pt idx="5">
                  <c:v>3.9655172413793096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E4-49E2-A45C-60361C2E00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2BF5-4E8F-946E-B5665150C3B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2BF5-4E8F-946E-B5665150C3B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2BF5-4E8F-946E-B5665150C3B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2BF5-4E8F-946E-B5665150C3B9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2BF5-4E8F-946E-B5665150C3B9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2BF5-4E8F-946E-B5665150C3B9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2BF5-4E8F-946E-B5665150C3B9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2BF5-4E8F-946E-B5665150C3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2BF5-4E8F-946E-B5665150C3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2BF5-4E8F-946E-B5665150C3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2BF5-4E8F-946E-B5665150C3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2BF5-4E8F-946E-B5665150C3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2BF5-4E8F-946E-B5665150C3B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2BF5-4E8F-946E-B5665150C3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2BF5-4E8F-946E-B5665150C3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2BF5-4E8F-946E-B5665150C3B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2BF5-4E8F-946E-B5665150C3B9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2BF5-4E8F-946E-B5665150C3B9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2BF5-4E8F-946E-B5665150C3B9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2BF5-4E8F-946E-B5665150C3B9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2BF5-4E8F-946E-B5665150C3B9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2BF5-4E8F-946E-B5665150C3B9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2BF5-4E8F-946E-B5665150C3B9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2BF5-4E8F-946E-B5665150C3B9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2BF5-4E8F-946E-B5665150C3B9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 formatCode="0.0">
                  <c:v>3</c:v>
                </c:pt>
                <c:pt idx="4" formatCode="0.0">
                  <c:v>0</c:v>
                </c:pt>
                <c:pt idx="5" formatCode="0.0">
                  <c:v>9</c:v>
                </c:pt>
                <c:pt idx="6" formatCode="0.0">
                  <c:v>3.0344827586206895</c:v>
                </c:pt>
                <c:pt idx="7" formatCode="0.0">
                  <c:v>4</c:v>
                </c:pt>
                <c:pt idx="8" formatCode="0.0">
                  <c:v>1.0517241379310345</c:v>
                </c:pt>
                <c:pt idx="9" formatCode="0.0">
                  <c:v>4.9482758620689653</c:v>
                </c:pt>
                <c:pt idx="10" formatCode="0.0">
                  <c:v>2.3882544861337682</c:v>
                </c:pt>
                <c:pt idx="11" formatCode="0.0">
                  <c:v>5.6000000000000005</c:v>
                </c:pt>
                <c:pt idx="12" formatCode="0.0">
                  <c:v>0.91666666666666696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2.3026101141924959</c:v>
                </c:pt>
                <c:pt idx="16" formatCode="0.0">
                  <c:v>3.5269168026101143</c:v>
                </c:pt>
                <c:pt idx="17" formatCode="0.0">
                  <c:v>1.1525252525252525</c:v>
                </c:pt>
                <c:pt idx="18" formatCode="0.0">
                  <c:v>0.22413793103448276</c:v>
                </c:pt>
                <c:pt idx="19" formatCode="0.0">
                  <c:v>1</c:v>
                </c:pt>
                <c:pt idx="20" formatCode="0.0">
                  <c:v>3</c:v>
                </c:pt>
                <c:pt idx="21" formatCode="0.0">
                  <c:v>0</c:v>
                </c:pt>
                <c:pt idx="22" formatCode="0.0">
                  <c:v>3.0344827586206895</c:v>
                </c:pt>
                <c:pt idx="23" formatCode="0.0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BF5-4E8F-946E-B5665150C3B9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2BF5-4E8F-946E-B5665150C3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2BF5-4E8F-946E-B5665150C3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2BF5-4E8F-946E-B5665150C3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2BF5-4E8F-946E-B5665150C3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2BF5-4E8F-946E-B5665150C3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2BF5-4E8F-946E-B5665150C3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2BF5-4E8F-946E-B5665150C3B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2BF5-4E8F-946E-B5665150C3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2BF5-4E8F-946E-B5665150C3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2BF5-4E8F-946E-B5665150C3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2BF5-4E8F-946E-B5665150C3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2BF5-4E8F-946E-B5665150C3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2BF5-4E8F-946E-B5665150C3B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2BF5-4E8F-946E-B5665150C3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2BF5-4E8F-946E-B5665150C3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2BF5-4E8F-946E-B5665150C3B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2BF5-4E8F-946E-B5665150C3B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2BF5-4E8F-946E-B5665150C3B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2BF5-4E8F-946E-B5665150C3B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2BF5-4E8F-946E-B5665150C3B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2BF5-4E8F-946E-B5665150C3B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2BF5-4E8F-946E-B5665150C3B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2BF5-4E8F-946E-B5665150C3B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2BF5-4E8F-946E-B5665150C3B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2BF5-4E8F-946E-B5665150C3B9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0.9655172413793105</c:v>
                </c:pt>
                <c:pt idx="7">
                  <c:v>0</c:v>
                </c:pt>
                <c:pt idx="8">
                  <c:v>1.9482758620689655</c:v>
                </c:pt>
                <c:pt idx="9">
                  <c:v>5.0517241379310347</c:v>
                </c:pt>
                <c:pt idx="10">
                  <c:v>0.61174551386623177</c:v>
                </c:pt>
                <c:pt idx="11">
                  <c:v>1.3999999999999995</c:v>
                </c:pt>
                <c:pt idx="12">
                  <c:v>2.083333333333333</c:v>
                </c:pt>
                <c:pt idx="13">
                  <c:v>3</c:v>
                </c:pt>
                <c:pt idx="14">
                  <c:v>2</c:v>
                </c:pt>
                <c:pt idx="15">
                  <c:v>0.69738988580750405</c:v>
                </c:pt>
                <c:pt idx="16">
                  <c:v>0.47308319738988569</c:v>
                </c:pt>
                <c:pt idx="17">
                  <c:v>6.847474747474747</c:v>
                </c:pt>
                <c:pt idx="18">
                  <c:v>1.7758620689655173</c:v>
                </c:pt>
                <c:pt idx="19" formatCode="0.0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1.9655172413793105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2BF5-4E8F-946E-B5665150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76200</xdr:rowOff>
    </xdr:from>
    <xdr:to>
      <xdr:col>18</xdr:col>
      <xdr:colOff>547350</xdr:colOff>
      <xdr:row>17</xdr:row>
      <xdr:rowOff>1200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3D2791F-BE91-4509-B4B8-D61C5299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41</xdr:row>
      <xdr:rowOff>23811</xdr:rowOff>
    </xdr:from>
    <xdr:to>
      <xdr:col>7</xdr:col>
      <xdr:colOff>276224</xdr:colOff>
      <xdr:row>68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EB7564E-27DC-7011-556E-D2D7D293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17639</xdr:colOff>
      <xdr:row>37</xdr:row>
      <xdr:rowOff>169301</xdr:rowOff>
    </xdr:from>
    <xdr:to>
      <xdr:col>14</xdr:col>
      <xdr:colOff>229305</xdr:colOff>
      <xdr:row>49</xdr:row>
      <xdr:rowOff>154871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52A4879-9214-17A4-7A8A-0843F63C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972" y="8106801"/>
          <a:ext cx="3748264" cy="29312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workbookViewId="0">
      <selection activeCell="U14" sqref="U14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154</v>
      </c>
    </row>
    <row r="3" spans="2:14" x14ac:dyDescent="0.25">
      <c r="B3" s="34" t="s">
        <v>0</v>
      </c>
      <c r="C3" s="35"/>
      <c r="D3" s="35"/>
      <c r="E3" s="36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7.2586206896551726</v>
      </c>
      <c r="N4">
        <f>M4/SUM($M$4:$M$7)</f>
        <v>0.12694317845708389</v>
      </c>
    </row>
    <row r="5" spans="2:14" x14ac:dyDescent="0.25">
      <c r="B5" s="15"/>
      <c r="C5" t="s">
        <v>1</v>
      </c>
      <c r="D5" s="1">
        <f>'Stadens utformning'!E7</f>
        <v>1</v>
      </c>
      <c r="E5" s="1">
        <v>2</v>
      </c>
      <c r="L5" t="s">
        <v>13</v>
      </c>
      <c r="M5">
        <f>D25</f>
        <v>21.886973322128298</v>
      </c>
      <c r="N5">
        <f>M5/SUM($M$4:$M$7)</f>
        <v>0.38277271662315743</v>
      </c>
    </row>
    <row r="6" spans="2:14" x14ac:dyDescent="0.25">
      <c r="B6" s="15"/>
      <c r="C6" s="1" t="s">
        <v>2</v>
      </c>
      <c r="D6" s="11">
        <f>'Stadens utformning'!F14</f>
        <v>0</v>
      </c>
      <c r="E6" s="1">
        <v>3</v>
      </c>
      <c r="L6" t="s">
        <v>8</v>
      </c>
      <c r="M6">
        <f>D32</f>
        <v>16.03448275862069</v>
      </c>
      <c r="N6">
        <f>M6/SUM($M$4:$M$7)</f>
        <v>0.28042079801683617</v>
      </c>
    </row>
    <row r="7" spans="2:14" x14ac:dyDescent="0.25">
      <c r="B7" s="15"/>
      <c r="C7" s="1" t="s">
        <v>3</v>
      </c>
      <c r="D7" s="11">
        <f>'Stadens utformning'!G23</f>
        <v>3.0344827586206895</v>
      </c>
      <c r="E7" s="1">
        <v>5</v>
      </c>
      <c r="L7" t="s">
        <v>24</v>
      </c>
      <c r="M7">
        <f>D39</f>
        <v>12</v>
      </c>
      <c r="N7">
        <f>M7/SUM($M$4:$M$7)</f>
        <v>0.20986330690292251</v>
      </c>
    </row>
    <row r="8" spans="2:14" x14ac:dyDescent="0.25">
      <c r="B8" s="15"/>
      <c r="C8" s="1" t="s">
        <v>4</v>
      </c>
      <c r="D8" s="11">
        <f>'Stadens utformning'!G55</f>
        <v>0</v>
      </c>
      <c r="E8" s="1">
        <v>3</v>
      </c>
    </row>
    <row r="9" spans="2:14" x14ac:dyDescent="0.25">
      <c r="B9" s="15"/>
      <c r="C9" s="1" t="s">
        <v>5</v>
      </c>
      <c r="D9" s="11">
        <f>'Stadens utformning'!G60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utformning'!G66</f>
        <v>1</v>
      </c>
      <c r="E10" s="1">
        <v>2</v>
      </c>
      <c r="L10" t="s">
        <v>0</v>
      </c>
      <c r="M10" s="27">
        <f>D12</f>
        <v>7.2586206896551726</v>
      </c>
    </row>
    <row r="11" spans="2:14" x14ac:dyDescent="0.25">
      <c r="B11" s="15"/>
      <c r="C11" s="1" t="s">
        <v>7</v>
      </c>
      <c r="D11" s="11">
        <f>'Stadens utformning'!G71</f>
        <v>0.22413793103448276</v>
      </c>
      <c r="E11" s="1">
        <v>2</v>
      </c>
      <c r="L11" t="s">
        <v>147</v>
      </c>
      <c r="M11" s="27">
        <f>E12-M10</f>
        <v>12.741379310344827</v>
      </c>
    </row>
    <row r="12" spans="2:14" x14ac:dyDescent="0.25">
      <c r="B12" s="16"/>
      <c r="C12" s="1" t="s">
        <v>61</v>
      </c>
      <c r="D12" s="11">
        <f>SUM(D6:D11)</f>
        <v>7.2586206896551726</v>
      </c>
      <c r="E12" s="11">
        <f>SUM(E5:E11)</f>
        <v>20</v>
      </c>
      <c r="F12">
        <f>D12/E12</f>
        <v>0.36293103448275865</v>
      </c>
      <c r="L12" t="s">
        <v>13</v>
      </c>
      <c r="M12" s="27">
        <f>D25</f>
        <v>21.886973322128298</v>
      </c>
    </row>
    <row r="13" spans="2:14" x14ac:dyDescent="0.25">
      <c r="B13" s="34" t="s">
        <v>13</v>
      </c>
      <c r="C13" s="35"/>
      <c r="D13" s="35"/>
      <c r="E13" s="36"/>
      <c r="L13" t="s">
        <v>148</v>
      </c>
      <c r="M13" s="27">
        <f>E25-D25</f>
        <v>24.113026677871702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7">
        <f>D32</f>
        <v>16.03448275862069</v>
      </c>
    </row>
    <row r="15" spans="2:14" x14ac:dyDescent="0.25">
      <c r="B15" s="18"/>
      <c r="C15" s="1" t="s">
        <v>14</v>
      </c>
      <c r="D15" s="11">
        <f>'Kollektivtrafikens infrastruktu'!G9</f>
        <v>1.1525252525252525</v>
      </c>
      <c r="E15" s="1">
        <v>8</v>
      </c>
      <c r="L15" t="s">
        <v>149</v>
      </c>
      <c r="M15" s="27">
        <f>E32-D32</f>
        <v>3.9655172413793096</v>
      </c>
    </row>
    <row r="16" spans="2:14" x14ac:dyDescent="0.25">
      <c r="B16" s="18"/>
      <c r="C16" s="1" t="s">
        <v>15</v>
      </c>
      <c r="D16" s="11">
        <f>'Kollektivtrafikens infrastruktu'!G44</f>
        <v>3.5269168026101143</v>
      </c>
      <c r="E16" s="1">
        <v>4</v>
      </c>
      <c r="L16" t="s">
        <v>24</v>
      </c>
      <c r="M16" s="27">
        <f>D39</f>
        <v>12</v>
      </c>
    </row>
    <row r="17" spans="2:13" x14ac:dyDescent="0.25">
      <c r="B17" s="18"/>
      <c r="C17" s="1" t="s">
        <v>16</v>
      </c>
      <c r="D17" s="11">
        <f>'Kollektivtrafikens infrastruktu'!G51</f>
        <v>2.3026101141924959</v>
      </c>
      <c r="E17" s="1">
        <v>3</v>
      </c>
      <c r="L17" t="s">
        <v>150</v>
      </c>
      <c r="M17" s="27">
        <f>E39-D39</f>
        <v>2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0.91666666666666696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5.6000000000000005</v>
      </c>
      <c r="E21" s="1">
        <v>7</v>
      </c>
      <c r="J21" t="s">
        <v>195</v>
      </c>
    </row>
    <row r="22" spans="2:13" x14ac:dyDescent="0.25">
      <c r="B22" s="18"/>
      <c r="C22" s="1" t="s">
        <v>21</v>
      </c>
      <c r="D22" s="11">
        <f>'Kollektivtrafikens infrastruktu'!G87</f>
        <v>2.3882544861337682</v>
      </c>
      <c r="E22" s="1">
        <v>3</v>
      </c>
      <c r="J22" t="s">
        <v>196</v>
      </c>
    </row>
    <row r="23" spans="2:13" x14ac:dyDescent="0.25">
      <c r="B23" s="18"/>
      <c r="C23" s="1" t="s">
        <v>22</v>
      </c>
      <c r="D23" s="11">
        <f>'Kollektivtrafikens infrastruktu'!G101</f>
        <v>4.9482758620689653</v>
      </c>
      <c r="E23" s="1">
        <v>10</v>
      </c>
      <c r="J23" t="s">
        <v>197</v>
      </c>
    </row>
    <row r="24" spans="2:13" x14ac:dyDescent="0.25">
      <c r="B24" s="18"/>
      <c r="C24" s="1" t="s">
        <v>23</v>
      </c>
      <c r="D24" s="11">
        <f>'Kollektivtrafikens infrastruktu'!G109</f>
        <v>1.0517241379310345</v>
      </c>
      <c r="E24" s="1">
        <v>3</v>
      </c>
      <c r="J24" t="s">
        <v>198</v>
      </c>
    </row>
    <row r="25" spans="2:13" x14ac:dyDescent="0.25">
      <c r="B25" s="19"/>
      <c r="C25" s="1" t="s">
        <v>61</v>
      </c>
      <c r="D25" s="11">
        <f>SUM(D15:D24)</f>
        <v>21.886973322128298</v>
      </c>
      <c r="E25" s="11">
        <f>SUM(E15:E24)</f>
        <v>46</v>
      </c>
      <c r="F25">
        <f>D25/E25</f>
        <v>0.47580376787235429</v>
      </c>
    </row>
    <row r="26" spans="2:13" x14ac:dyDescent="0.25">
      <c r="B26" s="34" t="s">
        <v>8</v>
      </c>
      <c r="C26" s="35"/>
      <c r="D26" s="35"/>
      <c r="E26" s="36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4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3.0344827586206895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16.03448275862069</v>
      </c>
      <c r="E32" s="1">
        <f>SUM(E28:E31)</f>
        <v>20</v>
      </c>
      <c r="F32">
        <f>D32/E32</f>
        <v>0.80172413793103448</v>
      </c>
    </row>
    <row r="33" spans="2:6" x14ac:dyDescent="0.25">
      <c r="B33" s="34" t="s">
        <v>24</v>
      </c>
      <c r="C33" s="35"/>
      <c r="D33" s="35"/>
      <c r="E33" s="36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3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">
        <f>SUM(D35:D38)</f>
        <v>12</v>
      </c>
      <c r="E39" s="1">
        <f>SUM(E35:E38)</f>
        <v>14</v>
      </c>
      <c r="F39">
        <f>D39/E39</f>
        <v>0.8571428571428571</v>
      </c>
    </row>
    <row r="40" spans="2:6" x14ac:dyDescent="0.25">
      <c r="B40" s="4"/>
      <c r="C40" s="26" t="s">
        <v>38</v>
      </c>
      <c r="D40" s="13">
        <f>SUM(D5:D11)+SUM(D28:D31)+SUM(D15:D24)+SUM(D35:D38)</f>
        <v>58.180076770404163</v>
      </c>
      <c r="E40" s="13">
        <f>SUM(E12+E25+E32+E39)</f>
        <v>100</v>
      </c>
    </row>
    <row r="43" spans="2:6" x14ac:dyDescent="0.25">
      <c r="C43" s="29" t="s">
        <v>167</v>
      </c>
      <c r="D43" s="29" t="s">
        <v>168</v>
      </c>
      <c r="E43" t="s">
        <v>139</v>
      </c>
      <c r="F43" s="29" t="s">
        <v>169</v>
      </c>
    </row>
    <row r="44" spans="2:6" x14ac:dyDescent="0.25">
      <c r="C44" t="s">
        <v>170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s="28" t="s">
        <v>171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s="28" t="s">
        <v>172</v>
      </c>
      <c r="D46">
        <f>D36</f>
        <v>3</v>
      </c>
      <c r="E46">
        <f t="shared" si="0"/>
        <v>1</v>
      </c>
      <c r="F46">
        <f>E36</f>
        <v>4</v>
      </c>
    </row>
    <row r="47" spans="2:6" x14ac:dyDescent="0.25">
      <c r="C47" s="28" t="s">
        <v>173</v>
      </c>
      <c r="D47" s="30">
        <f>D35</f>
        <v>3</v>
      </c>
      <c r="E47">
        <f t="shared" si="0"/>
        <v>1</v>
      </c>
      <c r="F47">
        <f>E35</f>
        <v>4</v>
      </c>
    </row>
    <row r="48" spans="2:6" x14ac:dyDescent="0.25">
      <c r="C48" s="1" t="s">
        <v>174</v>
      </c>
      <c r="D48" s="30">
        <f>D31</f>
        <v>0</v>
      </c>
      <c r="E48">
        <f t="shared" si="0"/>
        <v>2</v>
      </c>
      <c r="F48" s="30">
        <f>E31</f>
        <v>2</v>
      </c>
    </row>
    <row r="49" spans="3:6" x14ac:dyDescent="0.25">
      <c r="C49" s="1" t="s">
        <v>175</v>
      </c>
      <c r="D49" s="30">
        <f>D30</f>
        <v>9</v>
      </c>
      <c r="E49">
        <f t="shared" si="0"/>
        <v>1</v>
      </c>
      <c r="F49" s="30">
        <f>E30</f>
        <v>10</v>
      </c>
    </row>
    <row r="50" spans="3:6" x14ac:dyDescent="0.25">
      <c r="C50" s="1" t="s">
        <v>176</v>
      </c>
      <c r="D50" s="30">
        <f>D29</f>
        <v>3.0344827586206895</v>
      </c>
      <c r="E50">
        <f t="shared" si="0"/>
        <v>0.9655172413793105</v>
      </c>
      <c r="F50" s="30">
        <f>E29</f>
        <v>4</v>
      </c>
    </row>
    <row r="51" spans="3:6" x14ac:dyDescent="0.25">
      <c r="C51" s="1" t="s">
        <v>177</v>
      </c>
      <c r="D51" s="30">
        <f>D28</f>
        <v>4</v>
      </c>
      <c r="E51">
        <f t="shared" si="0"/>
        <v>0</v>
      </c>
      <c r="F51" s="30">
        <f>E28</f>
        <v>4</v>
      </c>
    </row>
    <row r="52" spans="3:6" x14ac:dyDescent="0.25">
      <c r="C52" s="28" t="s">
        <v>178</v>
      </c>
      <c r="D52" s="30">
        <f>D24</f>
        <v>1.0517241379310345</v>
      </c>
      <c r="E52">
        <f t="shared" si="0"/>
        <v>1.9482758620689655</v>
      </c>
      <c r="F52" s="30">
        <f>E24</f>
        <v>3</v>
      </c>
    </row>
    <row r="53" spans="3:6" x14ac:dyDescent="0.25">
      <c r="C53" s="28" t="s">
        <v>179</v>
      </c>
      <c r="D53" s="30">
        <f>D23</f>
        <v>4.9482758620689653</v>
      </c>
      <c r="E53">
        <f t="shared" si="0"/>
        <v>5.0517241379310347</v>
      </c>
      <c r="F53" s="30">
        <f>E23</f>
        <v>10</v>
      </c>
    </row>
    <row r="54" spans="3:6" x14ac:dyDescent="0.25">
      <c r="C54" s="28" t="s">
        <v>180</v>
      </c>
      <c r="D54" s="30">
        <f>D22</f>
        <v>2.3882544861337682</v>
      </c>
      <c r="E54">
        <f t="shared" si="0"/>
        <v>0.61174551386623177</v>
      </c>
      <c r="F54" s="30">
        <f>E22</f>
        <v>3</v>
      </c>
    </row>
    <row r="55" spans="3:6" x14ac:dyDescent="0.25">
      <c r="C55" t="s">
        <v>181</v>
      </c>
      <c r="D55" s="30">
        <f>D21</f>
        <v>5.6000000000000005</v>
      </c>
      <c r="E55">
        <f t="shared" si="0"/>
        <v>1.3999999999999995</v>
      </c>
      <c r="F55" s="30">
        <f>E21</f>
        <v>7</v>
      </c>
    </row>
    <row r="56" spans="3:6" x14ac:dyDescent="0.25">
      <c r="C56" s="28" t="s">
        <v>182</v>
      </c>
      <c r="D56" s="30">
        <f>D20</f>
        <v>0.91666666666666696</v>
      </c>
      <c r="E56">
        <f t="shared" si="0"/>
        <v>2.083333333333333</v>
      </c>
      <c r="F56" s="30">
        <f>E20</f>
        <v>3</v>
      </c>
    </row>
    <row r="57" spans="3:6" x14ac:dyDescent="0.25">
      <c r="C57" s="28" t="s">
        <v>183</v>
      </c>
      <c r="D57" s="30">
        <f>D19</f>
        <v>0</v>
      </c>
      <c r="E57">
        <f t="shared" si="0"/>
        <v>3</v>
      </c>
      <c r="F57" s="30">
        <f>E19</f>
        <v>3</v>
      </c>
    </row>
    <row r="58" spans="3:6" x14ac:dyDescent="0.25">
      <c r="C58" s="28" t="s">
        <v>184</v>
      </c>
      <c r="D58" s="30">
        <f>D18</f>
        <v>0</v>
      </c>
      <c r="E58">
        <f t="shared" si="0"/>
        <v>2</v>
      </c>
      <c r="F58" s="30">
        <f>E18</f>
        <v>2</v>
      </c>
    </row>
    <row r="59" spans="3:6" x14ac:dyDescent="0.25">
      <c r="C59" s="28" t="s">
        <v>185</v>
      </c>
      <c r="D59" s="30">
        <f>D17</f>
        <v>2.3026101141924959</v>
      </c>
      <c r="E59">
        <f t="shared" si="0"/>
        <v>0.69738988580750405</v>
      </c>
      <c r="F59" s="30">
        <f>E17</f>
        <v>3</v>
      </c>
    </row>
    <row r="60" spans="3:6" x14ac:dyDescent="0.25">
      <c r="C60" s="28" t="s">
        <v>186</v>
      </c>
      <c r="D60" s="30">
        <f>D16</f>
        <v>3.5269168026101143</v>
      </c>
      <c r="E60">
        <f t="shared" si="0"/>
        <v>0.47308319738988569</v>
      </c>
      <c r="F60" s="30">
        <f>E16</f>
        <v>4</v>
      </c>
    </row>
    <row r="61" spans="3:6" x14ac:dyDescent="0.25">
      <c r="C61" s="28" t="s">
        <v>187</v>
      </c>
      <c r="D61" s="30">
        <f>D15</f>
        <v>1.1525252525252525</v>
      </c>
      <c r="E61">
        <f t="shared" si="0"/>
        <v>6.847474747474747</v>
      </c>
      <c r="F61" s="30">
        <f>E15</f>
        <v>8</v>
      </c>
    </row>
    <row r="62" spans="3:6" x14ac:dyDescent="0.25">
      <c r="C62" s="28" t="s">
        <v>188</v>
      </c>
      <c r="D62" s="30">
        <f>D11</f>
        <v>0.22413793103448276</v>
      </c>
      <c r="E62">
        <f t="shared" si="0"/>
        <v>1.7758620689655173</v>
      </c>
      <c r="F62" s="30">
        <f>E11</f>
        <v>2</v>
      </c>
    </row>
    <row r="63" spans="3:6" x14ac:dyDescent="0.25">
      <c r="C63" s="28" t="s">
        <v>189</v>
      </c>
      <c r="D63" s="30">
        <f>D10</f>
        <v>1</v>
      </c>
      <c r="E63" s="30">
        <f>F63-D63</f>
        <v>1</v>
      </c>
      <c r="F63" s="30">
        <f>E10</f>
        <v>2</v>
      </c>
    </row>
    <row r="64" spans="3:6" x14ac:dyDescent="0.25">
      <c r="C64" s="28" t="s">
        <v>190</v>
      </c>
      <c r="D64" s="30">
        <f>D9</f>
        <v>3</v>
      </c>
      <c r="E64">
        <f t="shared" si="0"/>
        <v>0</v>
      </c>
      <c r="F64" s="30">
        <f>E9</f>
        <v>3</v>
      </c>
    </row>
    <row r="65" spans="3:6" x14ac:dyDescent="0.25">
      <c r="C65" s="28" t="s">
        <v>191</v>
      </c>
      <c r="D65" s="30">
        <f>D8</f>
        <v>0</v>
      </c>
      <c r="E65">
        <f t="shared" si="0"/>
        <v>3</v>
      </c>
      <c r="F65" s="30">
        <f>E8</f>
        <v>3</v>
      </c>
    </row>
    <row r="66" spans="3:6" x14ac:dyDescent="0.25">
      <c r="C66" s="28" t="s">
        <v>192</v>
      </c>
      <c r="D66" s="30">
        <f>D7</f>
        <v>3.0344827586206895</v>
      </c>
      <c r="E66">
        <f t="shared" si="0"/>
        <v>1.9655172413793105</v>
      </c>
      <c r="F66" s="30">
        <f>E7</f>
        <v>5</v>
      </c>
    </row>
    <row r="67" spans="3:6" x14ac:dyDescent="0.25">
      <c r="C67" s="28" t="s">
        <v>193</v>
      </c>
      <c r="D67" s="30">
        <f>D6</f>
        <v>0</v>
      </c>
      <c r="E67">
        <f t="shared" si="0"/>
        <v>3</v>
      </c>
      <c r="F67" s="30">
        <f>E6</f>
        <v>3</v>
      </c>
    </row>
    <row r="68" spans="3:6" x14ac:dyDescent="0.25">
      <c r="C68" t="s">
        <v>194</v>
      </c>
      <c r="D68">
        <f>D5</f>
        <v>1</v>
      </c>
      <c r="E68">
        <f t="shared" si="0"/>
        <v>1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71"/>
  <sheetViews>
    <sheetView workbookViewId="0">
      <selection activeCell="I6" sqref="I6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0</v>
      </c>
      <c r="F5" t="s">
        <v>202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205</v>
      </c>
    </row>
    <row r="7" spans="3:18" x14ac:dyDescent="0.25">
      <c r="C7" s="9"/>
      <c r="D7" s="1" t="s">
        <v>38</v>
      </c>
      <c r="E7" s="1">
        <f>SUM(E5:E6)</f>
        <v>1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37" t="s">
        <v>37</v>
      </c>
      <c r="I9" s="38"/>
      <c r="J9" s="1" t="s">
        <v>144</v>
      </c>
      <c r="K9" s="1"/>
      <c r="L9" s="37" t="s">
        <v>37</v>
      </c>
      <c r="M9" s="39"/>
      <c r="N9" s="38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-2.8213937708340362</v>
      </c>
      <c r="H10" s="37" t="s">
        <v>156</v>
      </c>
      <c r="I10" s="38"/>
      <c r="J10" s="1">
        <v>2.41</v>
      </c>
      <c r="K10" s="1"/>
      <c r="L10" s="37" t="s">
        <v>157</v>
      </c>
      <c r="M10" s="39"/>
      <c r="N10" s="38"/>
      <c r="O10" s="1">
        <v>6.95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37" t="s">
        <v>155</v>
      </c>
      <c r="I11" s="38"/>
      <c r="J11" s="1">
        <v>3.2</v>
      </c>
      <c r="K11" s="1"/>
      <c r="L11" s="37" t="s">
        <v>158</v>
      </c>
      <c r="M11" s="39"/>
      <c r="N11" s="38"/>
      <c r="O11" s="1">
        <v>12.33</v>
      </c>
      <c r="Q11" t="s">
        <v>129</v>
      </c>
      <c r="R11">
        <f>J11+O11</f>
        <v>15.530000000000001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1.3278008298755186</v>
      </c>
      <c r="K12" s="1"/>
      <c r="L12" s="1"/>
      <c r="M12" s="1"/>
      <c r="N12" s="1" t="s">
        <v>128</v>
      </c>
      <c r="O12" s="1">
        <f>O11/O10</f>
        <v>1.7741007194244605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0.72199170124481427</v>
      </c>
      <c r="K13" s="1"/>
      <c r="L13" s="1"/>
      <c r="M13" s="1"/>
      <c r="N13" s="1"/>
      <c r="O13" s="1">
        <f>14-10*O12</f>
        <v>-3.7410071942446059</v>
      </c>
    </row>
    <row r="14" spans="3:18" x14ac:dyDescent="0.25">
      <c r="C14" s="1"/>
      <c r="D14" s="1"/>
      <c r="E14" s="1" t="s">
        <v>38</v>
      </c>
      <c r="F14" s="11">
        <v>0</v>
      </c>
      <c r="H14" s="1"/>
      <c r="I14" s="1" t="s">
        <v>130</v>
      </c>
      <c r="J14" s="1">
        <f>J11/R11</f>
        <v>0.20605280103026399</v>
      </c>
      <c r="K14" s="1"/>
      <c r="L14" s="1"/>
      <c r="M14" s="1"/>
      <c r="N14" s="1"/>
      <c r="O14" s="1">
        <f>O11/R11</f>
        <v>0.79394719896973598</v>
      </c>
    </row>
    <row r="15" spans="3:18" x14ac:dyDescent="0.25">
      <c r="H15" s="1"/>
      <c r="I15" s="1"/>
      <c r="J15" s="1">
        <f>J13*J14</f>
        <v>0.14876841236209951</v>
      </c>
      <c r="K15" s="1"/>
      <c r="L15" s="1"/>
      <c r="M15" s="1"/>
      <c r="N15" s="1"/>
      <c r="O15" s="1">
        <f>O13*O14</f>
        <v>-2.9701621831961358</v>
      </c>
    </row>
    <row r="16" spans="3:18" x14ac:dyDescent="0.25">
      <c r="L16">
        <f>(J13+O13)/2</f>
        <v>-1.5095077464998958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159</v>
      </c>
      <c r="J18" s="1">
        <v>0</v>
      </c>
      <c r="K18" s="1">
        <v>0</v>
      </c>
      <c r="M18" s="1" t="s">
        <v>160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COUNTIF(K19:K47,"&gt;600")+COUNTIF(O19:O47,"&gt;600")</f>
        <v>20</v>
      </c>
      <c r="F19" s="6">
        <f>E19/$E$23</f>
        <v>0.34482758620689657</v>
      </c>
      <c r="G19" s="6">
        <f>D19*F19</f>
        <v>1.7241379310344829</v>
      </c>
      <c r="I19" s="1"/>
      <c r="J19" s="1">
        <v>274</v>
      </c>
      <c r="K19" s="1">
        <f>J19-J18</f>
        <v>274</v>
      </c>
      <c r="M19" s="1"/>
      <c r="N19" s="1">
        <v>379</v>
      </c>
      <c r="O19" s="1">
        <f>N19-N18</f>
        <v>379</v>
      </c>
    </row>
    <row r="20" spans="3:15" x14ac:dyDescent="0.25">
      <c r="C20" s="1" t="s">
        <v>40</v>
      </c>
      <c r="D20" s="1">
        <v>4</v>
      </c>
      <c r="E20" s="1">
        <f>COUNTIF(K19:K47,"&gt;500")+COUNTIF(O19:O47,"&gt;500")-E19</f>
        <v>7</v>
      </c>
      <c r="F20" s="6">
        <f t="shared" ref="F20:F22" si="1">E20/$E$23</f>
        <v>0.1206896551724138</v>
      </c>
      <c r="G20" s="6">
        <f t="shared" ref="G20:G22" si="2">D20*F20</f>
        <v>0.48275862068965519</v>
      </c>
      <c r="I20" s="1"/>
      <c r="J20" s="1">
        <v>812</v>
      </c>
      <c r="K20" s="1">
        <f t="shared" ref="K20:K47" si="3">J20-J19</f>
        <v>538</v>
      </c>
      <c r="M20" s="1"/>
      <c r="N20" s="1">
        <v>900</v>
      </c>
      <c r="O20" s="1">
        <f t="shared" ref="O20:O47" si="4">N20-N19</f>
        <v>521</v>
      </c>
    </row>
    <row r="21" spans="3:15" x14ac:dyDescent="0.25">
      <c r="C21" s="1" t="s">
        <v>41</v>
      </c>
      <c r="D21" s="1">
        <v>3</v>
      </c>
      <c r="E21" s="1">
        <f>COUNTIF(K19:K47,"&gt;400")+COUNTIF(O19:O47,"&gt;400")-E20-E19</f>
        <v>16</v>
      </c>
      <c r="F21" s="6">
        <f t="shared" si="1"/>
        <v>0.27586206896551724</v>
      </c>
      <c r="G21" s="6">
        <f t="shared" si="2"/>
        <v>0.82758620689655171</v>
      </c>
      <c r="I21" s="1"/>
      <c r="J21" s="1">
        <v>1590</v>
      </c>
      <c r="K21" s="1">
        <f t="shared" si="3"/>
        <v>778</v>
      </c>
      <c r="M21" s="1"/>
      <c r="N21" s="1">
        <v>1570</v>
      </c>
      <c r="O21" s="1">
        <f t="shared" si="4"/>
        <v>670</v>
      </c>
    </row>
    <row r="22" spans="3:15" x14ac:dyDescent="0.25">
      <c r="C22" s="1" t="s">
        <v>42</v>
      </c>
      <c r="D22" s="1">
        <v>0</v>
      </c>
      <c r="E22" s="1">
        <f>COUNTIF(K19:K47,"&gt;0")+COUNTIF(O19:O47,"&gt;0")-E20-E19-E21</f>
        <v>15</v>
      </c>
      <c r="F22" s="6">
        <f t="shared" si="1"/>
        <v>0.25862068965517243</v>
      </c>
      <c r="G22" s="6">
        <f t="shared" si="2"/>
        <v>0</v>
      </c>
      <c r="I22" s="1"/>
      <c r="J22" s="1">
        <v>2250</v>
      </c>
      <c r="K22" s="1">
        <f t="shared" si="3"/>
        <v>660</v>
      </c>
      <c r="M22" s="1"/>
      <c r="N22" s="1">
        <v>2110</v>
      </c>
      <c r="O22" s="1">
        <f t="shared" si="4"/>
        <v>540</v>
      </c>
    </row>
    <row r="23" spans="3:15" x14ac:dyDescent="0.25">
      <c r="C23" s="1"/>
      <c r="D23" s="1" t="s">
        <v>45</v>
      </c>
      <c r="E23" s="1">
        <f>SUM(E19:E22)</f>
        <v>58</v>
      </c>
      <c r="F23" s="1"/>
      <c r="G23" s="6">
        <f>SUM(G19:G22)</f>
        <v>3.0344827586206895</v>
      </c>
      <c r="I23" s="1"/>
      <c r="J23" s="1">
        <v>2680</v>
      </c>
      <c r="K23" s="1">
        <f t="shared" si="3"/>
        <v>430</v>
      </c>
      <c r="M23" s="1"/>
      <c r="N23" s="1">
        <v>2520</v>
      </c>
      <c r="O23" s="1">
        <f t="shared" si="4"/>
        <v>410</v>
      </c>
    </row>
    <row r="24" spans="3:15" x14ac:dyDescent="0.25">
      <c r="I24" s="1"/>
      <c r="J24" s="1">
        <v>3430</v>
      </c>
      <c r="K24" s="1">
        <f t="shared" si="3"/>
        <v>750</v>
      </c>
      <c r="M24" s="1"/>
      <c r="N24" s="1">
        <v>2950</v>
      </c>
      <c r="O24" s="1">
        <f t="shared" si="4"/>
        <v>430</v>
      </c>
    </row>
    <row r="25" spans="3:15" x14ac:dyDescent="0.25">
      <c r="I25" s="1"/>
      <c r="J25" s="1">
        <v>3650</v>
      </c>
      <c r="K25" s="1">
        <f t="shared" si="3"/>
        <v>220</v>
      </c>
      <c r="M25" s="1"/>
      <c r="N25" s="1">
        <v>3200</v>
      </c>
      <c r="O25" s="1">
        <f t="shared" si="4"/>
        <v>250</v>
      </c>
    </row>
    <row r="26" spans="3:15" x14ac:dyDescent="0.25">
      <c r="I26" s="1"/>
      <c r="J26" s="1">
        <v>4070</v>
      </c>
      <c r="K26" s="1">
        <f t="shared" si="3"/>
        <v>420</v>
      </c>
      <c r="M26" s="1"/>
      <c r="N26" s="1">
        <v>3590</v>
      </c>
      <c r="O26" s="1">
        <f t="shared" si="4"/>
        <v>390</v>
      </c>
    </row>
    <row r="27" spans="3:15" x14ac:dyDescent="0.25">
      <c r="I27" s="1"/>
      <c r="J27" s="1">
        <v>4510</v>
      </c>
      <c r="K27" s="1">
        <f t="shared" si="3"/>
        <v>440</v>
      </c>
      <c r="M27" s="1"/>
      <c r="N27" s="1">
        <v>4020</v>
      </c>
      <c r="O27" s="1">
        <f t="shared" si="4"/>
        <v>430</v>
      </c>
    </row>
    <row r="28" spans="3:15" x14ac:dyDescent="0.25">
      <c r="I28" s="1"/>
      <c r="J28" s="1">
        <v>5060</v>
      </c>
      <c r="K28" s="1">
        <f t="shared" si="3"/>
        <v>550</v>
      </c>
      <c r="M28" s="1"/>
      <c r="N28" s="1">
        <v>4390</v>
      </c>
      <c r="O28" s="1">
        <f t="shared" si="4"/>
        <v>370</v>
      </c>
    </row>
    <row r="29" spans="3:15" x14ac:dyDescent="0.25">
      <c r="I29" s="1"/>
      <c r="J29" s="1">
        <v>6310</v>
      </c>
      <c r="K29" s="1">
        <f t="shared" si="3"/>
        <v>1250</v>
      </c>
      <c r="M29" s="1"/>
      <c r="N29" s="1">
        <v>5060</v>
      </c>
      <c r="O29" s="1">
        <f t="shared" si="4"/>
        <v>670</v>
      </c>
    </row>
    <row r="30" spans="3:15" x14ac:dyDescent="0.25">
      <c r="I30" s="1"/>
      <c r="J30" s="1">
        <v>7060</v>
      </c>
      <c r="K30" s="1">
        <f t="shared" si="3"/>
        <v>750</v>
      </c>
      <c r="M30" s="1"/>
      <c r="N30" s="1">
        <v>5750</v>
      </c>
      <c r="O30" s="1">
        <f t="shared" si="4"/>
        <v>690</v>
      </c>
    </row>
    <row r="31" spans="3:15" x14ac:dyDescent="0.25">
      <c r="I31" s="1"/>
      <c r="J31" s="1">
        <v>7790</v>
      </c>
      <c r="K31" s="1">
        <f t="shared" si="3"/>
        <v>730</v>
      </c>
      <c r="M31" s="1"/>
      <c r="N31" s="1">
        <v>6030</v>
      </c>
      <c r="O31" s="1">
        <f t="shared" si="4"/>
        <v>280</v>
      </c>
    </row>
    <row r="32" spans="3:15" x14ac:dyDescent="0.25">
      <c r="I32" s="1"/>
      <c r="J32" s="1">
        <v>8280</v>
      </c>
      <c r="K32" s="1">
        <f t="shared" si="3"/>
        <v>490</v>
      </c>
      <c r="M32" s="1"/>
      <c r="N32" s="1">
        <v>6520</v>
      </c>
      <c r="O32" s="1">
        <f t="shared" si="4"/>
        <v>490</v>
      </c>
    </row>
    <row r="33" spans="9:15" x14ac:dyDescent="0.25">
      <c r="I33" s="1"/>
      <c r="J33" s="1">
        <v>9240</v>
      </c>
      <c r="K33" s="1">
        <f t="shared" si="3"/>
        <v>960</v>
      </c>
      <c r="M33" s="1"/>
      <c r="N33" s="1">
        <v>7530</v>
      </c>
      <c r="O33" s="1">
        <f t="shared" si="4"/>
        <v>1010</v>
      </c>
    </row>
    <row r="34" spans="9:15" x14ac:dyDescent="0.25">
      <c r="I34" s="1"/>
      <c r="J34" s="1">
        <v>9730</v>
      </c>
      <c r="K34" s="1">
        <f t="shared" si="3"/>
        <v>490</v>
      </c>
      <c r="M34" s="1"/>
      <c r="N34" s="1">
        <v>8020</v>
      </c>
      <c r="O34" s="1">
        <f t="shared" si="4"/>
        <v>490</v>
      </c>
    </row>
    <row r="35" spans="9:15" x14ac:dyDescent="0.25">
      <c r="I35" s="1"/>
      <c r="J35" s="1">
        <v>10010</v>
      </c>
      <c r="K35" s="1">
        <f t="shared" si="3"/>
        <v>280</v>
      </c>
      <c r="M35" s="1"/>
      <c r="N35" s="1">
        <v>8790</v>
      </c>
      <c r="O35" s="1">
        <f t="shared" si="4"/>
        <v>770</v>
      </c>
    </row>
    <row r="36" spans="9:15" x14ac:dyDescent="0.25">
      <c r="I36" s="1"/>
      <c r="J36" s="1">
        <v>10660</v>
      </c>
      <c r="K36" s="1">
        <f t="shared" si="3"/>
        <v>650</v>
      </c>
      <c r="M36" s="1"/>
      <c r="N36" s="1">
        <v>9530</v>
      </c>
      <c r="O36" s="1">
        <f t="shared" si="4"/>
        <v>740</v>
      </c>
    </row>
    <row r="37" spans="9:15" x14ac:dyDescent="0.25">
      <c r="I37" s="1"/>
      <c r="J37" s="1">
        <v>11320</v>
      </c>
      <c r="K37" s="1">
        <f t="shared" si="3"/>
        <v>660</v>
      </c>
      <c r="M37" s="1"/>
      <c r="N37" s="1">
        <v>10710</v>
      </c>
      <c r="O37" s="1">
        <f t="shared" si="4"/>
        <v>1180</v>
      </c>
    </row>
    <row r="38" spans="9:15" x14ac:dyDescent="0.25">
      <c r="I38" s="1"/>
      <c r="J38" s="1">
        <v>11710</v>
      </c>
      <c r="K38" s="1">
        <f t="shared" si="3"/>
        <v>390</v>
      </c>
      <c r="M38" s="1"/>
      <c r="N38" s="1">
        <v>11210</v>
      </c>
      <c r="O38" s="1">
        <f t="shared" si="4"/>
        <v>500</v>
      </c>
    </row>
    <row r="39" spans="9:15" x14ac:dyDescent="0.25">
      <c r="I39" s="1"/>
      <c r="J39" s="1">
        <v>12080</v>
      </c>
      <c r="K39" s="1">
        <f t="shared" si="3"/>
        <v>370</v>
      </c>
      <c r="M39" s="1"/>
      <c r="N39" s="1">
        <v>11650</v>
      </c>
      <c r="O39" s="1">
        <f t="shared" si="4"/>
        <v>440</v>
      </c>
    </row>
    <row r="40" spans="9:15" x14ac:dyDescent="0.25">
      <c r="I40" s="1"/>
      <c r="J40" s="1">
        <v>12510</v>
      </c>
      <c r="K40" s="1">
        <f t="shared" si="3"/>
        <v>430</v>
      </c>
      <c r="M40" s="1"/>
      <c r="N40" s="1">
        <v>12060</v>
      </c>
      <c r="O40" s="1">
        <f t="shared" si="4"/>
        <v>410</v>
      </c>
    </row>
    <row r="41" spans="9:15" x14ac:dyDescent="0.25">
      <c r="I41" s="1"/>
      <c r="J41" s="1">
        <v>248</v>
      </c>
      <c r="K41" s="1">
        <f>J41</f>
        <v>248</v>
      </c>
      <c r="M41" s="1"/>
      <c r="N41" s="1">
        <v>12270</v>
      </c>
      <c r="O41" s="1">
        <f t="shared" si="4"/>
        <v>210</v>
      </c>
    </row>
    <row r="42" spans="9:15" x14ac:dyDescent="0.25">
      <c r="I42" s="1"/>
      <c r="J42" s="1">
        <v>815</v>
      </c>
      <c r="K42" s="1">
        <f t="shared" si="3"/>
        <v>567</v>
      </c>
      <c r="M42" s="1"/>
      <c r="N42" s="1">
        <v>13030</v>
      </c>
      <c r="O42" s="1">
        <f t="shared" si="4"/>
        <v>760</v>
      </c>
    </row>
    <row r="43" spans="9:15" x14ac:dyDescent="0.25">
      <c r="I43" s="1"/>
      <c r="J43" s="1">
        <v>1180</v>
      </c>
      <c r="K43" s="1">
        <f t="shared" si="3"/>
        <v>365</v>
      </c>
      <c r="M43" s="1"/>
      <c r="N43" s="1">
        <v>13460</v>
      </c>
      <c r="O43" s="1">
        <f t="shared" si="4"/>
        <v>430</v>
      </c>
    </row>
    <row r="44" spans="9:15" x14ac:dyDescent="0.25">
      <c r="I44" s="1"/>
      <c r="J44" s="1">
        <v>1670</v>
      </c>
      <c r="K44" s="1">
        <f t="shared" si="3"/>
        <v>490</v>
      </c>
      <c r="M44" s="1"/>
      <c r="N44" s="1">
        <v>14120</v>
      </c>
      <c r="O44" s="1">
        <f t="shared" si="4"/>
        <v>660</v>
      </c>
    </row>
    <row r="45" spans="9:15" x14ac:dyDescent="0.25">
      <c r="I45" s="1"/>
      <c r="J45" s="1">
        <v>2330</v>
      </c>
      <c r="K45" s="1">
        <f t="shared" si="3"/>
        <v>660</v>
      </c>
      <c r="M45" s="1"/>
      <c r="N45" s="1">
        <v>14900</v>
      </c>
      <c r="O45" s="1">
        <f t="shared" si="4"/>
        <v>780</v>
      </c>
    </row>
    <row r="46" spans="9:15" x14ac:dyDescent="0.25">
      <c r="I46" s="1"/>
      <c r="J46" s="1">
        <v>2880</v>
      </c>
      <c r="K46" s="1">
        <f t="shared" si="3"/>
        <v>550</v>
      </c>
      <c r="M46" s="1"/>
      <c r="N46" s="1">
        <v>15450</v>
      </c>
      <c r="O46" s="1">
        <f t="shared" si="4"/>
        <v>550</v>
      </c>
    </row>
    <row r="47" spans="9:15" x14ac:dyDescent="0.25">
      <c r="I47" s="1"/>
      <c r="J47" s="1">
        <v>3220</v>
      </c>
      <c r="K47" s="1">
        <f t="shared" si="3"/>
        <v>340</v>
      </c>
      <c r="M47" s="1"/>
      <c r="N47" s="1">
        <v>15700</v>
      </c>
      <c r="O47" s="1">
        <f t="shared" si="4"/>
        <v>250</v>
      </c>
    </row>
    <row r="50" spans="3:11" x14ac:dyDescent="0.25">
      <c r="C50" s="4" t="s">
        <v>4</v>
      </c>
      <c r="D50" s="1" t="s">
        <v>51</v>
      </c>
      <c r="E50" s="1" t="s">
        <v>44</v>
      </c>
      <c r="F50" s="1" t="s">
        <v>56</v>
      </c>
      <c r="G50" s="1" t="s">
        <v>31</v>
      </c>
      <c r="I50" t="s">
        <v>133</v>
      </c>
      <c r="J50" t="s">
        <v>131</v>
      </c>
      <c r="K50" t="s">
        <v>132</v>
      </c>
    </row>
    <row r="51" spans="3:11" x14ac:dyDescent="0.25">
      <c r="C51" s="1" t="s">
        <v>46</v>
      </c>
      <c r="D51" s="1">
        <v>3</v>
      </c>
      <c r="E51" s="1">
        <v>48</v>
      </c>
      <c r="F51" s="1">
        <f>E51/(SUM('Kollektivtrafikens infrastruktu'!E5:E8)/1000)</f>
        <v>1.5151515151515151</v>
      </c>
      <c r="G51" s="1">
        <f>-4*F51+4</f>
        <v>-2.0606060606060606</v>
      </c>
      <c r="I51">
        <v>38</v>
      </c>
      <c r="J51">
        <v>10</v>
      </c>
      <c r="K51">
        <f>((I51/2)^2+J51^2)/(2*J51)</f>
        <v>23.05</v>
      </c>
    </row>
    <row r="52" spans="3:11" x14ac:dyDescent="0.25">
      <c r="C52" s="1" t="s">
        <v>47</v>
      </c>
      <c r="D52" s="1">
        <v>2</v>
      </c>
      <c r="F52" s="1"/>
      <c r="G52" s="1"/>
    </row>
    <row r="53" spans="3:11" x14ac:dyDescent="0.25">
      <c r="C53" s="1" t="s">
        <v>48</v>
      </c>
      <c r="D53" s="1">
        <v>1</v>
      </c>
      <c r="E53" s="1"/>
      <c r="F53" s="1"/>
      <c r="G53" s="1"/>
    </row>
    <row r="54" spans="3:11" x14ac:dyDescent="0.25">
      <c r="C54" s="1" t="s">
        <v>49</v>
      </c>
      <c r="D54" s="1">
        <v>0</v>
      </c>
      <c r="E54" s="1"/>
      <c r="F54" s="1"/>
      <c r="G54" s="1"/>
    </row>
    <row r="55" spans="3:11" x14ac:dyDescent="0.25">
      <c r="F55" s="1" t="s">
        <v>52</v>
      </c>
      <c r="G55" s="1">
        <v>0</v>
      </c>
      <c r="J55" s="5"/>
    </row>
    <row r="57" spans="3:11" x14ac:dyDescent="0.25">
      <c r="C57" s="8" t="s">
        <v>5</v>
      </c>
      <c r="D57" s="1" t="s">
        <v>51</v>
      </c>
      <c r="E57" s="1" t="s">
        <v>44</v>
      </c>
      <c r="F57" s="1" t="s">
        <v>32</v>
      </c>
      <c r="G57" s="1" t="s">
        <v>31</v>
      </c>
    </row>
    <row r="58" spans="3:11" ht="30" x14ac:dyDescent="0.25">
      <c r="C58" s="2" t="s">
        <v>153</v>
      </c>
      <c r="D58" s="1">
        <v>3</v>
      </c>
      <c r="E58" s="1">
        <v>1</v>
      </c>
      <c r="F58" s="1">
        <f>E58/SUM(E58:E59)</f>
        <v>1</v>
      </c>
      <c r="G58" s="1">
        <f>D58*F58</f>
        <v>3</v>
      </c>
    </row>
    <row r="59" spans="3:11" ht="30" x14ac:dyDescent="0.25">
      <c r="C59" s="2" t="s">
        <v>50</v>
      </c>
      <c r="D59" s="1">
        <v>0</v>
      </c>
      <c r="E59" s="1">
        <v>0</v>
      </c>
      <c r="F59" s="1">
        <f>E59/SUM(E58:E59)</f>
        <v>0</v>
      </c>
      <c r="G59" s="1">
        <f>D59*F59</f>
        <v>0</v>
      </c>
    </row>
    <row r="60" spans="3:11" x14ac:dyDescent="0.25">
      <c r="F60" s="1" t="s">
        <v>45</v>
      </c>
      <c r="G60" s="1">
        <f>SUM(G58:G59)</f>
        <v>3</v>
      </c>
    </row>
    <row r="62" spans="3:11" x14ac:dyDescent="0.25">
      <c r="C62" s="8" t="s">
        <v>6</v>
      </c>
      <c r="D62" s="1" t="s">
        <v>51</v>
      </c>
      <c r="E62" s="1" t="s">
        <v>44</v>
      </c>
      <c r="F62" s="1" t="s">
        <v>57</v>
      </c>
      <c r="G62" s="1" t="s">
        <v>31</v>
      </c>
    </row>
    <row r="63" spans="3:11" x14ac:dyDescent="0.25">
      <c r="C63" s="1" t="s">
        <v>53</v>
      </c>
      <c r="D63" s="1">
        <v>2</v>
      </c>
      <c r="E63" s="1"/>
      <c r="F63" s="1"/>
      <c r="G63" s="1">
        <v>0</v>
      </c>
    </row>
    <row r="64" spans="3:11" x14ac:dyDescent="0.25">
      <c r="C64" s="1" t="s">
        <v>54</v>
      </c>
      <c r="D64" s="1">
        <v>1</v>
      </c>
      <c r="E64" s="1"/>
      <c r="F64" s="1"/>
      <c r="G64" s="1">
        <v>1</v>
      </c>
    </row>
    <row r="65" spans="3:7" x14ac:dyDescent="0.25">
      <c r="C65" s="1" t="s">
        <v>55</v>
      </c>
      <c r="D65" s="1">
        <v>0</v>
      </c>
      <c r="E65" s="1"/>
      <c r="F65" s="1"/>
      <c r="G65" s="1">
        <v>0</v>
      </c>
    </row>
    <row r="66" spans="3:7" x14ac:dyDescent="0.25">
      <c r="F66" s="1" t="s">
        <v>52</v>
      </c>
      <c r="G66" s="1">
        <f>SUM(G63:G65)</f>
        <v>1</v>
      </c>
    </row>
    <row r="68" spans="3:7" x14ac:dyDescent="0.25">
      <c r="C68" s="1" t="s">
        <v>58</v>
      </c>
      <c r="D68" s="1" t="s">
        <v>51</v>
      </c>
      <c r="E68" s="1" t="s">
        <v>44</v>
      </c>
      <c r="F68" s="1" t="s">
        <v>57</v>
      </c>
      <c r="G68" s="1" t="s">
        <v>31</v>
      </c>
    </row>
    <row r="69" spans="3:7" x14ac:dyDescent="0.25">
      <c r="C69" s="1" t="s">
        <v>59</v>
      </c>
      <c r="D69" s="1">
        <v>1</v>
      </c>
      <c r="E69">
        <v>2</v>
      </c>
      <c r="F69" s="1">
        <f>2/58</f>
        <v>3.4482758620689655E-2</v>
      </c>
      <c r="G69" s="1">
        <f>D69*F69</f>
        <v>3.4482758620689655E-2</v>
      </c>
    </row>
    <row r="70" spans="3:7" x14ac:dyDescent="0.25">
      <c r="C70" s="8" t="s">
        <v>60</v>
      </c>
      <c r="D70" s="1">
        <v>1</v>
      </c>
      <c r="E70" s="1">
        <v>11</v>
      </c>
      <c r="F70" s="1">
        <f>E70/58</f>
        <v>0.18965517241379309</v>
      </c>
      <c r="G70" s="1">
        <f>D70*F70</f>
        <v>0.18965517241379309</v>
      </c>
    </row>
    <row r="71" spans="3:7" x14ac:dyDescent="0.25">
      <c r="F71" s="7" t="s">
        <v>52</v>
      </c>
      <c r="G71" s="7">
        <f>SUM(G69:G70)</f>
        <v>0.22413793103448276</v>
      </c>
    </row>
  </sheetData>
  <mergeCells count="6">
    <mergeCell ref="H10:I10"/>
    <mergeCell ref="L10:N10"/>
    <mergeCell ref="L11:N11"/>
    <mergeCell ref="H11:I11"/>
    <mergeCell ref="H9:I9"/>
    <mergeCell ref="L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AF109"/>
  <sheetViews>
    <sheetView zoomScale="108" workbookViewId="0">
      <selection activeCell="D25" sqref="D25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0" max="10" width="14.140625" customWidth="1"/>
    <col min="12" max="12" width="10" customWidth="1"/>
    <col min="14" max="14" width="10.5703125" customWidth="1"/>
    <col min="15" max="15" width="12.85546875" customWidth="1"/>
  </cols>
  <sheetData>
    <row r="3" spans="3:32" x14ac:dyDescent="0.25">
      <c r="I3" t="s">
        <v>161</v>
      </c>
      <c r="N3" t="s">
        <v>163</v>
      </c>
    </row>
    <row r="4" spans="3:32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H4" s="31" t="s">
        <v>199</v>
      </c>
      <c r="I4" t="s">
        <v>151</v>
      </c>
      <c r="J4" t="s">
        <v>134</v>
      </c>
      <c r="K4" t="s">
        <v>135</v>
      </c>
      <c r="L4" t="s">
        <v>139</v>
      </c>
      <c r="M4" t="s">
        <v>199</v>
      </c>
      <c r="N4" t="s">
        <v>151</v>
      </c>
      <c r="O4" t="s">
        <v>134</v>
      </c>
      <c r="P4" t="s">
        <v>135</v>
      </c>
      <c r="Q4" t="s">
        <v>139</v>
      </c>
      <c r="W4" t="s">
        <v>200</v>
      </c>
    </row>
    <row r="5" spans="3:32" ht="45" x14ac:dyDescent="0.25">
      <c r="C5" s="2" t="s">
        <v>73</v>
      </c>
      <c r="D5" s="1">
        <v>8</v>
      </c>
      <c r="E5" s="1">
        <f>SUMIF(J5:J35,"*Fysisk*",L5:L35)+SUMIF(O5:O33,"*Fysisk*",Q5:Q33)</f>
        <v>4044</v>
      </c>
      <c r="F5" s="32">
        <f>E5/SUM(E5:E8)</f>
        <v>0.12765151515151515</v>
      </c>
      <c r="G5" s="1">
        <f>F5*D5</f>
        <v>1.0212121212121212</v>
      </c>
      <c r="J5" t="s">
        <v>76</v>
      </c>
      <c r="K5">
        <v>2440</v>
      </c>
      <c r="L5">
        <f>K5</f>
        <v>2440</v>
      </c>
      <c r="N5" t="s">
        <v>201</v>
      </c>
      <c r="O5" t="str">
        <f>J9</f>
        <v>Fysisk</v>
      </c>
      <c r="P5">
        <v>74</v>
      </c>
      <c r="Q5">
        <f>P5</f>
        <v>74</v>
      </c>
      <c r="Y5" t="s">
        <v>76</v>
      </c>
      <c r="Z5">
        <v>2450</v>
      </c>
      <c r="AA5">
        <f>Z5</f>
        <v>2450</v>
      </c>
      <c r="AD5" t="s">
        <v>76</v>
      </c>
      <c r="AE5">
        <v>5160</v>
      </c>
      <c r="AF5">
        <f>AE5</f>
        <v>5160</v>
      </c>
    </row>
    <row r="6" spans="3:32" ht="45" x14ac:dyDescent="0.25">
      <c r="C6" s="2" t="s">
        <v>74</v>
      </c>
      <c r="D6" s="1">
        <v>6</v>
      </c>
      <c r="E6" s="1">
        <f>SUMIF(J5:J35,"*Visuell*",L5:L35)+SUMIF(O5:O33,"*Visuell*",Q5:Q33)</f>
        <v>360</v>
      </c>
      <c r="F6" s="32">
        <f>E6/SUM(E5:E8)</f>
        <v>1.1363636363636364E-2</v>
      </c>
      <c r="G6" s="1">
        <f t="shared" ref="G6:G8" si="0">F6*D6</f>
        <v>6.8181818181818177E-2</v>
      </c>
      <c r="J6" s="9" t="str">
        <f>E16</f>
        <v>linje</v>
      </c>
      <c r="K6">
        <v>2550</v>
      </c>
      <c r="L6">
        <f>K6-K5</f>
        <v>110</v>
      </c>
      <c r="O6" t="str">
        <f>J8</f>
        <v>Blandtrafik</v>
      </c>
      <c r="P6">
        <v>5160</v>
      </c>
      <c r="Q6">
        <f>P6-P5</f>
        <v>5086</v>
      </c>
      <c r="Y6" s="9" t="s">
        <v>137</v>
      </c>
      <c r="Z6">
        <v>2580</v>
      </c>
      <c r="AA6">
        <f t="shared" ref="AA6:AA21" si="1">Z6-Z5</f>
        <v>130</v>
      </c>
      <c r="AD6" t="s">
        <v>138</v>
      </c>
      <c r="AE6">
        <v>5280</v>
      </c>
      <c r="AF6">
        <f t="shared" ref="AF6:AF24" si="2">AE6-AE5</f>
        <v>120</v>
      </c>
    </row>
    <row r="7" spans="3:32" x14ac:dyDescent="0.25">
      <c r="C7" s="2" t="s">
        <v>75</v>
      </c>
      <c r="D7" s="1">
        <v>4</v>
      </c>
      <c r="E7" s="1">
        <f>SUMIF(J5:J35,"*linje*",L5:L35)+SUMIF(O5:O33,"*linje*",Q5:Q33)</f>
        <v>500</v>
      </c>
      <c r="F7" s="32">
        <f>E7/SUM(E5:E8)</f>
        <v>1.5782828282828284E-2</v>
      </c>
      <c r="G7" s="1">
        <f t="shared" si="0"/>
        <v>6.3131313131313135E-2</v>
      </c>
      <c r="I7" t="s">
        <v>201</v>
      </c>
      <c r="J7" s="9" t="str">
        <f>E15</f>
        <v>Visuell</v>
      </c>
      <c r="K7">
        <v>2770</v>
      </c>
      <c r="L7">
        <f t="shared" ref="L7:L22" si="3">K7-K6</f>
        <v>220</v>
      </c>
      <c r="N7" t="s">
        <v>201</v>
      </c>
      <c r="O7" t="s">
        <v>138</v>
      </c>
      <c r="P7">
        <v>5290</v>
      </c>
      <c r="Q7">
        <f t="shared" ref="Q7:Q27" si="4">P7-P6</f>
        <v>130</v>
      </c>
      <c r="Y7" s="9" t="s">
        <v>136</v>
      </c>
      <c r="Z7">
        <v>2630</v>
      </c>
      <c r="AA7">
        <f t="shared" si="1"/>
        <v>50</v>
      </c>
      <c r="AD7" t="s">
        <v>76</v>
      </c>
      <c r="AE7">
        <v>6440</v>
      </c>
      <c r="AF7">
        <f t="shared" si="2"/>
        <v>1160</v>
      </c>
    </row>
    <row r="8" spans="3:32" x14ac:dyDescent="0.25">
      <c r="C8" s="1" t="s">
        <v>76</v>
      </c>
      <c r="D8" s="1">
        <v>0</v>
      </c>
      <c r="E8" s="1">
        <f>SUMIF(J5:J35,"*Blandtrafik*",L5:L35)+SUMIF(O5:O33,"*Blandtrafik*",Q5:Q33)</f>
        <v>26776</v>
      </c>
      <c r="F8" s="33">
        <f>E8/SUM(E5:E8)</f>
        <v>0.84520202020202018</v>
      </c>
      <c r="G8" s="1">
        <f t="shared" si="0"/>
        <v>0</v>
      </c>
      <c r="J8" t="s">
        <v>76</v>
      </c>
      <c r="K8">
        <v>3140</v>
      </c>
      <c r="L8">
        <f t="shared" si="3"/>
        <v>370</v>
      </c>
      <c r="O8" t="s">
        <v>76</v>
      </c>
      <c r="P8">
        <v>6450</v>
      </c>
      <c r="Q8">
        <f t="shared" si="4"/>
        <v>1160</v>
      </c>
      <c r="X8" t="s">
        <v>162</v>
      </c>
      <c r="Y8" t="s">
        <v>138</v>
      </c>
      <c r="Z8">
        <v>2770</v>
      </c>
      <c r="AA8">
        <f t="shared" si="1"/>
        <v>140</v>
      </c>
      <c r="AC8" t="s">
        <v>162</v>
      </c>
      <c r="AD8" t="s">
        <v>138</v>
      </c>
      <c r="AE8">
        <v>6560</v>
      </c>
      <c r="AF8">
        <f t="shared" si="2"/>
        <v>120</v>
      </c>
    </row>
    <row r="9" spans="3:32" x14ac:dyDescent="0.25">
      <c r="D9" s="1" t="s">
        <v>143</v>
      </c>
      <c r="E9" s="1">
        <f>SUM(E5:E8)</f>
        <v>31680</v>
      </c>
      <c r="F9" s="7" t="s">
        <v>38</v>
      </c>
      <c r="G9" s="10">
        <f>SUM(G5:G8)</f>
        <v>1.1525252525252525</v>
      </c>
      <c r="H9" t="s">
        <v>201</v>
      </c>
      <c r="I9" t="s">
        <v>201</v>
      </c>
      <c r="J9" t="str">
        <f>E17</f>
        <v>Fysisk</v>
      </c>
      <c r="K9">
        <v>3340</v>
      </c>
      <c r="L9">
        <f t="shared" si="3"/>
        <v>200</v>
      </c>
      <c r="N9" t="s">
        <v>201</v>
      </c>
      <c r="O9" t="s">
        <v>138</v>
      </c>
      <c r="P9">
        <v>6570</v>
      </c>
      <c r="Q9">
        <f t="shared" si="4"/>
        <v>120</v>
      </c>
      <c r="Y9" t="s">
        <v>76</v>
      </c>
      <c r="Z9">
        <v>3740</v>
      </c>
      <c r="AA9">
        <f t="shared" si="1"/>
        <v>970</v>
      </c>
      <c r="AD9" t="s">
        <v>76</v>
      </c>
      <c r="AE9">
        <v>8220</v>
      </c>
      <c r="AF9">
        <f t="shared" si="2"/>
        <v>1660</v>
      </c>
    </row>
    <row r="10" spans="3:32" x14ac:dyDescent="0.25">
      <c r="J10" t="s">
        <v>76</v>
      </c>
      <c r="K10">
        <v>3480</v>
      </c>
      <c r="L10">
        <f t="shared" si="3"/>
        <v>140</v>
      </c>
      <c r="O10" t="s">
        <v>76</v>
      </c>
      <c r="P10">
        <v>8240</v>
      </c>
      <c r="Q10">
        <f t="shared" si="4"/>
        <v>1670</v>
      </c>
      <c r="X10" t="s">
        <v>162</v>
      </c>
      <c r="Y10" t="s">
        <v>138</v>
      </c>
      <c r="Z10">
        <v>4700</v>
      </c>
      <c r="AA10">
        <f t="shared" si="1"/>
        <v>960</v>
      </c>
      <c r="AC10" t="s">
        <v>162</v>
      </c>
      <c r="AD10" t="s">
        <v>138</v>
      </c>
      <c r="AE10">
        <v>8280</v>
      </c>
      <c r="AF10">
        <f t="shared" si="2"/>
        <v>60</v>
      </c>
    </row>
    <row r="11" spans="3:32" x14ac:dyDescent="0.25">
      <c r="E11">
        <f>K35+P33</f>
        <v>0</v>
      </c>
      <c r="F11">
        <f>F5/SUM(F5:F7)</f>
        <v>0.82463295269168024</v>
      </c>
      <c r="H11" t="s">
        <v>201</v>
      </c>
      <c r="I11" t="s">
        <v>201</v>
      </c>
      <c r="J11" t="s">
        <v>138</v>
      </c>
      <c r="K11">
        <v>3720</v>
      </c>
      <c r="L11">
        <f t="shared" si="3"/>
        <v>240</v>
      </c>
      <c r="M11" t="s">
        <v>201</v>
      </c>
      <c r="N11" t="s">
        <v>201</v>
      </c>
      <c r="O11" t="s">
        <v>138</v>
      </c>
      <c r="P11">
        <v>8470</v>
      </c>
      <c r="Q11">
        <f t="shared" si="4"/>
        <v>230</v>
      </c>
      <c r="Y11" t="s">
        <v>76</v>
      </c>
      <c r="Z11">
        <v>6440</v>
      </c>
      <c r="AA11">
        <f t="shared" si="1"/>
        <v>1740</v>
      </c>
      <c r="AC11" t="s">
        <v>162</v>
      </c>
      <c r="AD11" t="s">
        <v>138</v>
      </c>
      <c r="AE11">
        <v>8520</v>
      </c>
      <c r="AF11">
        <f t="shared" si="2"/>
        <v>240</v>
      </c>
    </row>
    <row r="12" spans="3:32" x14ac:dyDescent="0.25">
      <c r="E12">
        <f>SUM(E5:E8)</f>
        <v>31680</v>
      </c>
      <c r="I12" t="s">
        <v>201</v>
      </c>
      <c r="J12" t="s">
        <v>138</v>
      </c>
      <c r="K12">
        <v>4680</v>
      </c>
      <c r="L12">
        <f t="shared" si="3"/>
        <v>960</v>
      </c>
      <c r="O12" t="s">
        <v>76</v>
      </c>
      <c r="P12">
        <v>9400</v>
      </c>
      <c r="Q12">
        <f t="shared" si="4"/>
        <v>930</v>
      </c>
      <c r="Y12" t="s">
        <v>137</v>
      </c>
      <c r="Z12">
        <v>6520</v>
      </c>
      <c r="AA12">
        <f t="shared" si="1"/>
        <v>80</v>
      </c>
      <c r="AD12" t="s">
        <v>76</v>
      </c>
      <c r="AE12">
        <v>9380</v>
      </c>
      <c r="AF12">
        <f t="shared" si="2"/>
        <v>860</v>
      </c>
    </row>
    <row r="13" spans="3:32" x14ac:dyDescent="0.25">
      <c r="J13" t="s">
        <v>76</v>
      </c>
      <c r="K13">
        <v>6420</v>
      </c>
      <c r="L13">
        <f t="shared" si="3"/>
        <v>1740</v>
      </c>
      <c r="O13" t="s">
        <v>138</v>
      </c>
      <c r="P13">
        <v>9480</v>
      </c>
      <c r="Q13">
        <f t="shared" si="4"/>
        <v>80</v>
      </c>
      <c r="Y13" t="s">
        <v>138</v>
      </c>
      <c r="Z13">
        <v>6570</v>
      </c>
      <c r="AA13">
        <f t="shared" si="1"/>
        <v>50</v>
      </c>
      <c r="AC13" t="s">
        <v>162</v>
      </c>
      <c r="AD13" t="s">
        <v>136</v>
      </c>
      <c r="AE13">
        <v>9410</v>
      </c>
      <c r="AF13">
        <f t="shared" si="2"/>
        <v>30</v>
      </c>
    </row>
    <row r="14" spans="3:32" x14ac:dyDescent="0.25">
      <c r="E14" t="s">
        <v>76</v>
      </c>
      <c r="I14" t="s">
        <v>201</v>
      </c>
      <c r="J14" t="s">
        <v>137</v>
      </c>
      <c r="K14">
        <v>6560</v>
      </c>
      <c r="L14">
        <f t="shared" si="3"/>
        <v>140</v>
      </c>
      <c r="O14" t="s">
        <v>76</v>
      </c>
      <c r="P14">
        <v>9920</v>
      </c>
      <c r="Q14">
        <f t="shared" si="4"/>
        <v>440</v>
      </c>
      <c r="Y14" t="s">
        <v>76</v>
      </c>
      <c r="Z14">
        <v>7510</v>
      </c>
      <c r="AA14">
        <f t="shared" si="1"/>
        <v>940</v>
      </c>
      <c r="AC14" t="s">
        <v>162</v>
      </c>
      <c r="AD14" t="s">
        <v>138</v>
      </c>
      <c r="AE14">
        <v>9460</v>
      </c>
      <c r="AF14">
        <f t="shared" si="2"/>
        <v>50</v>
      </c>
    </row>
    <row r="15" spans="3:32" x14ac:dyDescent="0.25">
      <c r="E15" s="9" t="s">
        <v>136</v>
      </c>
      <c r="J15" t="s">
        <v>76</v>
      </c>
      <c r="K15">
        <v>7570</v>
      </c>
      <c r="L15">
        <f t="shared" si="3"/>
        <v>1010</v>
      </c>
      <c r="O15" t="s">
        <v>137</v>
      </c>
      <c r="P15">
        <v>9970</v>
      </c>
      <c r="Q15">
        <f t="shared" si="4"/>
        <v>50</v>
      </c>
      <c r="X15" t="s">
        <v>162</v>
      </c>
      <c r="Y15" t="s">
        <v>138</v>
      </c>
      <c r="Z15">
        <v>7740</v>
      </c>
      <c r="AA15">
        <f t="shared" si="1"/>
        <v>230</v>
      </c>
      <c r="AD15" t="s">
        <v>76</v>
      </c>
      <c r="AE15">
        <v>9890</v>
      </c>
      <c r="AF15">
        <f t="shared" si="2"/>
        <v>430</v>
      </c>
    </row>
    <row r="16" spans="3:32" x14ac:dyDescent="0.25">
      <c r="E16" t="s">
        <v>137</v>
      </c>
      <c r="H16" t="s">
        <v>201</v>
      </c>
      <c r="I16" t="s">
        <v>201</v>
      </c>
      <c r="J16" t="s">
        <v>138</v>
      </c>
      <c r="K16">
        <v>7800</v>
      </c>
      <c r="L16">
        <f t="shared" si="3"/>
        <v>230</v>
      </c>
      <c r="O16" t="s">
        <v>76</v>
      </c>
      <c r="P16">
        <v>10070</v>
      </c>
      <c r="Q16">
        <f t="shared" si="4"/>
        <v>100</v>
      </c>
      <c r="X16" t="s">
        <v>162</v>
      </c>
      <c r="Y16" t="s">
        <v>138</v>
      </c>
      <c r="Z16">
        <v>7820</v>
      </c>
      <c r="AA16">
        <f t="shared" si="1"/>
        <v>80</v>
      </c>
      <c r="AD16" t="s">
        <v>137</v>
      </c>
      <c r="AE16">
        <v>9950</v>
      </c>
      <c r="AF16">
        <f t="shared" si="2"/>
        <v>60</v>
      </c>
    </row>
    <row r="17" spans="5:32" x14ac:dyDescent="0.25">
      <c r="E17" t="s">
        <v>138</v>
      </c>
      <c r="J17" t="s">
        <v>76</v>
      </c>
      <c r="K17">
        <v>9500</v>
      </c>
      <c r="L17">
        <f t="shared" si="3"/>
        <v>1700</v>
      </c>
      <c r="O17" t="s">
        <v>137</v>
      </c>
      <c r="P17">
        <v>10270</v>
      </c>
      <c r="Q17">
        <f t="shared" si="4"/>
        <v>200</v>
      </c>
      <c r="Y17" t="s">
        <v>76</v>
      </c>
      <c r="Z17">
        <v>9500</v>
      </c>
      <c r="AA17">
        <f t="shared" si="1"/>
        <v>1680</v>
      </c>
      <c r="AD17" t="s">
        <v>76</v>
      </c>
      <c r="AE17">
        <v>10060</v>
      </c>
      <c r="AF17">
        <f t="shared" si="2"/>
        <v>110</v>
      </c>
    </row>
    <row r="18" spans="5:32" x14ac:dyDescent="0.25">
      <c r="I18" t="s">
        <v>201</v>
      </c>
      <c r="J18" t="s">
        <v>138</v>
      </c>
      <c r="K18">
        <v>9580</v>
      </c>
      <c r="L18">
        <f t="shared" si="3"/>
        <v>80</v>
      </c>
      <c r="O18" t="s">
        <v>76</v>
      </c>
      <c r="P18">
        <v>11240</v>
      </c>
      <c r="Q18">
        <f t="shared" si="4"/>
        <v>970</v>
      </c>
      <c r="X18" t="s">
        <v>162</v>
      </c>
      <c r="Y18" t="s">
        <v>138</v>
      </c>
      <c r="Z18">
        <v>9580</v>
      </c>
      <c r="AA18">
        <f t="shared" si="1"/>
        <v>80</v>
      </c>
      <c r="AD18" t="s">
        <v>137</v>
      </c>
      <c r="AE18">
        <v>10250</v>
      </c>
      <c r="AF18">
        <f t="shared" si="2"/>
        <v>190</v>
      </c>
    </row>
    <row r="19" spans="5:32" x14ac:dyDescent="0.25">
      <c r="J19" t="s">
        <v>76</v>
      </c>
      <c r="K19">
        <v>10650</v>
      </c>
      <c r="L19">
        <f t="shared" si="3"/>
        <v>1070</v>
      </c>
      <c r="N19" t="s">
        <v>201</v>
      </c>
      <c r="O19" t="s">
        <v>138</v>
      </c>
      <c r="P19">
        <v>12220</v>
      </c>
      <c r="Q19">
        <f t="shared" si="4"/>
        <v>980</v>
      </c>
      <c r="Y19" t="s">
        <v>76</v>
      </c>
      <c r="Z19">
        <v>10650</v>
      </c>
      <c r="AA19">
        <f t="shared" si="1"/>
        <v>1070</v>
      </c>
      <c r="AD19" t="s">
        <v>76</v>
      </c>
      <c r="AE19">
        <v>11220</v>
      </c>
      <c r="AF19">
        <f t="shared" si="2"/>
        <v>970</v>
      </c>
    </row>
    <row r="20" spans="5:32" x14ac:dyDescent="0.25">
      <c r="I20" t="s">
        <v>201</v>
      </c>
      <c r="J20" t="s">
        <v>138</v>
      </c>
      <c r="K20">
        <v>10770</v>
      </c>
      <c r="L20">
        <f t="shared" si="3"/>
        <v>120</v>
      </c>
      <c r="M20" t="s">
        <v>201</v>
      </c>
      <c r="N20" t="s">
        <v>201</v>
      </c>
      <c r="O20" t="s">
        <v>138</v>
      </c>
      <c r="P20">
        <v>12460</v>
      </c>
      <c r="Q20">
        <f t="shared" si="4"/>
        <v>240</v>
      </c>
      <c r="X20" t="s">
        <v>162</v>
      </c>
      <c r="Y20" t="s">
        <v>138</v>
      </c>
      <c r="Z20">
        <v>10770</v>
      </c>
      <c r="AA20">
        <f t="shared" si="1"/>
        <v>120</v>
      </c>
      <c r="AC20" t="s">
        <v>162</v>
      </c>
      <c r="AD20" t="s">
        <v>138</v>
      </c>
      <c r="AE20">
        <v>12190</v>
      </c>
      <c r="AF20">
        <f t="shared" si="2"/>
        <v>970</v>
      </c>
    </row>
    <row r="21" spans="5:32" x14ac:dyDescent="0.25">
      <c r="J21" t="s">
        <v>76</v>
      </c>
      <c r="K21">
        <v>15700</v>
      </c>
      <c r="L21">
        <f t="shared" si="3"/>
        <v>4930</v>
      </c>
      <c r="O21" t="s">
        <v>76</v>
      </c>
      <c r="P21">
        <v>12600</v>
      </c>
      <c r="Q21">
        <f t="shared" si="4"/>
        <v>140</v>
      </c>
      <c r="Y21" t="s">
        <v>76</v>
      </c>
      <c r="Z21">
        <v>15700</v>
      </c>
      <c r="AA21">
        <f t="shared" si="1"/>
        <v>4930</v>
      </c>
      <c r="AD21" t="s">
        <v>76</v>
      </c>
      <c r="AE21">
        <v>13200</v>
      </c>
      <c r="AF21">
        <f t="shared" si="2"/>
        <v>1010</v>
      </c>
    </row>
    <row r="22" spans="5:32" x14ac:dyDescent="0.25">
      <c r="I22" t="s">
        <v>201</v>
      </c>
      <c r="J22" t="s">
        <v>138</v>
      </c>
      <c r="K22">
        <v>15740</v>
      </c>
      <c r="L22">
        <f t="shared" si="3"/>
        <v>40</v>
      </c>
      <c r="M22" t="s">
        <v>201</v>
      </c>
      <c r="N22" t="s">
        <v>201</v>
      </c>
      <c r="O22" t="s">
        <v>138</v>
      </c>
      <c r="P22">
        <v>12800</v>
      </c>
      <c r="Q22">
        <f t="shared" si="4"/>
        <v>200</v>
      </c>
      <c r="AD22" t="s">
        <v>138</v>
      </c>
      <c r="AE22">
        <v>13260</v>
      </c>
      <c r="AF22">
        <f t="shared" si="2"/>
        <v>60</v>
      </c>
    </row>
    <row r="23" spans="5:32" x14ac:dyDescent="0.25">
      <c r="O23" t="s">
        <v>76</v>
      </c>
      <c r="P23">
        <v>13220</v>
      </c>
      <c r="Q23">
        <f t="shared" si="4"/>
        <v>420</v>
      </c>
      <c r="AD23" t="s">
        <v>137</v>
      </c>
      <c r="AE23">
        <v>13460</v>
      </c>
      <c r="AF23">
        <f t="shared" si="2"/>
        <v>200</v>
      </c>
    </row>
    <row r="24" spans="5:32" x14ac:dyDescent="0.25">
      <c r="N24" t="s">
        <v>201</v>
      </c>
      <c r="O24" t="s">
        <v>138</v>
      </c>
      <c r="P24">
        <v>13280</v>
      </c>
      <c r="Q24">
        <f t="shared" si="4"/>
        <v>60</v>
      </c>
      <c r="AD24" t="s">
        <v>76</v>
      </c>
      <c r="AE24">
        <v>15920</v>
      </c>
      <c r="AF24">
        <f t="shared" si="2"/>
        <v>2460</v>
      </c>
    </row>
    <row r="25" spans="5:32" x14ac:dyDescent="0.25">
      <c r="O25" t="str">
        <f>J7</f>
        <v>Visuell</v>
      </c>
      <c r="P25">
        <v>13420</v>
      </c>
      <c r="Q25">
        <f t="shared" si="4"/>
        <v>140</v>
      </c>
    </row>
    <row r="26" spans="5:32" x14ac:dyDescent="0.25">
      <c r="N26" t="s">
        <v>201</v>
      </c>
      <c r="O26" t="s">
        <v>138</v>
      </c>
      <c r="P26">
        <v>13480</v>
      </c>
      <c r="Q26">
        <f t="shared" si="4"/>
        <v>60</v>
      </c>
    </row>
    <row r="27" spans="5:32" x14ac:dyDescent="0.25">
      <c r="O27" t="s">
        <v>76</v>
      </c>
      <c r="P27">
        <v>15940</v>
      </c>
      <c r="Q27">
        <f t="shared" si="4"/>
        <v>2460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f>SUM(L7,L9,L11:L12,L14,L16,L18,L20,L22,Q5,Q7,Q9,Q11,Q19:Q20,Q22,Q24,Q26)</f>
        <v>4324</v>
      </c>
      <c r="F42" s="6">
        <f>E42/(E42+E43)</f>
        <v>0.88172920065252858</v>
      </c>
      <c r="G42" s="1">
        <f>F42*D42</f>
        <v>3.5269168026101143</v>
      </c>
    </row>
    <row r="43" spans="3:20" ht="30" x14ac:dyDescent="0.25">
      <c r="C43" s="2" t="s">
        <v>78</v>
      </c>
      <c r="D43" s="1">
        <v>0</v>
      </c>
      <c r="E43" s="1">
        <f>SUM(E5:E7)-E42</f>
        <v>580</v>
      </c>
      <c r="F43" s="6">
        <f>E43/(E42+E43)</f>
        <v>0.11827079934747145</v>
      </c>
      <c r="G43" s="1">
        <f>F43*D43</f>
        <v>0</v>
      </c>
    </row>
    <row r="44" spans="3:20" x14ac:dyDescent="0.25">
      <c r="F44" s="1" t="s">
        <v>38</v>
      </c>
      <c r="G44" s="1">
        <f>SUM(G42:G43)</f>
        <v>3.5269168026101143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10" x14ac:dyDescent="0.25">
      <c r="C49" s="1" t="s">
        <v>81</v>
      </c>
      <c r="D49" s="1">
        <v>3</v>
      </c>
      <c r="E49" s="1">
        <f>SUM(E5:E7)-E50</f>
        <v>3764</v>
      </c>
      <c r="F49" s="1">
        <f>E49/SUM(E49:E50)</f>
        <v>0.76753670473083202</v>
      </c>
      <c r="G49" s="1">
        <f>D49*F49</f>
        <v>2.3026101141924959</v>
      </c>
    </row>
    <row r="50" spans="3:10" x14ac:dyDescent="0.25">
      <c r="C50" s="1" t="s">
        <v>82</v>
      </c>
      <c r="D50" s="1">
        <v>0</v>
      </c>
      <c r="E50" s="1">
        <f>SUM(L11,L16,Q11,Q20,Q22)</f>
        <v>1140</v>
      </c>
      <c r="F50" s="1">
        <v>0</v>
      </c>
      <c r="G50" s="1"/>
    </row>
    <row r="51" spans="3:10" x14ac:dyDescent="0.25">
      <c r="F51" s="7" t="s">
        <v>38</v>
      </c>
      <c r="G51" s="7">
        <f>SUM(G49:G50)</f>
        <v>2.3026101141924959</v>
      </c>
      <c r="J51" t="s">
        <v>164</v>
      </c>
    </row>
    <row r="54" spans="3:10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10" x14ac:dyDescent="0.25">
      <c r="C55" s="1" t="s">
        <v>84</v>
      </c>
      <c r="D55" s="1">
        <v>2</v>
      </c>
      <c r="E55" s="1">
        <v>5</v>
      </c>
      <c r="F55" s="1">
        <f>E55/(SUM(E5:E7)/1000)</f>
        <v>1.0195758564437194</v>
      </c>
      <c r="G55" s="1">
        <f>2-4*F55</f>
        <v>-2.0783034257748776</v>
      </c>
    </row>
    <row r="56" spans="3:10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10" x14ac:dyDescent="0.25">
      <c r="C57" s="1" t="s">
        <v>86</v>
      </c>
      <c r="D57" s="1">
        <v>0</v>
      </c>
      <c r="E57" s="1"/>
      <c r="F57" s="1"/>
      <c r="G57" s="1">
        <v>0</v>
      </c>
    </row>
    <row r="58" spans="3:10" x14ac:dyDescent="0.25">
      <c r="F58" s="7" t="s">
        <v>38</v>
      </c>
      <c r="G58" s="7">
        <v>0</v>
      </c>
    </row>
    <row r="61" spans="3:10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10" x14ac:dyDescent="0.25">
      <c r="C62" s="1" t="s">
        <v>84</v>
      </c>
      <c r="D62" s="1">
        <v>3</v>
      </c>
      <c r="E62" s="1">
        <v>50</v>
      </c>
      <c r="F62" s="6">
        <f>E62/(E9/1000)</f>
        <v>1.5782828282828283</v>
      </c>
      <c r="G62" s="1">
        <f>3-(3*F62)</f>
        <v>-1.7348484848484844</v>
      </c>
      <c r="I62" t="s">
        <v>165</v>
      </c>
    </row>
    <row r="63" spans="3:10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10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>
        <v>11</v>
      </c>
      <c r="F69" s="6">
        <f>E69/(E9/1000)</f>
        <v>0.34722222222222221</v>
      </c>
      <c r="G69" s="1">
        <f>3-(6*F69)</f>
        <v>0.91666666666666696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0.91666666666666696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>
        <f>4/5</f>
        <v>0.8</v>
      </c>
      <c r="G77" s="1">
        <f>F77*D77</f>
        <v>5.6000000000000005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5.6000000000000005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>
        <v>2</v>
      </c>
      <c r="F83" s="6">
        <f>E83/(SUM(E5:E7)/1000)</f>
        <v>0.40783034257748779</v>
      </c>
      <c r="G83" s="1">
        <f>3-1.5*F83</f>
        <v>2.3882544861337682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2.3882544861337682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14</v>
      </c>
      <c r="F98" s="6">
        <f>E98/SUM(E97:E100)</f>
        <v>0.2413793103448276</v>
      </c>
      <c r="G98" s="1">
        <f>D98*F98</f>
        <v>1.9310344827586208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35</v>
      </c>
      <c r="F99" s="6">
        <f>E99/SUM(E97:E100)</f>
        <v>0.60344827586206895</v>
      </c>
      <c r="G99" s="1">
        <f>D99*F99</f>
        <v>3.0172413793103448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9</v>
      </c>
      <c r="F100" s="6">
        <f>E100/SUM(E97:E100)</f>
        <v>0.15517241379310345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4.9482758620689653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2</v>
      </c>
      <c r="F105" s="6">
        <f>E105/SUM(E105:E108)</f>
        <v>3.4482758620689655E-2</v>
      </c>
      <c r="G105" s="1">
        <f>D105*F105</f>
        <v>0.10344827586206896</v>
      </c>
    </row>
    <row r="106" spans="3:8" ht="45" x14ac:dyDescent="0.25">
      <c r="C106" s="2" t="s">
        <v>109</v>
      </c>
      <c r="D106" s="1">
        <v>2</v>
      </c>
      <c r="E106" s="6">
        <v>6</v>
      </c>
      <c r="F106" s="6">
        <f>E106/SUM(E105:E108)</f>
        <v>0.10344827586206896</v>
      </c>
      <c r="G106" s="1">
        <f t="shared" ref="G106:G108" si="5">D106*F106</f>
        <v>0.20689655172413793</v>
      </c>
    </row>
    <row r="107" spans="3:8" ht="45" x14ac:dyDescent="0.25">
      <c r="C107" s="2" t="s">
        <v>110</v>
      </c>
      <c r="D107" s="1">
        <v>1</v>
      </c>
      <c r="E107" s="6">
        <v>43</v>
      </c>
      <c r="F107" s="6">
        <f>E107/SUM(E105:E108)</f>
        <v>0.74137931034482762</v>
      </c>
      <c r="G107" s="1">
        <f t="shared" si="5"/>
        <v>0.74137931034482762</v>
      </c>
    </row>
    <row r="108" spans="3:8" x14ac:dyDescent="0.25">
      <c r="C108" s="1" t="s">
        <v>111</v>
      </c>
      <c r="D108" s="1">
        <v>0</v>
      </c>
      <c r="E108" s="6">
        <v>7</v>
      </c>
      <c r="F108" s="6">
        <f>E108/SUM(E105:E108)</f>
        <v>0.1206896551724138</v>
      </c>
      <c r="G108" s="1">
        <f t="shared" si="5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1.0517241379310345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G6" sqref="G6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203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2</v>
      </c>
      <c r="G6" t="s">
        <v>204</v>
      </c>
    </row>
    <row r="7" spans="3:7" x14ac:dyDescent="0.25">
      <c r="E7" s="1" t="s">
        <v>38</v>
      </c>
      <c r="F7" s="1">
        <f>SUM(F5:F6)</f>
        <v>4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30</v>
      </c>
      <c r="F10" s="1">
        <f>E10/58</f>
        <v>0.51724137931034486</v>
      </c>
      <c r="G10" s="1">
        <f>D10*F10</f>
        <v>1.0344827586206897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3.0344827586206895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>
        <v>0</v>
      </c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M28" sqref="M28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140</v>
      </c>
      <c r="D4" s="1" t="s">
        <v>51</v>
      </c>
      <c r="E4" s="1" t="s">
        <v>32</v>
      </c>
      <c r="F4" s="1" t="s">
        <v>31</v>
      </c>
    </row>
    <row r="5" spans="3:8" x14ac:dyDescent="0.25">
      <c r="C5" s="1" t="s">
        <v>112</v>
      </c>
      <c r="D5" s="1">
        <v>4</v>
      </c>
      <c r="E5" s="1">
        <v>0</v>
      </c>
      <c r="F5" s="1"/>
    </row>
    <row r="6" spans="3:8" x14ac:dyDescent="0.25">
      <c r="C6" s="1" t="s">
        <v>113</v>
      </c>
      <c r="D6" s="1">
        <v>3</v>
      </c>
      <c r="E6" s="1">
        <v>1</v>
      </c>
      <c r="F6" s="1">
        <f>D6*E6</f>
        <v>3</v>
      </c>
      <c r="H6" t="s">
        <v>166</v>
      </c>
    </row>
    <row r="7" spans="3:8" x14ac:dyDescent="0.25">
      <c r="C7" s="1" t="s">
        <v>114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3</v>
      </c>
    </row>
    <row r="11" spans="3:8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8" x14ac:dyDescent="0.25">
      <c r="C12" s="1" t="s">
        <v>115</v>
      </c>
      <c r="D12" s="1">
        <v>4</v>
      </c>
      <c r="E12" s="1">
        <v>0</v>
      </c>
      <c r="F12" s="1"/>
    </row>
    <row r="13" spans="3:8" x14ac:dyDescent="0.25">
      <c r="C13" s="1" t="s">
        <v>116</v>
      </c>
      <c r="D13" s="1">
        <v>3</v>
      </c>
      <c r="E13" s="1">
        <v>0</v>
      </c>
      <c r="F13" s="1">
        <v>3</v>
      </c>
    </row>
    <row r="14" spans="3:8" x14ac:dyDescent="0.25">
      <c r="C14" s="1" t="s">
        <v>117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3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>
        <v>3</v>
      </c>
    </row>
    <row r="20" spans="3:6" x14ac:dyDescent="0.25">
      <c r="C20" s="1" t="s">
        <v>120</v>
      </c>
      <c r="D20" s="1">
        <v>2</v>
      </c>
      <c r="E20" s="1">
        <v>0</v>
      </c>
      <c r="F20" s="1">
        <v>0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>
        <v>3</v>
      </c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2024-05-29T08:28:03Z</dcterms:modified>
</cp:coreProperties>
</file>