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235" documentId="11_AD4D7A0C205A6B9A452FA844A794D2E6693EDF1F" xr6:coauthVersionLast="47" xr6:coauthVersionMax="47" xr10:uidLastSave="{509D0C33-A787-465B-BE5C-24A2484344BE}"/>
  <bookViews>
    <workbookView xWindow="-120" yWindow="-120" windowWidth="29040" windowHeight="15720" activeTab="3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4" l="1"/>
  <c r="F77" i="4"/>
  <c r="F12" i="1"/>
  <c r="F32" i="1"/>
  <c r="F39" i="1"/>
  <c r="F68" i="1"/>
  <c r="F67" i="1"/>
  <c r="D67" i="1"/>
  <c r="E67" i="1" s="1"/>
  <c r="F66" i="1"/>
  <c r="D66" i="1"/>
  <c r="E66" i="1" s="1"/>
  <c r="F65" i="1"/>
  <c r="E65" i="1" s="1"/>
  <c r="D65" i="1"/>
  <c r="F64" i="1"/>
  <c r="E64" i="1"/>
  <c r="D64" i="1"/>
  <c r="F63" i="1"/>
  <c r="E63" i="1"/>
  <c r="D63" i="1"/>
  <c r="F62" i="1"/>
  <c r="E62" i="1" s="1"/>
  <c r="D62" i="1"/>
  <c r="F61" i="1"/>
  <c r="E61" i="1" s="1"/>
  <c r="D61" i="1"/>
  <c r="F60" i="1"/>
  <c r="E60" i="1" s="1"/>
  <c r="D60" i="1"/>
  <c r="F59" i="1"/>
  <c r="D59" i="1"/>
  <c r="E59" i="1" s="1"/>
  <c r="F58" i="1"/>
  <c r="D58" i="1"/>
  <c r="E58" i="1" s="1"/>
  <c r="F57" i="1"/>
  <c r="E57" i="1" s="1"/>
  <c r="D57" i="1"/>
  <c r="F56" i="1"/>
  <c r="E56" i="1"/>
  <c r="D56" i="1"/>
  <c r="F55" i="1"/>
  <c r="F54" i="1"/>
  <c r="E54" i="1" s="1"/>
  <c r="D54" i="1"/>
  <c r="F53" i="1"/>
  <c r="E53" i="1" s="1"/>
  <c r="D53" i="1"/>
  <c r="F52" i="1"/>
  <c r="E52" i="1" s="1"/>
  <c r="D52" i="1"/>
  <c r="F51" i="1"/>
  <c r="D51" i="1"/>
  <c r="E51" i="1" s="1"/>
  <c r="F50" i="1"/>
  <c r="D50" i="1"/>
  <c r="E50" i="1" s="1"/>
  <c r="F49" i="1"/>
  <c r="E49" i="1" s="1"/>
  <c r="D49" i="1"/>
  <c r="F48" i="1"/>
  <c r="E48" i="1"/>
  <c r="D48" i="1"/>
  <c r="F47" i="1"/>
  <c r="E47" i="1"/>
  <c r="D47" i="1"/>
  <c r="F46" i="1"/>
  <c r="E46" i="1" s="1"/>
  <c r="D46" i="1"/>
  <c r="F45" i="1"/>
  <c r="E45" i="1" s="1"/>
  <c r="D45" i="1"/>
  <c r="F44" i="1"/>
  <c r="E44" i="1" s="1"/>
  <c r="D44" i="1"/>
  <c r="F10" i="3"/>
  <c r="E50" i="4"/>
  <c r="E8" i="4" l="1"/>
  <c r="E7" i="4"/>
  <c r="E6" i="4"/>
  <c r="E5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6" i="4"/>
  <c r="R5" i="4"/>
  <c r="L7" i="4"/>
  <c r="L8" i="4"/>
  <c r="L9" i="4"/>
  <c r="L10" i="4"/>
  <c r="L11" i="4"/>
  <c r="L12" i="4"/>
  <c r="L13" i="4"/>
  <c r="L14" i="4"/>
  <c r="L15" i="4"/>
  <c r="L16" i="4"/>
  <c r="L17" i="4"/>
  <c r="L18" i="4"/>
  <c r="L6" i="4"/>
  <c r="L5" i="4"/>
  <c r="E49" i="4" l="1"/>
  <c r="F49" i="4" s="1"/>
  <c r="G49" i="4" s="1"/>
  <c r="F59" i="2"/>
  <c r="F60" i="2"/>
  <c r="F41" i="2"/>
  <c r="O35" i="2" l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K32" i="2"/>
  <c r="K33" i="2"/>
  <c r="K34" i="2"/>
  <c r="K35" i="2"/>
  <c r="O21" i="2"/>
  <c r="O20" i="2"/>
  <c r="O19" i="2"/>
  <c r="D21" i="1"/>
  <c r="D55" i="1" s="1"/>
  <c r="E55" i="1" s="1"/>
  <c r="E7" i="2"/>
  <c r="D5" i="1" s="1"/>
  <c r="D68" i="1" s="1"/>
  <c r="E68" i="1" s="1"/>
  <c r="G41" i="2"/>
  <c r="E39" i="1"/>
  <c r="E32" i="1"/>
  <c r="E25" i="1"/>
  <c r="E12" i="1"/>
  <c r="D18" i="1"/>
  <c r="G10" i="3"/>
  <c r="F43" i="4"/>
  <c r="G43" i="4" s="1"/>
  <c r="E11" i="4"/>
  <c r="F55" i="4" l="1"/>
  <c r="G55" i="4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42" i="4"/>
  <c r="G42" i="4" s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60" i="2"/>
  <c r="G59" i="2"/>
  <c r="F49" i="2"/>
  <c r="G49" i="2" s="1"/>
  <c r="F48" i="2"/>
  <c r="G48" i="2" s="1"/>
  <c r="K41" i="2"/>
  <c r="F62" i="4" l="1"/>
  <c r="G62" i="4" s="1"/>
  <c r="F69" i="4"/>
  <c r="G69" i="4" s="1"/>
  <c r="G73" i="4" s="1"/>
  <c r="D20" i="1" s="1"/>
  <c r="G61" i="2"/>
  <c r="D11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6" i="5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G56" i="2"/>
  <c r="D10" i="1" s="1"/>
  <c r="G50" i="2"/>
  <c r="D9" i="1" s="1"/>
  <c r="D8" i="1"/>
  <c r="F11" i="2"/>
  <c r="F12" i="2"/>
  <c r="F13" i="2"/>
  <c r="E19" i="2" l="1"/>
  <c r="E20" i="2" s="1"/>
  <c r="E21" i="2" s="1"/>
  <c r="E22" i="2" s="1"/>
  <c r="O15" i="2"/>
  <c r="J14" i="2"/>
  <c r="J15" i="2" s="1"/>
  <c r="L16" i="2"/>
  <c r="D39" i="1"/>
  <c r="D32" i="1"/>
  <c r="G101" i="4"/>
  <c r="D23" i="1" s="1"/>
  <c r="D19" i="1"/>
  <c r="F10" i="2" l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D17" i="1" s="1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F25" i="1" s="1"/>
  <c r="D12" i="1" l="1"/>
  <c r="M10" i="1" s="1"/>
  <c r="M11" i="1" s="1"/>
  <c r="M5" i="1"/>
  <c r="M13" i="1"/>
  <c r="M12" i="1"/>
  <c r="M4" i="1" l="1"/>
  <c r="N6" i="1" s="1"/>
  <c r="N7" i="1" l="1"/>
  <c r="N4" i="1"/>
  <c r="N5" i="1"/>
</calcChain>
</file>

<file path=xl/sharedStrings.xml><?xml version="1.0" encoding="utf-8"?>
<sst xmlns="http://schemas.openxmlformats.org/spreadsheetml/2006/main" count="406" uniqueCount="199">
  <si>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</si>
  <si>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</si>
  <si>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</si>
  <si>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</si>
  <si>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</si>
  <si>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</si>
  <si>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</si>
  <si>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</si>
  <si>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</si>
  <si>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</si>
  <si>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</si>
  <si>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</si>
  <si>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</si>
  <si>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</si>
  <si>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</si>
  <si>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</si>
  <si>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</si>
  <si>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</si>
  <si>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</si>
  <si>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</si>
  <si>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</si>
  <si>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</si>
  <si>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</si>
  <si>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</si>
  <si>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</si>
  <si>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</si>
  <si>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</si>
  <si>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</si>
  <si>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</si>
  <si>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</si>
  <si>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</si>
  <si>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</si>
  <si>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</si>
  <si>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</si>
  <si>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</si>
  <si>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</si>
  <si>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</si>
  <si>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</si>
  <si>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</si>
  <si>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</si>
  <si>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</si>
  <si>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</si>
  <si>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</si>
  <si>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</si>
  <si>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</si>
  <si>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</si>
  <si>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</si>
  <si>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</si>
  <si>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</si>
  <si>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</si>
  <si>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</si>
  <si>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</si>
  <si>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</si>
  <si>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</si>
  <si>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</si>
  <si>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</si>
  <si>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</si>
  <si>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</si>
  <si>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</si>
  <si>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</si>
  <si>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</si>
  <si>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</si>
  <si>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</si>
  <si>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</si>
  <si>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</si>
  <si>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</si>
  <si>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</si>
  <si>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</si>
  <si>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</si>
  <si>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</si>
  <si>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</si>
  <si>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</si>
  <si>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</si>
  <si>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</si>
  <si>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</si>
  <si>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</si>
  <si>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</si>
  <si>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</si>
  <si>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</si>
  <si>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</si>
  <si>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</si>
  <si>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</si>
  <si>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</si>
  <si>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</si>
  <si>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</si>
  <si>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</si>
  <si>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</si>
  <si>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</si>
  <si>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</si>
  <si>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</si>
  <si>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</si>
  <si>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</si>
  <si>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</si>
  <si>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</si>
  <si>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</si>
  <si>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</si>
  <si>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</si>
  <si>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</si>
  <si>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</si>
  <si>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</si>
  <si>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</si>
  <si>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</si>
  <si>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</si>
  <si>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</si>
  <si>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</si>
  <si>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</si>
  <si>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</si>
  <si>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</si>
  <si>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</si>
  <si>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</si>
  <si>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</si>
  <si>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</si>
  <si>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</si>
  <si>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</si>
  <si>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</si>
  <si>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</si>
  <si>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</si>
  <si>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</si>
  <si>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</si>
  <si>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</si>
  <si>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</si>
  <si>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</si>
  <si>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</si>
  <si>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</si>
  <si>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</si>
  <si>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</si>
  <si>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</si>
  <si>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</si>
  <si>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</si>
  <si>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</si>
  <si>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</si>
  <si>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</si>
  <si>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</si>
  <si>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</si>
  <si>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</si>
  <si>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</si>
  <si>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</si>
  <si>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</si>
  <si>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</si>
  <si>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</si>
  <si>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</si>
  <si>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</si>
  <si>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</si>
  <si>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</si>
  <si>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</si>
  <si>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</si>
  <si>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</si>
  <si>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</si>
  <si>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</si>
  <si>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</si>
  <si>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</si>
  <si>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</si>
  <si>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</si>
  <si>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</si>
  <si>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Ruds bytespunkt - Residenstorget få</t>
  </si>
  <si>
    <t>Residenstorget - Golfbanan få</t>
  </si>
  <si>
    <t>Golfbanan jakobsberg</t>
  </si>
  <si>
    <t>Regionenshus</t>
  </si>
  <si>
    <t>Ryd bytespunkt</t>
  </si>
  <si>
    <t>N Kyrkogården</t>
  </si>
  <si>
    <t>x</t>
  </si>
  <si>
    <t>annan</t>
  </si>
  <si>
    <t>Annat</t>
  </si>
  <si>
    <t>Start Rud</t>
  </si>
  <si>
    <t>Start Golfbana</t>
  </si>
  <si>
    <t>12 minuters trafik</t>
  </si>
  <si>
    <t>Namn: Karlstad Linje S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</si>
  <si>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</si>
  <si>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</si>
  <si>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</si>
  <si>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</si>
  <si>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</si>
  <si>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</si>
  <si>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</si>
  <si>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</si>
  <si>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</si>
  <si>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</si>
  <si>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</si>
  <si>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</si>
  <si>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</si>
  <si>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</si>
  <si>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</si>
  <si>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</si>
  <si>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</si>
  <si>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</si>
  <si>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</si>
  <si>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</si>
  <si>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</si>
  <si>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</si>
  <si>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</si>
  <si>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</si>
  <si>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</si>
  <si>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</si>
  <si>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</si>
  <si>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</si>
  <si>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Har ej genomförts</t>
  </si>
  <si>
    <t>Har gjorts för att säkerställa goda passager till och från hållplatser</t>
  </si>
  <si>
    <t>Bra skyltar på hållplatser</t>
  </si>
  <si>
    <t>unika fordon som särskiljer sig mycket 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</si>
</sst>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0" fontId="0" fillId="0" borderId="5" xfId="0" applyBorder="1"/>
    <xf numFmtId="1" fontId="0" fillId="0" borderId="0" xfId="0" applyNumberFormat="1"/>
    <xf numFmtId="0" fontId="4" fillId="0" borderId="0" xfId="0" applyFont="1"/>
    <xf numFmtId="0" fontId="0" fillId="0" borderId="3" xfId="0" applyBorder="1"/>
    <xf numFmtId="164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Karlstad Linje S, 57,3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19D-4626-8EF9-151F2490D10A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19D-4626-8EF9-151F2490D10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19D-4626-8EF9-151F2490D10A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19D-4626-8EF9-151F2490D1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19D-4626-8EF9-151F2490D10A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19D-4626-8EF9-151F2490D10A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19D-4626-8EF9-151F2490D10A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19D-4626-8EF9-151F2490D1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7.0627450980392155</c:v>
                </c:pt>
                <c:pt idx="1">
                  <c:v>12.937254901960785</c:v>
                </c:pt>
                <c:pt idx="2">
                  <c:v>24.818226872779722</c:v>
                </c:pt>
                <c:pt idx="3">
                  <c:v>21.181773127220278</c:v>
                </c:pt>
                <c:pt idx="4">
                  <c:v>16.399999999999999</c:v>
                </c:pt>
                <c:pt idx="5">
                  <c:v>3.6000000000000014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19D-4626-8EF9-151F2490D1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5A47-4B17-8C37-7D3ED844108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5A47-4B17-8C37-7D3ED844108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5A47-4B17-8C37-7D3ED844108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5A47-4B17-8C37-7D3ED844108B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5A47-4B17-8C37-7D3ED844108B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5A47-4B17-8C37-7D3ED844108B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5A47-4B17-8C37-7D3ED844108B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5A47-4B17-8C37-7D3ED844108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5A47-4B17-8C37-7D3ED844108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5A47-4B17-8C37-7D3ED844108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8-5A47-4B17-8C37-7D3ED844108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A-5A47-4B17-8C37-7D3ED844108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5A47-4B17-8C37-7D3ED844108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5A47-4B17-8C37-7D3ED844108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5A47-4B17-8C37-7D3ED844108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5A47-4B17-8C37-7D3ED844108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5A47-4B17-8C37-7D3ED844108B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5A47-4B17-8C37-7D3ED844108B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5A47-4B17-8C37-7D3ED844108B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5A47-4B17-8C37-7D3ED844108B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5A47-4B17-8C37-7D3ED844108B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5A47-4B17-8C37-7D3ED844108B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5A47-4B17-8C37-7D3ED844108B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5A47-4B17-8C37-7D3ED844108B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5A47-4B17-8C37-7D3ED844108B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9</c:v>
                </c:pt>
                <c:pt idx="6" formatCode="0.0">
                  <c:v>3.4</c:v>
                </c:pt>
                <c:pt idx="7" formatCode="0.0">
                  <c:v>4</c:v>
                </c:pt>
                <c:pt idx="8" formatCode="0.0">
                  <c:v>1.1000000000000001</c:v>
                </c:pt>
                <c:pt idx="9" formatCode="0.0">
                  <c:v>4.666666666666667</c:v>
                </c:pt>
                <c:pt idx="10" formatCode="0.0">
                  <c:v>3</c:v>
                </c:pt>
                <c:pt idx="11" formatCode="0.0">
                  <c:v>5.8333333333333339</c:v>
                </c:pt>
                <c:pt idx="12" formatCode="0.0">
                  <c:v>2.3146773272415766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2.5728813559322035</c:v>
                </c:pt>
                <c:pt idx="16" formatCode="0.0">
                  <c:v>4</c:v>
                </c:pt>
                <c:pt idx="17" formatCode="0.0">
                  <c:v>1.3306681896059394</c:v>
                </c:pt>
                <c:pt idx="18" formatCode="0.0">
                  <c:v>0.53333333333333333</c:v>
                </c:pt>
                <c:pt idx="19" formatCode="0.0">
                  <c:v>1</c:v>
                </c:pt>
                <c:pt idx="20" formatCode="0.0">
                  <c:v>3</c:v>
                </c:pt>
                <c:pt idx="21" formatCode="0.0">
                  <c:v>0</c:v>
                </c:pt>
                <c:pt idx="22" formatCode="0.0">
                  <c:v>2.5294117647058822</c:v>
                </c:pt>
                <c:pt idx="23" formatCode="0.0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5A47-4B17-8C37-7D3ED844108B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5A47-4B17-8C37-7D3ED84410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5A47-4B17-8C37-7D3ED84410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5A47-4B17-8C37-7D3ED84410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5A47-4B17-8C37-7D3ED844108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5A47-4B17-8C37-7D3ED84410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5A47-4B17-8C37-7D3ED844108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5A47-4B17-8C37-7D3ED844108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5A47-4B17-8C37-7D3ED844108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5A47-4B17-8C37-7D3ED844108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5A47-4B17-8C37-7D3ED844108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5A47-4B17-8C37-7D3ED844108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5A47-4B17-8C37-7D3ED844108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5A47-4B17-8C37-7D3ED844108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5A47-4B17-8C37-7D3ED844108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5A47-4B17-8C37-7D3ED844108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5A47-4B17-8C37-7D3ED844108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5A47-4B17-8C37-7D3ED844108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5A47-4B17-8C37-7D3ED844108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5A47-4B17-8C37-7D3ED844108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5A47-4B17-8C37-7D3ED844108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5A47-4B17-8C37-7D3ED844108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5A47-4B17-8C37-7D3ED844108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5A47-4B17-8C37-7D3ED844108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5A47-4B17-8C37-7D3ED844108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8-5A47-4B17-8C37-7D3ED844108B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0.60000000000000009</c:v>
                </c:pt>
                <c:pt idx="7">
                  <c:v>0</c:v>
                </c:pt>
                <c:pt idx="8">
                  <c:v>1.9</c:v>
                </c:pt>
                <c:pt idx="9">
                  <c:v>5.333333333333333</c:v>
                </c:pt>
                <c:pt idx="10">
                  <c:v>0</c:v>
                </c:pt>
                <c:pt idx="11">
                  <c:v>1.1666666666666661</c:v>
                </c:pt>
                <c:pt idx="12">
                  <c:v>0.6853226727584234</c:v>
                </c:pt>
                <c:pt idx="13">
                  <c:v>3</c:v>
                </c:pt>
                <c:pt idx="14">
                  <c:v>2</c:v>
                </c:pt>
                <c:pt idx="15">
                  <c:v>0.42711864406779654</c:v>
                </c:pt>
                <c:pt idx="16">
                  <c:v>0</c:v>
                </c:pt>
                <c:pt idx="17">
                  <c:v>6.6693318103940609</c:v>
                </c:pt>
                <c:pt idx="18">
                  <c:v>1.4666666666666668</c:v>
                </c:pt>
                <c:pt idx="19" formatCode="0.0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2.4705882352941178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5A47-4B17-8C37-7D3ED844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5E-4103-8D70-8DF0C9F2F3A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5E-4103-8D70-8DF0C9F2F3A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95E-4103-8D70-8DF0C9F2F3A7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5E-4103-8D70-8DF0C9F2F3A7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95E-4103-8D70-8DF0C9F2F3A7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5E-4103-8D70-8DF0C9F2F3A7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95E-4103-8D70-8DF0C9F2F3A7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5E-4103-8D70-8DF0C9F2F3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7.0627450980392155</c:v>
                </c:pt>
                <c:pt idx="1">
                  <c:v>12.937254901960785</c:v>
                </c:pt>
                <c:pt idx="2">
                  <c:v>24.818226872779722</c:v>
                </c:pt>
                <c:pt idx="3">
                  <c:v>21.181773127220278</c:v>
                </c:pt>
                <c:pt idx="4">
                  <c:v>16.399999999999999</c:v>
                </c:pt>
                <c:pt idx="5">
                  <c:v>3.6000000000000014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E-4103-8D70-8DF0C9F2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25</xdr:row>
      <xdr:rowOff>38100</xdr:rowOff>
    </xdr:from>
    <xdr:to>
      <xdr:col>11</xdr:col>
      <xdr:colOff>995025</xdr:colOff>
      <xdr:row>38</xdr:row>
      <xdr:rowOff>153600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6E618F7-A8E2-498F-A48C-AE32783F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476249</xdr:colOff>
      <xdr:row>43</xdr:row>
      <xdr:rowOff>52387</xdr:rowOff>
    </xdr:from>
    <xdr:to>
      <xdr:col>15</xdr:col>
      <xdr:colOff>161925</xdr:colOff>
      <xdr:row>71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C199C98-24CB-44CB-4351-4CB7EBED1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1609725</xdr:colOff>
      <xdr:row>22</xdr:row>
      <xdr:rowOff>119062</xdr:rowOff>
    </xdr:from>
    <xdr:to>
      <xdr:col>18</xdr:col>
      <xdr:colOff>409575</xdr:colOff>
      <xdr:row>37</xdr:row>
      <xdr:rowOff>4762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230EAF3-AE02-FE7E-0E78-CB64E69F5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workbookViewId="0">
      <selection activeCell="G69" sqref="G69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</cols>
  <sheetData>
    <row r="2" spans="2:14" x14ac:dyDescent="0.25">
      <c r="C2" t="s">
        <v>166</v>
      </c>
    </row>
    <row r="3" spans="2:14" x14ac:dyDescent="0.25">
      <c r="B3" s="32" t="s">
        <v>0</v>
      </c>
      <c r="C3" s="33"/>
      <c r="D3" s="33"/>
      <c r="E3" s="34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7.0627450980392155</v>
      </c>
      <c r="N4">
        <f>M4/SUM($M$4:$M$7)</f>
        <v>0.12549081600262998</v>
      </c>
    </row>
    <row r="5" spans="2:14" x14ac:dyDescent="0.25">
      <c r="B5" s="15"/>
      <c r="C5" t="s">
        <v>1</v>
      </c>
      <c r="D5" s="1">
        <f>'Stadens utformning'!E7</f>
        <v>1</v>
      </c>
      <c r="E5" s="1">
        <v>2</v>
      </c>
      <c r="L5" t="s">
        <v>13</v>
      </c>
      <c r="M5">
        <f>D25</f>
        <v>24.818226872779722</v>
      </c>
      <c r="N5">
        <f>M5/SUM($M$4:$M$7)</f>
        <v>0.44097011838473044</v>
      </c>
    </row>
    <row r="6" spans="2:14" x14ac:dyDescent="0.25">
      <c r="B6" s="15"/>
      <c r="C6" s="1" t="s">
        <v>2</v>
      </c>
      <c r="D6" s="11">
        <f>'Stadens utformning'!F14</f>
        <v>0</v>
      </c>
      <c r="E6" s="1">
        <v>3</v>
      </c>
      <c r="L6" t="s">
        <v>8</v>
      </c>
      <c r="M6">
        <f>D32</f>
        <v>16.399999999999999</v>
      </c>
      <c r="N6">
        <f>M6/SUM($M$4:$M$7)</f>
        <v>0.29139510967406917</v>
      </c>
    </row>
    <row r="7" spans="2:14" x14ac:dyDescent="0.25">
      <c r="B7" s="15"/>
      <c r="C7" s="1" t="s">
        <v>3</v>
      </c>
      <c r="D7" s="11">
        <f>'Stadens utformning'!G23</f>
        <v>2.5294117647058822</v>
      </c>
      <c r="E7" s="1">
        <v>5</v>
      </c>
      <c r="L7" t="s">
        <v>24</v>
      </c>
      <c r="M7">
        <f>D39</f>
        <v>8</v>
      </c>
      <c r="N7">
        <f>M7/SUM($M$4:$M$7)</f>
        <v>0.14214395593857035</v>
      </c>
    </row>
    <row r="8" spans="2:14" x14ac:dyDescent="0.25">
      <c r="B8" s="15"/>
      <c r="C8" s="1" t="s">
        <v>4</v>
      </c>
      <c r="D8" s="11">
        <f>'Stadens utformning'!G45</f>
        <v>0</v>
      </c>
      <c r="E8" s="1">
        <v>3</v>
      </c>
    </row>
    <row r="9" spans="2:14" x14ac:dyDescent="0.25">
      <c r="B9" s="15"/>
      <c r="C9" s="1" t="s">
        <v>5</v>
      </c>
      <c r="D9" s="11">
        <f>'Stadens utformning'!G50</f>
        <v>3</v>
      </c>
      <c r="E9" s="1">
        <v>3</v>
      </c>
    </row>
    <row r="10" spans="2:14" x14ac:dyDescent="0.25">
      <c r="B10" s="15"/>
      <c r="C10" s="1" t="s">
        <v>6</v>
      </c>
      <c r="D10" s="11">
        <f>'Stadens utformning'!G56</f>
        <v>1</v>
      </c>
      <c r="E10" s="1">
        <v>2</v>
      </c>
      <c r="L10" t="s">
        <v>0</v>
      </c>
      <c r="M10" s="28">
        <f>D12</f>
        <v>7.0627450980392155</v>
      </c>
    </row>
    <row r="11" spans="2:14" x14ac:dyDescent="0.25">
      <c r="B11" s="15"/>
      <c r="C11" s="1" t="s">
        <v>7</v>
      </c>
      <c r="D11" s="11">
        <f>'Stadens utformning'!G61</f>
        <v>0.53333333333333333</v>
      </c>
      <c r="E11" s="1">
        <v>2</v>
      </c>
      <c r="L11" t="s">
        <v>147</v>
      </c>
      <c r="M11" s="28">
        <f>E12-M10</f>
        <v>12.937254901960785</v>
      </c>
    </row>
    <row r="12" spans="2:14" x14ac:dyDescent="0.25">
      <c r="B12" s="16"/>
      <c r="C12" s="1" t="s">
        <v>61</v>
      </c>
      <c r="D12" s="11">
        <f>SUM(D6:D11)</f>
        <v>7.0627450980392155</v>
      </c>
      <c r="E12" s="11">
        <f>SUM(E5:E11)</f>
        <v>20</v>
      </c>
      <c r="F12">
        <f>D12/E12</f>
        <v>0.3531372549019608</v>
      </c>
      <c r="L12" t="s">
        <v>13</v>
      </c>
      <c r="M12" s="28">
        <f>D25</f>
        <v>24.818226872779722</v>
      </c>
    </row>
    <row r="13" spans="2:14" x14ac:dyDescent="0.25">
      <c r="B13" s="32" t="s">
        <v>13</v>
      </c>
      <c r="C13" s="33"/>
      <c r="D13" s="33"/>
      <c r="E13" s="34"/>
      <c r="L13" t="s">
        <v>148</v>
      </c>
      <c r="M13" s="28">
        <f>E25-D25</f>
        <v>21.181773127220278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t="s">
        <v>8</v>
      </c>
      <c r="M14" s="28">
        <f>D32</f>
        <v>16.399999999999999</v>
      </c>
    </row>
    <row r="15" spans="2:14" x14ac:dyDescent="0.25">
      <c r="B15" s="18"/>
      <c r="C15" s="1" t="s">
        <v>14</v>
      </c>
      <c r="D15" s="11">
        <f>'Kollektivtrafikens infrastruktu'!G9</f>
        <v>1.3306681896059394</v>
      </c>
      <c r="E15" s="1">
        <v>8</v>
      </c>
      <c r="L15" t="s">
        <v>149</v>
      </c>
      <c r="M15" s="28">
        <f>E32-D32</f>
        <v>3.6000000000000014</v>
      </c>
    </row>
    <row r="16" spans="2:14" x14ac:dyDescent="0.25">
      <c r="B16" s="18"/>
      <c r="C16" s="1" t="s">
        <v>15</v>
      </c>
      <c r="D16" s="11">
        <f>'Kollektivtrafikens infrastruktu'!G44</f>
        <v>4</v>
      </c>
      <c r="E16" s="1">
        <v>4</v>
      </c>
      <c r="L16" t="s">
        <v>24</v>
      </c>
      <c r="M16" s="28">
        <f>D39</f>
        <v>8</v>
      </c>
    </row>
    <row r="17" spans="2:13" x14ac:dyDescent="0.25">
      <c r="B17" s="18"/>
      <c r="C17" s="1" t="s">
        <v>16</v>
      </c>
      <c r="D17" s="11">
        <f>'Kollektivtrafikens infrastruktu'!G51</f>
        <v>2.5728813559322035</v>
      </c>
      <c r="E17" s="1">
        <v>3</v>
      </c>
      <c r="L17" t="s">
        <v>150</v>
      </c>
      <c r="M17" s="28">
        <f>E39-D39</f>
        <v>6</v>
      </c>
    </row>
    <row r="18" spans="2:13" x14ac:dyDescent="0.25">
      <c r="B18" s="18"/>
      <c r="C18" s="1" t="s">
        <v>17</v>
      </c>
      <c r="D18" s="11">
        <f>'Kollektivtrafikens infrastruktu'!G58</f>
        <v>0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2.3146773272415766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5.8333333333333339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4.666666666666667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1.1000000000000001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24.818226872779722</v>
      </c>
      <c r="E25" s="11">
        <f>SUM(E15:E24)</f>
        <v>46</v>
      </c>
      <c r="F25">
        <f>D25/E25</f>
        <v>0.53952667114738528</v>
      </c>
    </row>
    <row r="26" spans="2:13" x14ac:dyDescent="0.25">
      <c r="B26" s="32" t="s">
        <v>8</v>
      </c>
      <c r="C26" s="33"/>
      <c r="D26" s="33"/>
      <c r="E26" s="34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4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3.4</v>
      </c>
      <c r="E29" s="1">
        <v>4</v>
      </c>
    </row>
    <row r="30" spans="2:13" x14ac:dyDescent="0.25">
      <c r="B30" s="21"/>
      <c r="C30" s="1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16.399999999999999</v>
      </c>
      <c r="E32" s="1">
        <f>SUM(E28:E31)</f>
        <v>20</v>
      </c>
      <c r="F32">
        <f>D32/E32</f>
        <v>0.82</v>
      </c>
    </row>
    <row r="33" spans="2:6" x14ac:dyDescent="0.25">
      <c r="B33" s="32" t="s">
        <v>24</v>
      </c>
      <c r="C33" s="33"/>
      <c r="D33" s="33"/>
      <c r="E33" s="34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">
        <f>Trafikering!F8</f>
        <v>0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3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2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3</v>
      </c>
      <c r="E38" s="1">
        <v>3</v>
      </c>
    </row>
    <row r="39" spans="2:6" x14ac:dyDescent="0.25">
      <c r="B39" s="25"/>
      <c r="C39" s="1" t="s">
        <v>61</v>
      </c>
      <c r="D39" s="1">
        <f>SUM(D35:D38)</f>
        <v>8</v>
      </c>
      <c r="E39" s="1">
        <f>SUM(E35:E38)</f>
        <v>14</v>
      </c>
      <c r="F39">
        <f>D39/E39</f>
        <v>0.5714285714285714</v>
      </c>
    </row>
    <row r="40" spans="2:6" x14ac:dyDescent="0.25">
      <c r="B40" s="4"/>
      <c r="C40" s="26" t="s">
        <v>38</v>
      </c>
      <c r="D40" s="13">
        <f>SUM(D5:D11)+SUM(D28:D31)+SUM(D15:D24)+SUM(D35:D38)</f>
        <v>57.280971970818939</v>
      </c>
      <c r="E40" s="13">
        <f>SUM(E12+E25+E32+E39)</f>
        <v>100</v>
      </c>
    </row>
    <row r="43" spans="2:6" x14ac:dyDescent="0.25">
      <c r="C43" s="29" t="s">
        <v>167</v>
      </c>
      <c r="D43" s="29" t="s">
        <v>168</v>
      </c>
      <c r="E43" t="s">
        <v>139</v>
      </c>
      <c r="F43" s="29" t="s">
        <v>169</v>
      </c>
    </row>
    <row r="44" spans="2:6" x14ac:dyDescent="0.25">
      <c r="C44" t="s">
        <v>170</v>
      </c>
      <c r="D44">
        <f>D38</f>
        <v>3</v>
      </c>
      <c r="E44">
        <f>F44-D44</f>
        <v>0</v>
      </c>
      <c r="F44">
        <f>E38</f>
        <v>3</v>
      </c>
    </row>
    <row r="45" spans="2:6" x14ac:dyDescent="0.25">
      <c r="C45" s="30" t="s">
        <v>171</v>
      </c>
      <c r="D45">
        <f>D37</f>
        <v>2</v>
      </c>
      <c r="E45">
        <f t="shared" ref="E45:E68" si="0">F45-D45</f>
        <v>1</v>
      </c>
      <c r="F45">
        <f>E37</f>
        <v>3</v>
      </c>
    </row>
    <row r="46" spans="2:6" x14ac:dyDescent="0.25">
      <c r="C46" s="30" t="s">
        <v>172</v>
      </c>
      <c r="D46">
        <f>D36</f>
        <v>3</v>
      </c>
      <c r="E46">
        <f t="shared" si="0"/>
        <v>1</v>
      </c>
      <c r="F46">
        <f>E36</f>
        <v>4</v>
      </c>
    </row>
    <row r="47" spans="2:6" x14ac:dyDescent="0.25">
      <c r="C47" s="30" t="s">
        <v>173</v>
      </c>
      <c r="D47" s="31">
        <f>D35</f>
        <v>0</v>
      </c>
      <c r="E47">
        <f t="shared" si="0"/>
        <v>4</v>
      </c>
      <c r="F47">
        <f>E35</f>
        <v>4</v>
      </c>
    </row>
    <row r="48" spans="2:6" x14ac:dyDescent="0.25">
      <c r="C48" s="1" t="s">
        <v>174</v>
      </c>
      <c r="D48" s="31">
        <f>D31</f>
        <v>0</v>
      </c>
      <c r="E48">
        <f t="shared" si="0"/>
        <v>2</v>
      </c>
      <c r="F48" s="31">
        <f>E31</f>
        <v>2</v>
      </c>
    </row>
    <row r="49" spans="3:6" x14ac:dyDescent="0.25">
      <c r="C49" s="1" t="s">
        <v>175</v>
      </c>
      <c r="D49" s="31">
        <f>D30</f>
        <v>9</v>
      </c>
      <c r="E49">
        <f t="shared" si="0"/>
        <v>1</v>
      </c>
      <c r="F49" s="31">
        <f>E30</f>
        <v>10</v>
      </c>
    </row>
    <row r="50" spans="3:6" x14ac:dyDescent="0.25">
      <c r="C50" s="1" t="s">
        <v>176</v>
      </c>
      <c r="D50" s="31">
        <f>D29</f>
        <v>3.4</v>
      </c>
      <c r="E50">
        <f t="shared" si="0"/>
        <v>0.60000000000000009</v>
      </c>
      <c r="F50" s="31">
        <f>E29</f>
        <v>4</v>
      </c>
    </row>
    <row r="51" spans="3:6" x14ac:dyDescent="0.25">
      <c r="C51" s="1" t="s">
        <v>177</v>
      </c>
      <c r="D51" s="31">
        <f>D28</f>
        <v>4</v>
      </c>
      <c r="E51">
        <f t="shared" si="0"/>
        <v>0</v>
      </c>
      <c r="F51" s="31">
        <f>E28</f>
        <v>4</v>
      </c>
    </row>
    <row r="52" spans="3:6" x14ac:dyDescent="0.25">
      <c r="C52" s="30" t="s">
        <v>178</v>
      </c>
      <c r="D52" s="31">
        <f>D24</f>
        <v>1.1000000000000001</v>
      </c>
      <c r="E52">
        <f t="shared" si="0"/>
        <v>1.9</v>
      </c>
      <c r="F52" s="31">
        <f>E24</f>
        <v>3</v>
      </c>
    </row>
    <row r="53" spans="3:6" x14ac:dyDescent="0.25">
      <c r="C53" s="30" t="s">
        <v>179</v>
      </c>
      <c r="D53" s="31">
        <f>D23</f>
        <v>4.666666666666667</v>
      </c>
      <c r="E53">
        <f t="shared" si="0"/>
        <v>5.333333333333333</v>
      </c>
      <c r="F53" s="31">
        <f>E23</f>
        <v>10</v>
      </c>
    </row>
    <row r="54" spans="3:6" x14ac:dyDescent="0.25">
      <c r="C54" s="30" t="s">
        <v>180</v>
      </c>
      <c r="D54" s="31">
        <f>D22</f>
        <v>3</v>
      </c>
      <c r="E54">
        <f t="shared" si="0"/>
        <v>0</v>
      </c>
      <c r="F54" s="31">
        <f>E22</f>
        <v>3</v>
      </c>
    </row>
    <row r="55" spans="3:6" x14ac:dyDescent="0.25">
      <c r="C55" t="s">
        <v>181</v>
      </c>
      <c r="D55" s="31">
        <f>D21</f>
        <v>5.8333333333333339</v>
      </c>
      <c r="E55">
        <f t="shared" si="0"/>
        <v>1.1666666666666661</v>
      </c>
      <c r="F55" s="31">
        <f>E21</f>
        <v>7</v>
      </c>
    </row>
    <row r="56" spans="3:6" x14ac:dyDescent="0.25">
      <c r="C56" s="30" t="s">
        <v>182</v>
      </c>
      <c r="D56" s="31">
        <f>D20</f>
        <v>2.3146773272415766</v>
      </c>
      <c r="E56">
        <f t="shared" si="0"/>
        <v>0.6853226727584234</v>
      </c>
      <c r="F56" s="31">
        <f>E20</f>
        <v>3</v>
      </c>
    </row>
    <row r="57" spans="3:6" x14ac:dyDescent="0.25">
      <c r="C57" s="30" t="s">
        <v>183</v>
      </c>
      <c r="D57" s="31">
        <f>D19</f>
        <v>0</v>
      </c>
      <c r="E57">
        <f t="shared" si="0"/>
        <v>3</v>
      </c>
      <c r="F57" s="31">
        <f>E19</f>
        <v>3</v>
      </c>
    </row>
    <row r="58" spans="3:6" x14ac:dyDescent="0.25">
      <c r="C58" s="30" t="s">
        <v>184</v>
      </c>
      <c r="D58" s="31">
        <f>D18</f>
        <v>0</v>
      </c>
      <c r="E58">
        <f t="shared" si="0"/>
        <v>2</v>
      </c>
      <c r="F58" s="31">
        <f>E18</f>
        <v>2</v>
      </c>
    </row>
    <row r="59" spans="3:6" x14ac:dyDescent="0.25">
      <c r="C59" s="30" t="s">
        <v>185</v>
      </c>
      <c r="D59" s="31">
        <f>D17</f>
        <v>2.5728813559322035</v>
      </c>
      <c r="E59">
        <f t="shared" si="0"/>
        <v>0.42711864406779654</v>
      </c>
      <c r="F59" s="31">
        <f>E17</f>
        <v>3</v>
      </c>
    </row>
    <row r="60" spans="3:6" x14ac:dyDescent="0.25">
      <c r="C60" s="30" t="s">
        <v>186</v>
      </c>
      <c r="D60" s="31">
        <f>D16</f>
        <v>4</v>
      </c>
      <c r="E60">
        <f t="shared" si="0"/>
        <v>0</v>
      </c>
      <c r="F60" s="31">
        <f>E16</f>
        <v>4</v>
      </c>
    </row>
    <row r="61" spans="3:6" x14ac:dyDescent="0.25">
      <c r="C61" s="30" t="s">
        <v>187</v>
      </c>
      <c r="D61" s="31">
        <f>D15</f>
        <v>1.3306681896059394</v>
      </c>
      <c r="E61">
        <f t="shared" si="0"/>
        <v>6.6693318103940609</v>
      </c>
      <c r="F61" s="31">
        <f>E15</f>
        <v>8</v>
      </c>
    </row>
    <row r="62" spans="3:6" x14ac:dyDescent="0.25">
      <c r="C62" s="30" t="s">
        <v>188</v>
      </c>
      <c r="D62" s="31">
        <f>D11</f>
        <v>0.53333333333333333</v>
      </c>
      <c r="E62">
        <f t="shared" si="0"/>
        <v>1.4666666666666668</v>
      </c>
      <c r="F62" s="31">
        <f>E11</f>
        <v>2</v>
      </c>
    </row>
    <row r="63" spans="3:6" x14ac:dyDescent="0.25">
      <c r="C63" s="30" t="s">
        <v>189</v>
      </c>
      <c r="D63" s="31">
        <f>D10</f>
        <v>1</v>
      </c>
      <c r="E63" s="31">
        <f>F63-D63</f>
        <v>1</v>
      </c>
      <c r="F63" s="31">
        <f>E10</f>
        <v>2</v>
      </c>
    </row>
    <row r="64" spans="3:6" x14ac:dyDescent="0.25">
      <c r="C64" s="30" t="s">
        <v>190</v>
      </c>
      <c r="D64" s="31">
        <f>D9</f>
        <v>3</v>
      </c>
      <c r="E64">
        <f t="shared" si="0"/>
        <v>0</v>
      </c>
      <c r="F64" s="31">
        <f>E9</f>
        <v>3</v>
      </c>
    </row>
    <row r="65" spans="3:6" x14ac:dyDescent="0.25">
      <c r="C65" s="30" t="s">
        <v>191</v>
      </c>
      <c r="D65" s="31">
        <f>D8</f>
        <v>0</v>
      </c>
      <c r="E65">
        <f t="shared" si="0"/>
        <v>3</v>
      </c>
      <c r="F65" s="31">
        <f>E8</f>
        <v>3</v>
      </c>
    </row>
    <row r="66" spans="3:6" x14ac:dyDescent="0.25">
      <c r="C66" s="30" t="s">
        <v>192</v>
      </c>
      <c r="D66" s="31">
        <f>D7</f>
        <v>2.5294117647058822</v>
      </c>
      <c r="E66">
        <f t="shared" si="0"/>
        <v>2.4705882352941178</v>
      </c>
      <c r="F66" s="31">
        <f>E7</f>
        <v>5</v>
      </c>
    </row>
    <row r="67" spans="3:6" x14ac:dyDescent="0.25">
      <c r="C67" s="30" t="s">
        <v>193</v>
      </c>
      <c r="D67" s="31">
        <f>D6</f>
        <v>0</v>
      </c>
      <c r="E67">
        <f t="shared" si="0"/>
        <v>3</v>
      </c>
      <c r="F67" s="31">
        <f>E6</f>
        <v>3</v>
      </c>
    </row>
    <row r="68" spans="3:6" x14ac:dyDescent="0.25">
      <c r="C68" t="s">
        <v>194</v>
      </c>
      <c r="D68">
        <f>D5</f>
        <v>1</v>
      </c>
      <c r="E68">
        <f t="shared" si="0"/>
        <v>1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1"/>
  <sheetViews>
    <sheetView workbookViewId="0">
      <selection activeCell="J5" sqref="J5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22" customWidth="1"/>
    <col min="10" max="10" width="12.28515625" bestFit="1" customWidth="1"/>
    <col min="13" max="13" width="18.5703125" customWidth="1"/>
    <col min="14" max="14" width="12.7109375" customWidth="1"/>
    <col min="15" max="15" width="10.2851562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/>
      <c r="F5" t="s">
        <v>195</v>
      </c>
    </row>
    <row r="6" spans="3:18" ht="30" x14ac:dyDescent="0.25">
      <c r="C6" s="2" t="s">
        <v>30</v>
      </c>
      <c r="D6" s="1">
        <v>1</v>
      </c>
      <c r="E6" s="1">
        <v>1</v>
      </c>
      <c r="F6" t="s">
        <v>196</v>
      </c>
    </row>
    <row r="7" spans="3:18" x14ac:dyDescent="0.25">
      <c r="C7" s="9"/>
      <c r="D7" s="1" t="s">
        <v>38</v>
      </c>
      <c r="E7" s="1">
        <f>SUM(E5:E6)</f>
        <v>1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-0.13268231518683959</v>
      </c>
      <c r="H10" s="1" t="s">
        <v>154</v>
      </c>
      <c r="I10" s="1"/>
      <c r="J10" s="1">
        <v>3.49</v>
      </c>
      <c r="K10" s="1"/>
      <c r="L10" s="1" t="s">
        <v>155</v>
      </c>
      <c r="M10" s="1"/>
      <c r="N10" s="1"/>
      <c r="O10" s="1">
        <v>2.69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154</v>
      </c>
      <c r="I11" s="1"/>
      <c r="J11" s="1">
        <v>4.3499999999999996</v>
      </c>
      <c r="K11" s="1"/>
      <c r="L11" s="1" t="s">
        <v>155</v>
      </c>
      <c r="M11" s="1"/>
      <c r="N11" s="1"/>
      <c r="O11" s="1">
        <v>4.26</v>
      </c>
      <c r="Q11" t="s">
        <v>129</v>
      </c>
      <c r="R11">
        <f>J11+O11</f>
        <v>8.61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1.2464183381088823</v>
      </c>
      <c r="K12" s="1"/>
      <c r="L12" s="1"/>
      <c r="M12" s="1"/>
      <c r="N12" s="1" t="s">
        <v>128</v>
      </c>
      <c r="O12" s="1">
        <f>O11/O10</f>
        <v>1.5836431226765799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1.535816618911177</v>
      </c>
      <c r="K13" s="1"/>
      <c r="L13" s="1"/>
      <c r="M13" s="1"/>
      <c r="N13" s="1"/>
      <c r="O13" s="1">
        <f>14-10*O12</f>
        <v>-1.8364312267658001</v>
      </c>
    </row>
    <row r="14" spans="3:18" x14ac:dyDescent="0.25">
      <c r="C14" s="1"/>
      <c r="D14" s="1"/>
      <c r="E14" s="1" t="s">
        <v>38</v>
      </c>
      <c r="F14" s="11">
        <v>0</v>
      </c>
      <c r="H14" s="1"/>
      <c r="I14" s="1" t="s">
        <v>130</v>
      </c>
      <c r="J14" s="1">
        <f>J11/R11</f>
        <v>0.50522648083623689</v>
      </c>
      <c r="K14" s="1"/>
      <c r="L14" s="1"/>
      <c r="M14" s="1"/>
      <c r="N14" s="1"/>
      <c r="O14" s="1">
        <f>O11/R11</f>
        <v>0.49477351916376305</v>
      </c>
    </row>
    <row r="15" spans="3:18" x14ac:dyDescent="0.25">
      <c r="H15" s="1"/>
      <c r="I15" s="1"/>
      <c r="J15" s="1">
        <f>J13*J14</f>
        <v>0.77593522558230188</v>
      </c>
      <c r="K15" s="1"/>
      <c r="L15" s="1"/>
      <c r="M15" s="1"/>
      <c r="N15" s="1"/>
      <c r="O15" s="1">
        <f>O13*O14</f>
        <v>-0.90861754076914147</v>
      </c>
    </row>
    <row r="16" spans="3:18" x14ac:dyDescent="0.25">
      <c r="L16">
        <f>(J13+O13)/2</f>
        <v>-0.15030730392731151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156</v>
      </c>
      <c r="J18" s="1">
        <v>0</v>
      </c>
      <c r="K18" s="1">
        <v>0</v>
      </c>
      <c r="M18" s="1" t="s">
        <v>158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COUNTIF(K19:K37,"&gt;600")+COUNTIF(O19:O37,"&gt;600")</f>
        <v>10</v>
      </c>
      <c r="F19" s="6">
        <f>E19/$E$23</f>
        <v>0.29411764705882354</v>
      </c>
      <c r="G19" s="6">
        <f>D19*F19</f>
        <v>1.4705882352941178</v>
      </c>
      <c r="I19" s="1" t="s">
        <v>157</v>
      </c>
      <c r="J19" s="1">
        <v>912</v>
      </c>
      <c r="K19" s="1">
        <f>J19-J18</f>
        <v>912</v>
      </c>
      <c r="M19" s="1" t="s">
        <v>159</v>
      </c>
      <c r="N19" s="1">
        <v>353</v>
      </c>
      <c r="O19" s="1">
        <f>N19-N18</f>
        <v>353</v>
      </c>
    </row>
    <row r="20" spans="3:15" x14ac:dyDescent="0.25">
      <c r="C20" s="1" t="s">
        <v>40</v>
      </c>
      <c r="D20" s="1">
        <v>4</v>
      </c>
      <c r="E20" s="1">
        <f>COUNTIF(K19:K37,"&gt;500")+COUNTIF(O19:O37,"&gt;500")-E19</f>
        <v>3</v>
      </c>
      <c r="F20" s="6">
        <f t="shared" ref="F20:F22" si="1">E20/$E$23</f>
        <v>8.8235294117647065E-2</v>
      </c>
      <c r="G20" s="6">
        <f t="shared" ref="G20:G22" si="2">D20*F20</f>
        <v>0.35294117647058826</v>
      </c>
      <c r="I20" s="1"/>
      <c r="J20" s="1">
        <v>1330</v>
      </c>
      <c r="K20" s="1">
        <f t="shared" ref="K20:K35" si="3">J20-J19</f>
        <v>418</v>
      </c>
      <c r="M20" s="1"/>
      <c r="N20" s="1">
        <v>802</v>
      </c>
      <c r="O20" s="1">
        <f t="shared" ref="O20:O35" si="4">N20-N19</f>
        <v>449</v>
      </c>
    </row>
    <row r="21" spans="3:15" x14ac:dyDescent="0.25">
      <c r="C21" s="1" t="s">
        <v>41</v>
      </c>
      <c r="D21" s="1">
        <v>3</v>
      </c>
      <c r="E21" s="1">
        <f>COUNTIF(K19:K37,"&gt;400")+COUNTIF(O19:O37,"&gt;400")-E20-E19</f>
        <v>8</v>
      </c>
      <c r="F21" s="6">
        <f t="shared" si="1"/>
        <v>0.23529411764705882</v>
      </c>
      <c r="G21" s="6">
        <f t="shared" si="2"/>
        <v>0.70588235294117641</v>
      </c>
      <c r="I21" s="1"/>
      <c r="J21" s="1">
        <v>1610</v>
      </c>
      <c r="K21" s="1">
        <f t="shared" si="3"/>
        <v>280</v>
      </c>
      <c r="M21" s="1"/>
      <c r="N21" s="1">
        <v>1240</v>
      </c>
      <c r="O21" s="1">
        <f t="shared" si="4"/>
        <v>438</v>
      </c>
    </row>
    <row r="22" spans="3:15" x14ac:dyDescent="0.25">
      <c r="C22" s="1" t="s">
        <v>42</v>
      </c>
      <c r="D22" s="1">
        <v>0</v>
      </c>
      <c r="E22" s="1">
        <f>COUNTIF(K19:K37,"&gt;0")+COUNTIF(O19:O37,"&gt;0")-E20-E19-E21</f>
        <v>13</v>
      </c>
      <c r="F22" s="6">
        <f t="shared" si="1"/>
        <v>0.38235294117647056</v>
      </c>
      <c r="G22" s="6">
        <f t="shared" si="2"/>
        <v>0</v>
      </c>
      <c r="I22" s="1"/>
      <c r="J22" s="1">
        <v>1900</v>
      </c>
      <c r="K22" s="1">
        <f t="shared" si="3"/>
        <v>290</v>
      </c>
      <c r="M22" s="1"/>
      <c r="N22" s="1">
        <v>1520</v>
      </c>
      <c r="O22" s="1">
        <f t="shared" si="4"/>
        <v>280</v>
      </c>
    </row>
    <row r="23" spans="3:15" x14ac:dyDescent="0.25">
      <c r="C23" s="1"/>
      <c r="D23" s="1" t="s">
        <v>45</v>
      </c>
      <c r="E23" s="1">
        <f>SUM(E19:E22)</f>
        <v>34</v>
      </c>
      <c r="F23" s="1"/>
      <c r="G23" s="6">
        <f>SUM(G19:G22)</f>
        <v>2.5294117647058822</v>
      </c>
      <c r="I23" s="1"/>
      <c r="J23" s="1">
        <v>2640</v>
      </c>
      <c r="K23" s="1">
        <f t="shared" si="3"/>
        <v>740</v>
      </c>
      <c r="M23" s="1"/>
      <c r="N23" s="1">
        <v>2410</v>
      </c>
      <c r="O23" s="1">
        <f t="shared" si="4"/>
        <v>890</v>
      </c>
    </row>
    <row r="24" spans="3:15" x14ac:dyDescent="0.25">
      <c r="I24" s="1"/>
      <c r="J24" s="1">
        <v>3480</v>
      </c>
      <c r="K24" s="1">
        <f t="shared" si="3"/>
        <v>840</v>
      </c>
      <c r="M24" s="1"/>
      <c r="N24" s="1">
        <v>2970</v>
      </c>
      <c r="O24" s="1">
        <f t="shared" si="4"/>
        <v>560</v>
      </c>
    </row>
    <row r="25" spans="3:15" x14ac:dyDescent="0.25">
      <c r="I25" s="1"/>
      <c r="J25" s="1">
        <v>4460</v>
      </c>
      <c r="K25" s="1">
        <f t="shared" si="3"/>
        <v>980</v>
      </c>
      <c r="M25" s="1"/>
      <c r="N25" s="1">
        <v>3410</v>
      </c>
      <c r="O25" s="1">
        <f t="shared" si="4"/>
        <v>440</v>
      </c>
    </row>
    <row r="26" spans="3:15" x14ac:dyDescent="0.25">
      <c r="I26" s="1"/>
      <c r="J26" s="1">
        <v>4700</v>
      </c>
      <c r="K26" s="1">
        <f t="shared" si="3"/>
        <v>240</v>
      </c>
      <c r="M26" s="1"/>
      <c r="N26" s="1">
        <v>4170</v>
      </c>
      <c r="O26" s="1">
        <f t="shared" si="4"/>
        <v>760</v>
      </c>
    </row>
    <row r="27" spans="3:15" x14ac:dyDescent="0.25">
      <c r="I27" s="1"/>
      <c r="J27" s="1">
        <v>5270</v>
      </c>
      <c r="K27" s="1">
        <f t="shared" si="3"/>
        <v>570</v>
      </c>
      <c r="M27" s="1"/>
      <c r="N27" s="1">
        <v>4450</v>
      </c>
      <c r="O27" s="1">
        <f t="shared" si="4"/>
        <v>280</v>
      </c>
    </row>
    <row r="28" spans="3:15" x14ac:dyDescent="0.25">
      <c r="I28" s="1"/>
      <c r="J28" s="1">
        <v>5510</v>
      </c>
      <c r="K28" s="1">
        <f t="shared" si="3"/>
        <v>240</v>
      </c>
      <c r="M28" s="1"/>
      <c r="N28" s="1">
        <v>5330</v>
      </c>
      <c r="O28" s="1">
        <f t="shared" si="4"/>
        <v>880</v>
      </c>
    </row>
    <row r="29" spans="3:15" x14ac:dyDescent="0.25">
      <c r="I29" s="1"/>
      <c r="J29" s="1">
        <v>5930</v>
      </c>
      <c r="K29" s="1">
        <f t="shared" si="3"/>
        <v>420</v>
      </c>
      <c r="M29" s="1"/>
      <c r="N29" s="1">
        <v>6120</v>
      </c>
      <c r="O29" s="1">
        <f t="shared" si="4"/>
        <v>790</v>
      </c>
    </row>
    <row r="30" spans="3:15" x14ac:dyDescent="0.25">
      <c r="I30" s="1"/>
      <c r="J30" s="1">
        <v>6510</v>
      </c>
      <c r="K30" s="1">
        <f t="shared" si="3"/>
        <v>580</v>
      </c>
      <c r="M30" s="1"/>
      <c r="N30" s="1">
        <v>6370</v>
      </c>
      <c r="O30" s="1">
        <f t="shared" si="4"/>
        <v>250</v>
      </c>
    </row>
    <row r="31" spans="3:15" x14ac:dyDescent="0.25">
      <c r="I31" s="1"/>
      <c r="J31" s="1">
        <v>7420</v>
      </c>
      <c r="K31" s="1">
        <f t="shared" si="3"/>
        <v>910</v>
      </c>
      <c r="M31" s="1"/>
      <c r="N31" s="1">
        <v>6790</v>
      </c>
      <c r="O31" s="1">
        <f t="shared" si="4"/>
        <v>420</v>
      </c>
    </row>
    <row r="32" spans="3:15" x14ac:dyDescent="0.25">
      <c r="I32" s="1"/>
      <c r="J32" s="1">
        <v>7670</v>
      </c>
      <c r="K32" s="1">
        <f t="shared" si="3"/>
        <v>250</v>
      </c>
      <c r="M32" s="1"/>
      <c r="N32" s="1">
        <v>7090</v>
      </c>
      <c r="O32" s="1">
        <f t="shared" si="4"/>
        <v>300</v>
      </c>
    </row>
    <row r="33" spans="3:15" x14ac:dyDescent="0.25">
      <c r="I33" s="1"/>
      <c r="J33" s="1">
        <v>8120</v>
      </c>
      <c r="K33" s="1">
        <f t="shared" si="3"/>
        <v>450</v>
      </c>
      <c r="M33" s="1"/>
      <c r="N33" s="1">
        <v>7390</v>
      </c>
      <c r="O33" s="1">
        <f t="shared" si="4"/>
        <v>300</v>
      </c>
    </row>
    <row r="34" spans="3:15" x14ac:dyDescent="0.25">
      <c r="I34" s="1"/>
      <c r="J34" s="1">
        <v>8570</v>
      </c>
      <c r="K34" s="1">
        <f t="shared" si="3"/>
        <v>450</v>
      </c>
      <c r="M34" s="1"/>
      <c r="N34" s="1">
        <v>7780</v>
      </c>
      <c r="O34" s="1">
        <f t="shared" si="4"/>
        <v>390</v>
      </c>
    </row>
    <row r="35" spans="3:15" x14ac:dyDescent="0.25">
      <c r="I35" s="1"/>
      <c r="J35" s="1">
        <v>8910</v>
      </c>
      <c r="K35" s="1">
        <f t="shared" si="3"/>
        <v>340</v>
      </c>
      <c r="M35" s="1"/>
      <c r="N35" s="1">
        <v>8740</v>
      </c>
      <c r="O35" s="1">
        <f t="shared" si="4"/>
        <v>960</v>
      </c>
    </row>
    <row r="36" spans="3:15" x14ac:dyDescent="0.25">
      <c r="I36" s="1"/>
      <c r="J36" s="1"/>
      <c r="K36" s="1"/>
      <c r="M36" s="1"/>
      <c r="N36" s="1"/>
      <c r="O36" s="1"/>
    </row>
    <row r="37" spans="3:15" x14ac:dyDescent="0.25">
      <c r="I37" s="1"/>
      <c r="J37" s="1"/>
      <c r="K37" s="1"/>
      <c r="M37" s="1"/>
      <c r="N37" s="1"/>
      <c r="O37" s="1"/>
    </row>
    <row r="40" spans="3:15" x14ac:dyDescent="0.25">
      <c r="C40" s="4" t="s">
        <v>4</v>
      </c>
      <c r="D40" s="1" t="s">
        <v>51</v>
      </c>
      <c r="E40" s="1" t="s">
        <v>44</v>
      </c>
      <c r="F40" s="1" t="s">
        <v>56</v>
      </c>
      <c r="G40" s="1" t="s">
        <v>31</v>
      </c>
      <c r="I40" t="s">
        <v>133</v>
      </c>
      <c r="J40" t="s">
        <v>131</v>
      </c>
      <c r="K40" t="s">
        <v>132</v>
      </c>
    </row>
    <row r="41" spans="3:15" x14ac:dyDescent="0.25">
      <c r="C41" s="1" t="s">
        <v>46</v>
      </c>
      <c r="D41" s="1">
        <v>3</v>
      </c>
      <c r="E41" s="1">
        <v>34</v>
      </c>
      <c r="F41" s="1">
        <f>E41/((J35+N35)/1000)</f>
        <v>1.9263456090651561</v>
      </c>
      <c r="G41" s="1">
        <f>-4*F41+4</f>
        <v>-3.7053824362606242</v>
      </c>
      <c r="I41">
        <v>32</v>
      </c>
      <c r="J41">
        <v>5</v>
      </c>
      <c r="K41">
        <f>((I41/2)^2+J41^2)/(2*J41)</f>
        <v>28.1</v>
      </c>
    </row>
    <row r="42" spans="3:15" x14ac:dyDescent="0.25">
      <c r="C42" s="1" t="s">
        <v>47</v>
      </c>
      <c r="D42" s="1">
        <v>2</v>
      </c>
      <c r="F42" s="1"/>
      <c r="G42" s="1"/>
    </row>
    <row r="43" spans="3:15" x14ac:dyDescent="0.25">
      <c r="C43" s="1" t="s">
        <v>48</v>
      </c>
      <c r="D43" s="1">
        <v>1</v>
      </c>
      <c r="E43" s="1"/>
      <c r="F43" s="1"/>
      <c r="G43" s="1"/>
    </row>
    <row r="44" spans="3:15" x14ac:dyDescent="0.25">
      <c r="C44" s="1" t="s">
        <v>49</v>
      </c>
      <c r="D44" s="1">
        <v>0</v>
      </c>
      <c r="E44" s="1"/>
      <c r="F44" s="1"/>
      <c r="G44" s="1"/>
    </row>
    <row r="45" spans="3:15" x14ac:dyDescent="0.25">
      <c r="F45" s="1" t="s">
        <v>52</v>
      </c>
      <c r="G45" s="1">
        <v>0</v>
      </c>
      <c r="J45" s="5"/>
    </row>
    <row r="47" spans="3:15" x14ac:dyDescent="0.25">
      <c r="C47" s="8" t="s">
        <v>5</v>
      </c>
      <c r="D47" s="1" t="s">
        <v>51</v>
      </c>
      <c r="E47" s="1" t="s">
        <v>44</v>
      </c>
      <c r="F47" s="1" t="s">
        <v>32</v>
      </c>
      <c r="G47" s="1" t="s">
        <v>31</v>
      </c>
    </row>
    <row r="48" spans="3:15" ht="30" x14ac:dyDescent="0.25">
      <c r="C48" s="2" t="s">
        <v>153</v>
      </c>
      <c r="D48" s="1">
        <v>3</v>
      </c>
      <c r="E48" s="1">
        <v>1</v>
      </c>
      <c r="F48" s="1">
        <f>E48/SUM(E48:E49)</f>
        <v>1</v>
      </c>
      <c r="G48" s="1">
        <f>D48*F48</f>
        <v>3</v>
      </c>
    </row>
    <row r="49" spans="3:7" ht="30" x14ac:dyDescent="0.25">
      <c r="C49" s="2" t="s">
        <v>50</v>
      </c>
      <c r="D49" s="1">
        <v>0</v>
      </c>
      <c r="E49" s="1">
        <v>0</v>
      </c>
      <c r="F49" s="1">
        <f>E49/SUM(E48:E49)</f>
        <v>0</v>
      </c>
      <c r="G49" s="1">
        <f>D49*F49</f>
        <v>0</v>
      </c>
    </row>
    <row r="50" spans="3:7" x14ac:dyDescent="0.25">
      <c r="F50" s="1" t="s">
        <v>45</v>
      </c>
      <c r="G50" s="1">
        <f>SUM(G48:G49)</f>
        <v>3</v>
      </c>
    </row>
    <row r="52" spans="3:7" x14ac:dyDescent="0.25">
      <c r="C52" s="8" t="s">
        <v>6</v>
      </c>
      <c r="D52" s="1" t="s">
        <v>51</v>
      </c>
      <c r="E52" s="1" t="s">
        <v>44</v>
      </c>
      <c r="F52" s="1" t="s">
        <v>57</v>
      </c>
      <c r="G52" s="1" t="s">
        <v>31</v>
      </c>
    </row>
    <row r="53" spans="3:7" x14ac:dyDescent="0.25">
      <c r="C53" s="1" t="s">
        <v>53</v>
      </c>
      <c r="D53" s="1">
        <v>2</v>
      </c>
      <c r="E53" s="1"/>
      <c r="F53" s="1"/>
      <c r="G53" s="1">
        <v>0</v>
      </c>
    </row>
    <row r="54" spans="3:7" x14ac:dyDescent="0.25">
      <c r="C54" s="1" t="s">
        <v>54</v>
      </c>
      <c r="D54" s="1">
        <v>1</v>
      </c>
      <c r="E54" s="1"/>
      <c r="F54" s="1"/>
      <c r="G54" s="1">
        <v>1</v>
      </c>
    </row>
    <row r="55" spans="3:7" x14ac:dyDescent="0.25">
      <c r="C55" s="1" t="s">
        <v>55</v>
      </c>
      <c r="D55" s="1">
        <v>0</v>
      </c>
      <c r="E55" s="1"/>
      <c r="F55" s="1"/>
      <c r="G55" s="1">
        <v>0</v>
      </c>
    </row>
    <row r="56" spans="3:7" x14ac:dyDescent="0.25">
      <c r="F56" s="1" t="s">
        <v>52</v>
      </c>
      <c r="G56" s="1">
        <f>SUM(G53:G55)</f>
        <v>1</v>
      </c>
    </row>
    <row r="58" spans="3:7" x14ac:dyDescent="0.25">
      <c r="C58" s="1" t="s">
        <v>58</v>
      </c>
      <c r="D58" s="1" t="s">
        <v>51</v>
      </c>
      <c r="E58" s="1" t="s">
        <v>44</v>
      </c>
      <c r="F58" s="1" t="s">
        <v>57</v>
      </c>
      <c r="G58" s="1" t="s">
        <v>31</v>
      </c>
    </row>
    <row r="59" spans="3:7" x14ac:dyDescent="0.25">
      <c r="C59" s="1" t="s">
        <v>59</v>
      </c>
      <c r="D59" s="1">
        <v>1</v>
      </c>
      <c r="E59" s="1">
        <v>2</v>
      </c>
      <c r="F59" s="1">
        <f>E59/30</f>
        <v>6.6666666666666666E-2</v>
      </c>
      <c r="G59" s="1">
        <f>D59*F59</f>
        <v>6.6666666666666666E-2</v>
      </c>
    </row>
    <row r="60" spans="3:7" x14ac:dyDescent="0.25">
      <c r="C60" s="8" t="s">
        <v>60</v>
      </c>
      <c r="D60" s="1">
        <v>1</v>
      </c>
      <c r="E60" s="1">
        <v>14</v>
      </c>
      <c r="F60" s="1">
        <f>E60/30</f>
        <v>0.46666666666666667</v>
      </c>
      <c r="G60" s="1">
        <f>D60*F60</f>
        <v>0.46666666666666667</v>
      </c>
    </row>
    <row r="61" spans="3:7" x14ac:dyDescent="0.25">
      <c r="F61" s="7" t="s">
        <v>52</v>
      </c>
      <c r="G61" s="7">
        <f>SUM(G59:G60)</f>
        <v>0.53333333333333333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zoomScale="108" workbookViewId="0">
      <selection activeCell="C17" sqref="C16:C17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9" max="9" width="12.140625" customWidth="1"/>
    <col min="10" max="10" width="13.5703125" customWidth="1"/>
    <col min="12" max="12" width="10" customWidth="1"/>
    <col min="14" max="14" width="10.5703125" customWidth="1"/>
    <col min="15" max="15" width="11" customWidth="1"/>
    <col min="16" max="16" width="13.28515625" customWidth="1"/>
  </cols>
  <sheetData>
    <row r="3" spans="3:18" x14ac:dyDescent="0.25">
      <c r="I3" t="s">
        <v>163</v>
      </c>
      <c r="N3" t="s">
        <v>164</v>
      </c>
    </row>
    <row r="4" spans="3:18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H4" s="27" t="s">
        <v>161</v>
      </c>
      <c r="I4" t="s">
        <v>151</v>
      </c>
      <c r="J4" t="s">
        <v>134</v>
      </c>
      <c r="K4" t="s">
        <v>135</v>
      </c>
      <c r="L4" t="s">
        <v>139</v>
      </c>
      <c r="N4" t="s">
        <v>162</v>
      </c>
      <c r="O4" t="s">
        <v>151</v>
      </c>
      <c r="P4" t="s">
        <v>134</v>
      </c>
      <c r="Q4" t="s">
        <v>135</v>
      </c>
      <c r="R4" t="s">
        <v>139</v>
      </c>
    </row>
    <row r="5" spans="3:18" ht="45" x14ac:dyDescent="0.25">
      <c r="C5" s="2" t="s">
        <v>73</v>
      </c>
      <c r="D5" s="1">
        <v>8</v>
      </c>
      <c r="E5" s="1">
        <f>SUMIF(J5:J35,"*Fysisk*",L5:L35)+SUMIF(P5:P33,"*Fysisk*",R5:R33)</f>
        <v>2800</v>
      </c>
      <c r="F5" s="6">
        <f>E5/SUM(E5:E8)</f>
        <v>0.1599086236436322</v>
      </c>
      <c r="G5" s="1">
        <f>F5*D5</f>
        <v>1.2792689891490576</v>
      </c>
      <c r="J5" t="s">
        <v>76</v>
      </c>
      <c r="K5">
        <v>1020</v>
      </c>
      <c r="L5">
        <f>K5</f>
        <v>1020</v>
      </c>
      <c r="P5" t="s">
        <v>76</v>
      </c>
      <c r="Q5">
        <v>1760</v>
      </c>
      <c r="R5">
        <f>Q5</f>
        <v>1760</v>
      </c>
    </row>
    <row r="6" spans="3:18" ht="45" x14ac:dyDescent="0.25">
      <c r="C6" s="2" t="s">
        <v>74</v>
      </c>
      <c r="D6" s="1">
        <v>6</v>
      </c>
      <c r="E6" s="1">
        <f>SUMIF(J5:J35,"*Visuell*",L5:L35)+SUMIF(P5:P33,"*Visuell*",R5:R33)</f>
        <v>150</v>
      </c>
      <c r="F6" s="6">
        <f>E6/SUM(E5:E8)</f>
        <v>8.5665334094802963E-3</v>
      </c>
      <c r="G6" s="1">
        <f t="shared" ref="G6:G8" si="0">F6*D6</f>
        <v>5.1399200456881775E-2</v>
      </c>
      <c r="I6" t="s">
        <v>160</v>
      </c>
      <c r="J6" s="9" t="s">
        <v>138</v>
      </c>
      <c r="K6">
        <v>1200</v>
      </c>
      <c r="L6">
        <f>K6-K5</f>
        <v>180</v>
      </c>
      <c r="O6" t="s">
        <v>160</v>
      </c>
      <c r="P6" t="s">
        <v>138</v>
      </c>
      <c r="Q6">
        <v>1850</v>
      </c>
      <c r="R6">
        <f>Q6-Q5</f>
        <v>90</v>
      </c>
    </row>
    <row r="7" spans="3:18" x14ac:dyDescent="0.25">
      <c r="C7" s="2" t="s">
        <v>75</v>
      </c>
      <c r="D7" s="1">
        <v>4</v>
      </c>
      <c r="E7" s="1">
        <f>SUMIF(J5:J35,"*linje*",L5:L35)+SUMIF(P5:P33,"*linje*",R5:R33)</f>
        <v>0</v>
      </c>
      <c r="F7" s="6">
        <f>E7/SUM(E5:E8)</f>
        <v>0</v>
      </c>
      <c r="G7" s="1">
        <f t="shared" si="0"/>
        <v>0</v>
      </c>
      <c r="J7" s="9" t="s">
        <v>76</v>
      </c>
      <c r="K7">
        <v>3020</v>
      </c>
      <c r="L7">
        <f t="shared" ref="L7:L18" si="1">K7-K6</f>
        <v>1820</v>
      </c>
      <c r="P7" t="s">
        <v>76</v>
      </c>
      <c r="Q7">
        <v>2980</v>
      </c>
      <c r="R7">
        <f t="shared" ref="R7:R23" si="2">Q7-Q6</f>
        <v>1130</v>
      </c>
    </row>
    <row r="8" spans="3:18" x14ac:dyDescent="0.25">
      <c r="C8" s="1" t="s">
        <v>76</v>
      </c>
      <c r="D8" s="1">
        <v>0</v>
      </c>
      <c r="E8" s="1">
        <f>SUMIF(J5:J35,"*Blandtrafik*",L5:L35)+SUMIF(P5:P33,"*Blandtrafik*",R5:R33)</f>
        <v>14560</v>
      </c>
      <c r="F8" s="6">
        <f>E8/SUM(E5:E8)</f>
        <v>0.83152484294688744</v>
      </c>
      <c r="G8" s="1">
        <f t="shared" si="0"/>
        <v>0</v>
      </c>
      <c r="I8" t="s">
        <v>160</v>
      </c>
      <c r="J8" t="s">
        <v>138</v>
      </c>
      <c r="K8">
        <v>3390</v>
      </c>
      <c r="L8">
        <f t="shared" si="1"/>
        <v>370</v>
      </c>
      <c r="O8" t="s">
        <v>160</v>
      </c>
      <c r="P8" t="s">
        <v>138</v>
      </c>
      <c r="Q8">
        <v>3120</v>
      </c>
      <c r="R8">
        <f t="shared" si="2"/>
        <v>140</v>
      </c>
    </row>
    <row r="9" spans="3:18" x14ac:dyDescent="0.25">
      <c r="D9" s="1" t="s">
        <v>143</v>
      </c>
      <c r="E9" s="1">
        <f>SUM(E5:E8)</f>
        <v>17510</v>
      </c>
      <c r="F9" s="7" t="s">
        <v>38</v>
      </c>
      <c r="G9" s="10">
        <f>SUM(G5:G8)</f>
        <v>1.3306681896059394</v>
      </c>
      <c r="J9" t="s">
        <v>76</v>
      </c>
      <c r="K9">
        <v>3890</v>
      </c>
      <c r="L9">
        <f t="shared" si="1"/>
        <v>500</v>
      </c>
      <c r="P9" t="s">
        <v>76</v>
      </c>
      <c r="Q9">
        <v>3280</v>
      </c>
      <c r="R9">
        <f t="shared" si="2"/>
        <v>160</v>
      </c>
    </row>
    <row r="10" spans="3:18" x14ac:dyDescent="0.25">
      <c r="I10" t="s">
        <v>160</v>
      </c>
      <c r="J10" t="s">
        <v>138</v>
      </c>
      <c r="K10">
        <v>4100</v>
      </c>
      <c r="L10">
        <f t="shared" si="1"/>
        <v>210</v>
      </c>
      <c r="O10" t="s">
        <v>160</v>
      </c>
      <c r="P10" t="s">
        <v>136</v>
      </c>
      <c r="Q10">
        <v>3350</v>
      </c>
      <c r="R10">
        <f t="shared" si="2"/>
        <v>70</v>
      </c>
    </row>
    <row r="11" spans="3:18" x14ac:dyDescent="0.25">
      <c r="E11">
        <f>K35+P33</f>
        <v>0</v>
      </c>
      <c r="H11" t="s">
        <v>160</v>
      </c>
      <c r="I11" t="s">
        <v>160</v>
      </c>
      <c r="J11" t="s">
        <v>138</v>
      </c>
      <c r="K11">
        <v>4390</v>
      </c>
      <c r="L11">
        <f t="shared" si="1"/>
        <v>290</v>
      </c>
      <c r="O11" t="s">
        <v>160</v>
      </c>
      <c r="P11" t="s">
        <v>138</v>
      </c>
      <c r="Q11">
        <v>3430</v>
      </c>
      <c r="R11">
        <f t="shared" si="2"/>
        <v>80</v>
      </c>
    </row>
    <row r="12" spans="3:18" x14ac:dyDescent="0.25">
      <c r="E12">
        <f>SUM(E5:E8)</f>
        <v>17510</v>
      </c>
      <c r="J12" t="s">
        <v>76</v>
      </c>
      <c r="K12">
        <v>5230</v>
      </c>
      <c r="L12">
        <f t="shared" si="1"/>
        <v>840</v>
      </c>
      <c r="O12" t="s">
        <v>160</v>
      </c>
      <c r="P12" t="s">
        <v>138</v>
      </c>
      <c r="Q12">
        <v>3510</v>
      </c>
      <c r="R12">
        <f t="shared" si="2"/>
        <v>80</v>
      </c>
    </row>
    <row r="13" spans="3:18" x14ac:dyDescent="0.25">
      <c r="I13" t="s">
        <v>160</v>
      </c>
      <c r="J13" t="s">
        <v>138</v>
      </c>
      <c r="K13">
        <v>5350</v>
      </c>
      <c r="L13">
        <f t="shared" si="1"/>
        <v>120</v>
      </c>
      <c r="P13" t="s">
        <v>76</v>
      </c>
      <c r="Q13">
        <v>3630</v>
      </c>
      <c r="R13">
        <f t="shared" si="2"/>
        <v>120</v>
      </c>
    </row>
    <row r="14" spans="3:18" x14ac:dyDescent="0.25">
      <c r="E14" t="s">
        <v>76</v>
      </c>
      <c r="J14" t="s">
        <v>76</v>
      </c>
      <c r="K14">
        <v>5670</v>
      </c>
      <c r="L14">
        <f t="shared" si="1"/>
        <v>320</v>
      </c>
      <c r="O14" t="s">
        <v>160</v>
      </c>
      <c r="P14" t="s">
        <v>136</v>
      </c>
      <c r="Q14">
        <v>3710</v>
      </c>
      <c r="R14">
        <f t="shared" si="2"/>
        <v>80</v>
      </c>
    </row>
    <row r="15" spans="3:18" x14ac:dyDescent="0.25">
      <c r="E15" s="9" t="s">
        <v>136</v>
      </c>
      <c r="I15" t="s">
        <v>160</v>
      </c>
      <c r="J15" t="s">
        <v>138</v>
      </c>
      <c r="K15">
        <v>5970</v>
      </c>
      <c r="L15">
        <f t="shared" si="1"/>
        <v>300</v>
      </c>
      <c r="P15" t="s">
        <v>76</v>
      </c>
      <c r="Q15">
        <v>4490</v>
      </c>
      <c r="R15">
        <f t="shared" si="2"/>
        <v>780</v>
      </c>
    </row>
    <row r="16" spans="3:18" x14ac:dyDescent="0.25">
      <c r="E16" t="s">
        <v>137</v>
      </c>
      <c r="J16" t="s">
        <v>76</v>
      </c>
      <c r="K16">
        <v>6710</v>
      </c>
      <c r="L16">
        <f t="shared" si="1"/>
        <v>740</v>
      </c>
      <c r="N16" t="s">
        <v>160</v>
      </c>
      <c r="O16" t="s">
        <v>160</v>
      </c>
      <c r="P16" t="s">
        <v>138</v>
      </c>
      <c r="Q16">
        <v>4620</v>
      </c>
      <c r="R16">
        <f t="shared" si="2"/>
        <v>130</v>
      </c>
    </row>
    <row r="17" spans="5:18" x14ac:dyDescent="0.25">
      <c r="E17" t="s">
        <v>138</v>
      </c>
      <c r="I17" t="s">
        <v>160</v>
      </c>
      <c r="J17" t="s">
        <v>138</v>
      </c>
      <c r="K17">
        <v>6800</v>
      </c>
      <c r="L17">
        <f t="shared" si="1"/>
        <v>90</v>
      </c>
      <c r="P17" t="s">
        <v>76</v>
      </c>
      <c r="Q17">
        <v>4680</v>
      </c>
      <c r="R17">
        <f t="shared" si="2"/>
        <v>60</v>
      </c>
    </row>
    <row r="18" spans="5:18" x14ac:dyDescent="0.25">
      <c r="J18" t="s">
        <v>76</v>
      </c>
      <c r="K18">
        <v>8720</v>
      </c>
      <c r="L18">
        <f t="shared" si="1"/>
        <v>1920</v>
      </c>
      <c r="O18" t="s">
        <v>160</v>
      </c>
      <c r="P18" t="s">
        <v>138</v>
      </c>
      <c r="Q18">
        <v>4900</v>
      </c>
      <c r="R18">
        <f t="shared" si="2"/>
        <v>220</v>
      </c>
    </row>
    <row r="19" spans="5:18" x14ac:dyDescent="0.25">
      <c r="P19" t="s">
        <v>76</v>
      </c>
      <c r="Q19">
        <v>5410</v>
      </c>
      <c r="R19">
        <f t="shared" si="2"/>
        <v>510</v>
      </c>
    </row>
    <row r="20" spans="5:18" x14ac:dyDescent="0.25">
      <c r="O20" t="s">
        <v>160</v>
      </c>
      <c r="P20" t="s">
        <v>138</v>
      </c>
      <c r="Q20">
        <v>5750</v>
      </c>
      <c r="R20">
        <f t="shared" si="2"/>
        <v>340</v>
      </c>
    </row>
    <row r="21" spans="5:18" x14ac:dyDescent="0.25">
      <c r="P21" t="s">
        <v>76</v>
      </c>
      <c r="Q21">
        <v>7580</v>
      </c>
      <c r="R21">
        <f t="shared" si="2"/>
        <v>1830</v>
      </c>
    </row>
    <row r="22" spans="5:18" x14ac:dyDescent="0.25">
      <c r="O22" t="s">
        <v>160</v>
      </c>
      <c r="P22" t="s">
        <v>138</v>
      </c>
      <c r="Q22">
        <v>7740</v>
      </c>
      <c r="R22">
        <f t="shared" si="2"/>
        <v>160</v>
      </c>
    </row>
    <row r="23" spans="5:18" x14ac:dyDescent="0.25">
      <c r="P23" t="s">
        <v>76</v>
      </c>
      <c r="Q23">
        <v>8790</v>
      </c>
      <c r="R23">
        <f t="shared" si="2"/>
        <v>1050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v>1</v>
      </c>
      <c r="F42" s="6">
        <f>E42/(E42+E43)</f>
        <v>1</v>
      </c>
      <c r="G42" s="1">
        <f>F42*D42</f>
        <v>4</v>
      </c>
    </row>
    <row r="43" spans="3:20" ht="30" x14ac:dyDescent="0.25">
      <c r="C43" s="2" t="s">
        <v>78</v>
      </c>
      <c r="D43" s="1">
        <v>0</v>
      </c>
      <c r="E43" s="1"/>
      <c r="F43" s="6">
        <f>E43/(E42+E43)</f>
        <v>0</v>
      </c>
      <c r="G43" s="1">
        <f>F43*D43</f>
        <v>0</v>
      </c>
    </row>
    <row r="44" spans="3:20" x14ac:dyDescent="0.25">
      <c r="F44" s="1" t="s">
        <v>38</v>
      </c>
      <c r="G44" s="1">
        <f>SUM(G42:G43)</f>
        <v>4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>
        <f>SUM(E5:E7)-E50</f>
        <v>2530</v>
      </c>
      <c r="F49" s="1">
        <f>E49/SUM(E49:E50)</f>
        <v>0.85762711864406782</v>
      </c>
      <c r="G49" s="1">
        <f>F49*D49</f>
        <v>2.5728813559322035</v>
      </c>
    </row>
    <row r="50" spans="3:7" x14ac:dyDescent="0.25">
      <c r="C50" s="1" t="s">
        <v>82</v>
      </c>
      <c r="D50" s="1">
        <v>0</v>
      </c>
      <c r="E50" s="1">
        <f>L11+R16</f>
        <v>420</v>
      </c>
      <c r="F50" s="1">
        <v>0</v>
      </c>
      <c r="G50" s="1"/>
    </row>
    <row r="51" spans="3:7" x14ac:dyDescent="0.25">
      <c r="F51" s="7" t="s">
        <v>38</v>
      </c>
      <c r="G51" s="7">
        <f>SUM(G49:G50)</f>
        <v>2.5728813559322035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>
        <v>4</v>
      </c>
      <c r="F55" s="1">
        <f>E55/(SUM(E5:E7)/1000)</f>
        <v>1.3559322033898304</v>
      </c>
      <c r="G55" s="1">
        <f>2-4*F55</f>
        <v>-3.4237288135593218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v>0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>
        <v>35</v>
      </c>
      <c r="F62" s="6">
        <f>E62/(E9/1000)</f>
        <v>1.9988577955454025</v>
      </c>
      <c r="G62" s="1">
        <f>3-(3*F62)</f>
        <v>-2.9965733866362072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>
        <v>2</v>
      </c>
      <c r="F69" s="6">
        <f>E69/(E9/1000)</f>
        <v>0.11422044545973728</v>
      </c>
      <c r="G69" s="1">
        <f>3-(6*F69)</f>
        <v>2.3146773272415766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2.3146773272415766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>
        <f>5/6</f>
        <v>0.83333333333333337</v>
      </c>
      <c r="G77" s="1"/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D77*F77</f>
        <v>5.8333333333333339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>
        <v>0</v>
      </c>
      <c r="F83" s="6">
        <f>E83/(SUM(E5:E7)/1000)</f>
        <v>0</v>
      </c>
      <c r="G83" s="1">
        <f>3-1.5*F83</f>
        <v>3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28</v>
      </c>
      <c r="F99" s="6">
        <f>E99/SUM(E97:E100)</f>
        <v>0.93333333333333335</v>
      </c>
      <c r="G99" s="1">
        <f>D99*F99</f>
        <v>4.666666666666667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2</v>
      </c>
      <c r="F100" s="6">
        <f>E100/SUM(E97:E100)</f>
        <v>6.6666666666666666E-2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4.666666666666667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0</v>
      </c>
      <c r="F105" s="6">
        <f>E105/SUM(E105:E108)</f>
        <v>0</v>
      </c>
      <c r="G105" s="1">
        <f>D105*F105</f>
        <v>0</v>
      </c>
    </row>
    <row r="106" spans="3:8" ht="45" x14ac:dyDescent="0.25">
      <c r="C106" s="2" t="s">
        <v>109</v>
      </c>
      <c r="D106" s="1">
        <v>2</v>
      </c>
      <c r="E106" s="6">
        <v>6</v>
      </c>
      <c r="F106" s="6">
        <f>E106/SUM(E105:E108)</f>
        <v>0.2</v>
      </c>
      <c r="G106" s="1">
        <f t="shared" ref="G106:G108" si="3">D106*F106</f>
        <v>0.4</v>
      </c>
    </row>
    <row r="107" spans="3:8" ht="45" x14ac:dyDescent="0.25">
      <c r="C107" s="2" t="s">
        <v>110</v>
      </c>
      <c r="D107" s="1">
        <v>1</v>
      </c>
      <c r="E107" s="6">
        <v>21</v>
      </c>
      <c r="F107" s="6">
        <f>E107/SUM(E105:E108)</f>
        <v>0.7</v>
      </c>
      <c r="G107" s="1">
        <f t="shared" si="3"/>
        <v>0.7</v>
      </c>
    </row>
    <row r="108" spans="3:8" x14ac:dyDescent="0.25">
      <c r="C108" s="1" t="s">
        <v>111</v>
      </c>
      <c r="D108" s="1">
        <v>0</v>
      </c>
      <c r="E108" s="6">
        <v>3</v>
      </c>
      <c r="F108" s="6">
        <f>E108/SUM(E105:E108)</f>
        <v>0.1</v>
      </c>
      <c r="G108" s="1">
        <f t="shared" si="3"/>
        <v>0</v>
      </c>
    </row>
    <row r="109" spans="3:8" x14ac:dyDescent="0.25">
      <c r="E109" s="7" t="s">
        <v>38</v>
      </c>
      <c r="F109" s="1">
        <f>SUM(F105:F108)</f>
        <v>0.99999999999999989</v>
      </c>
      <c r="G109" s="10">
        <f>SUM(G105:G108)</f>
        <v>1.1000000000000001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tabSelected="1" workbookViewId="0">
      <selection activeCell="O6" sqref="O6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2</v>
      </c>
      <c r="G5" t="s">
        <v>198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2</v>
      </c>
      <c r="G6" t="s">
        <v>197</v>
      </c>
    </row>
    <row r="7" spans="3:7" x14ac:dyDescent="0.25">
      <c r="E7" s="1" t="s">
        <v>38</v>
      </c>
      <c r="F7" s="1">
        <f>SUM(F5:F6)</f>
        <v>4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21</v>
      </c>
      <c r="F10" s="1">
        <f>E10/30</f>
        <v>0.7</v>
      </c>
      <c r="G10" s="1">
        <f>D10*F10</f>
        <v>1.4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3.4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>
        <v>0</v>
      </c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4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workbookViewId="0">
      <selection activeCell="K20" sqref="K20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140</v>
      </c>
      <c r="D4" s="1" t="s">
        <v>51</v>
      </c>
      <c r="E4" s="1" t="s">
        <v>32</v>
      </c>
      <c r="F4" s="1" t="s">
        <v>31</v>
      </c>
    </row>
    <row r="5" spans="3:8" x14ac:dyDescent="0.25">
      <c r="C5" s="1" t="s">
        <v>112</v>
      </c>
      <c r="D5" s="1">
        <v>4</v>
      </c>
      <c r="E5" s="1">
        <v>0</v>
      </c>
      <c r="F5" s="1"/>
      <c r="H5" t="s">
        <v>165</v>
      </c>
    </row>
    <row r="6" spans="3:8" x14ac:dyDescent="0.25">
      <c r="C6" s="1" t="s">
        <v>113</v>
      </c>
      <c r="D6" s="1">
        <v>3</v>
      </c>
      <c r="E6" s="1">
        <v>0</v>
      </c>
      <c r="F6" s="1">
        <f>D6*E6</f>
        <v>0</v>
      </c>
    </row>
    <row r="7" spans="3:8" x14ac:dyDescent="0.25">
      <c r="C7" s="1" t="s">
        <v>114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0</v>
      </c>
    </row>
    <row r="11" spans="3:8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8" x14ac:dyDescent="0.25">
      <c r="C12" s="1" t="s">
        <v>115</v>
      </c>
      <c r="D12" s="1">
        <v>4</v>
      </c>
      <c r="E12" s="1">
        <v>0</v>
      </c>
      <c r="F12" s="1"/>
    </row>
    <row r="13" spans="3:8" x14ac:dyDescent="0.25">
      <c r="C13" s="1" t="s">
        <v>116</v>
      </c>
      <c r="D13" s="1">
        <v>3</v>
      </c>
      <c r="E13" s="1">
        <v>0</v>
      </c>
      <c r="F13" s="1">
        <v>3</v>
      </c>
    </row>
    <row r="14" spans="3:8" x14ac:dyDescent="0.25">
      <c r="C14" s="1" t="s">
        <v>117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3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/>
    </row>
    <row r="20" spans="3:6" x14ac:dyDescent="0.25">
      <c r="C20" s="1" t="s">
        <v>120</v>
      </c>
      <c r="D20" s="1">
        <v>2</v>
      </c>
      <c r="E20" s="1">
        <v>0</v>
      </c>
      <c r="F20" s="1">
        <v>2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2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>
        <v>3</v>
      </c>
    </row>
    <row r="27" spans="3:6" x14ac:dyDescent="0.25">
      <c r="C27" s="1" t="s">
        <v>123</v>
      </c>
      <c r="D27" s="1">
        <v>2</v>
      </c>
      <c r="E27" s="1">
        <v>0</v>
      </c>
      <c r="F27" s="1"/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2024-05-29T08:28:58Z</dcterms:modified>
</cp:coreProperties>
</file>