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125" documentId="11_AD4D7A0C205A6B9A452FA844A794D2E6693EDF1F" xr6:coauthVersionLast="47" xr6:coauthVersionMax="47" xr10:uidLastSave="{A7ECDBFF-3FF8-4508-89A6-9A0220B345D9}"/>
  <bookViews>
    <workbookView xWindow="-120" yWindow="-120" windowWidth="29040" windowHeight="15720" activeTab="3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D68" i="1"/>
  <c r="E68" i="1" s="1"/>
  <c r="F67" i="1"/>
  <c r="D67" i="1"/>
  <c r="E67" i="1" s="1"/>
  <c r="F66" i="1"/>
  <c r="E66" i="1" s="1"/>
  <c r="D66" i="1"/>
  <c r="F65" i="1"/>
  <c r="D65" i="1"/>
  <c r="E65" i="1" s="1"/>
  <c r="F64" i="1"/>
  <c r="D64" i="1"/>
  <c r="E64" i="1" s="1"/>
  <c r="F63" i="1"/>
  <c r="D63" i="1"/>
  <c r="E63" i="1" s="1"/>
  <c r="F62" i="1"/>
  <c r="D62" i="1"/>
  <c r="E62" i="1" s="1"/>
  <c r="F61" i="1"/>
  <c r="E61" i="1"/>
  <c r="D61" i="1"/>
  <c r="F60" i="1"/>
  <c r="D60" i="1"/>
  <c r="E60" i="1" s="1"/>
  <c r="F59" i="1"/>
  <c r="D59" i="1"/>
  <c r="E59" i="1" s="1"/>
  <c r="F58" i="1"/>
  <c r="E58" i="1" s="1"/>
  <c r="D58" i="1"/>
  <c r="F57" i="1"/>
  <c r="D57" i="1"/>
  <c r="E57" i="1" s="1"/>
  <c r="F56" i="1"/>
  <c r="D56" i="1"/>
  <c r="E56" i="1" s="1"/>
  <c r="F55" i="1"/>
  <c r="D55" i="1"/>
  <c r="E55" i="1" s="1"/>
  <c r="F54" i="1"/>
  <c r="D54" i="1"/>
  <c r="E54" i="1" s="1"/>
  <c r="F53" i="1"/>
  <c r="E53" i="1"/>
  <c r="D53" i="1"/>
  <c r="F52" i="1"/>
  <c r="D52" i="1"/>
  <c r="E52" i="1" s="1"/>
  <c r="F51" i="1"/>
  <c r="D51" i="1"/>
  <c r="E51" i="1" s="1"/>
  <c r="F50" i="1"/>
  <c r="E50" i="1" s="1"/>
  <c r="D50" i="1"/>
  <c r="F49" i="1"/>
  <c r="D49" i="1"/>
  <c r="E49" i="1" s="1"/>
  <c r="F48" i="1"/>
  <c r="D48" i="1"/>
  <c r="E48" i="1" s="1"/>
  <c r="F47" i="1"/>
  <c r="D47" i="1"/>
  <c r="E47" i="1" s="1"/>
  <c r="F46" i="1"/>
  <c r="D46" i="1"/>
  <c r="E46" i="1" s="1"/>
  <c r="F45" i="1"/>
  <c r="E45" i="1"/>
  <c r="D45" i="1"/>
  <c r="F44" i="1"/>
  <c r="D44" i="1"/>
  <c r="E44" i="1" s="1"/>
  <c r="F39" i="1"/>
  <c r="F32" i="1"/>
  <c r="F25" i="1"/>
  <c r="D5" i="1"/>
  <c r="E7" i="2"/>
  <c r="D21" i="1"/>
  <c r="D6" i="1"/>
  <c r="F62" i="4"/>
  <c r="F69" i="4"/>
  <c r="E42" i="4"/>
  <c r="E43" i="4"/>
  <c r="I6" i="4"/>
  <c r="N10" i="4"/>
  <c r="Q7" i="4"/>
  <c r="Q8" i="4"/>
  <c r="Q9" i="4"/>
  <c r="Q10" i="4"/>
  <c r="Q11" i="4"/>
  <c r="Q6" i="4"/>
  <c r="Q5" i="4"/>
  <c r="L7" i="4"/>
  <c r="L8" i="4"/>
  <c r="L9" i="4"/>
  <c r="L6" i="4"/>
  <c r="F68" i="2"/>
  <c r="F10" i="3"/>
  <c r="G10" i="3" s="1"/>
  <c r="F49" i="2"/>
  <c r="G49" i="2" s="1"/>
  <c r="K38" i="2"/>
  <c r="K39" i="2"/>
  <c r="K40" i="2"/>
  <c r="K41" i="2"/>
  <c r="K42" i="2"/>
  <c r="K43" i="2"/>
  <c r="K44" i="2"/>
  <c r="K45" i="2"/>
  <c r="K32" i="2"/>
  <c r="K33" i="2"/>
  <c r="K34" i="2"/>
  <c r="K35" i="2"/>
  <c r="K36" i="2"/>
  <c r="K37" i="2"/>
  <c r="E5" i="4"/>
  <c r="E39" i="1"/>
  <c r="E32" i="1"/>
  <c r="E25" i="1"/>
  <c r="E12" i="1"/>
  <c r="D17" i="1"/>
  <c r="D18" i="1"/>
  <c r="E11" i="4"/>
  <c r="E8" i="4"/>
  <c r="E7" i="4"/>
  <c r="E6" i="4"/>
  <c r="G69" i="4" l="1"/>
  <c r="F43" i="4"/>
  <c r="G43" i="4" s="1"/>
  <c r="F5" i="4"/>
  <c r="G5" i="4" s="1"/>
  <c r="F7" i="4"/>
  <c r="G7" i="4" s="1"/>
  <c r="F8" i="4"/>
  <c r="G8" i="4" s="1"/>
  <c r="G62" i="4"/>
  <c r="F6" i="4"/>
  <c r="G6" i="4" s="1"/>
  <c r="F83" i="4"/>
  <c r="G83" i="4" s="1"/>
  <c r="F55" i="4"/>
  <c r="G55" i="4" s="1"/>
  <c r="E12" i="4"/>
  <c r="E9" i="4"/>
  <c r="E40" i="1"/>
  <c r="F42" i="4"/>
  <c r="G42" i="4" s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68" i="2"/>
  <c r="F67" i="2"/>
  <c r="G67" i="2" s="1"/>
  <c r="F57" i="2"/>
  <c r="G57" i="2" s="1"/>
  <c r="G56" i="2"/>
  <c r="K49" i="2"/>
  <c r="G69" i="2" l="1"/>
  <c r="D11" i="1" s="1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E19" i="2" s="1"/>
  <c r="E20" i="2" s="1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8" i="5"/>
  <c r="D35" i="1" s="1"/>
  <c r="F109" i="4"/>
  <c r="G98" i="4"/>
  <c r="G99" i="4"/>
  <c r="G97" i="4"/>
  <c r="D20" i="1"/>
  <c r="G65" i="4"/>
  <c r="G64" i="4"/>
  <c r="G63" i="4"/>
  <c r="G56" i="4"/>
  <c r="D31" i="1"/>
  <c r="G12" i="3"/>
  <c r="D29" i="1" s="1"/>
  <c r="F17" i="3"/>
  <c r="D30" i="1" s="1"/>
  <c r="F7" i="3"/>
  <c r="D28" i="1" s="1"/>
  <c r="G64" i="2"/>
  <c r="D10" i="1" s="1"/>
  <c r="G58" i="2"/>
  <c r="D9" i="1" s="1"/>
  <c r="D8" i="1"/>
  <c r="F11" i="2"/>
  <c r="F12" i="2"/>
  <c r="F13" i="2"/>
  <c r="E21" i="2" l="1"/>
  <c r="E22" i="2" s="1"/>
  <c r="O15" i="2"/>
  <c r="J14" i="2"/>
  <c r="L16" i="2"/>
  <c r="J15" i="2"/>
  <c r="D39" i="1"/>
  <c r="D32" i="1"/>
  <c r="G101" i="4"/>
  <c r="D23" i="1" s="1"/>
  <c r="D19" i="1"/>
  <c r="F10" i="2" l="1"/>
  <c r="M14" i="1"/>
  <c r="M6" i="1"/>
  <c r="M15" i="1"/>
  <c r="M16" i="1"/>
  <c r="M7" i="1"/>
  <c r="M17" i="1"/>
  <c r="G109" i="4"/>
  <c r="D24" i="1" s="1"/>
  <c r="G44" i="4"/>
  <c r="D16" i="1" s="1"/>
  <c r="G87" i="4"/>
  <c r="D22" i="1" s="1"/>
  <c r="E23" i="2" l="1"/>
  <c r="F19" i="2" s="1"/>
  <c r="G19" i="2" s="1"/>
  <c r="G51" i="4"/>
  <c r="G9" i="4"/>
  <c r="F22" i="2" l="1"/>
  <c r="G22" i="2" s="1"/>
  <c r="F21" i="2"/>
  <c r="G21" i="2" s="1"/>
  <c r="F20" i="2"/>
  <c r="G20" i="2" s="1"/>
  <c r="D15" i="1"/>
  <c r="G23" i="2" l="1"/>
  <c r="D7" i="1" s="1"/>
  <c r="D40" i="1" s="1"/>
  <c r="D25" i="1"/>
  <c r="D12" i="1" l="1"/>
  <c r="M5" i="1"/>
  <c r="M13" i="1"/>
  <c r="M12" i="1"/>
  <c r="M10" i="1" l="1"/>
  <c r="M11" i="1" s="1"/>
  <c r="F12" i="1"/>
  <c r="M4" i="1"/>
  <c r="N4" i="1" s="1"/>
  <c r="N6" i="1" l="1"/>
  <c r="N5" i="1"/>
  <c r="N7" i="1"/>
</calcChain>
</file>

<file path=xl/sharedStrings.xml><?xml version="1.0" encoding="utf-8"?>
<sst xmlns="http://schemas.openxmlformats.org/spreadsheetml/2006/main" count="361" uniqueCount="197">
  <si>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</si>
  <si>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</si>
  <si>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</si>
  <si>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</si>
  <si>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</si>
  <si>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</si>
  <si>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</si>
  <si>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</si>
  <si>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</si>
  <si>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</si>
  <si>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</si>
  <si>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</si>
  <si>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</si>
  <si>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</si>
  <si>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</si>
  <si>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</si>
  <si>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</si>
  <si>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</si>
  <si>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</si>
  <si>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</si>
  <si>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</si>
  <si>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</si>
  <si>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</si>
  <si>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</si>
  <si>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</si>
  <si>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</si>
  <si>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</si>
  <si>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</si>
  <si>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</si>
  <si>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</si>
  <si>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</si>
  <si>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</si>
  <si>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</si>
  <si>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</si>
  <si>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</si>
  <si>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</si>
  <si>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</si>
  <si>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</si>
  <si>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</si>
  <si>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</si>
  <si>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</si>
  <si>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</si>
  <si>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</si>
  <si>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</si>
  <si>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</si>
  <si>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</si>
  <si>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</si>
  <si>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</si>
  <si>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</si>
  <si>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</si>
  <si>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oförändrat eller kortare avstånd för fotgängare som kor-sar något av korsningens ben.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</si>
  <si>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</si>
  <si>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</si>
  <si>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</si>
  <si>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</si>
  <si>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</si>
  <si>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</si>
  <si>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</si>
  <si>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</si>
  <si>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</si>
  <si>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</si>
  <si>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</si>
  <si>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</si>
  <si>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</si>
  <si>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</si>
  <si>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</si>
  <si>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</si>
  <si>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</si>
  <si>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</si>
  <si>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</si>
  <si>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</si>
  <si>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</si>
  <si>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</si>
  <si>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</si>
  <si>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</si>
  <si>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</si>
  <si>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</si>
  <si>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</si>
  <si>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</si>
  <si>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</si>
  <si>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</si>
  <si>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</si>
  <si>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</si>
  <si>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</si>
  <si>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</si>
  <si>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</si>
  <si>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</si>
  <si>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</si>
  <si>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</si>
  <si>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</si>
  <si>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</si>
  <si>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</si>
  <si>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</si>
  <si>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</si>
  <si>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</si>
  <si>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</si>
  <si>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</si>
  <si>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</si>
  <si>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</si>
  <si>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</si>
  <si>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</si>
  <si>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</si>
  <si>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</si>
  <si>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</si>
  <si>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</si>
  <si>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</si>
  <si>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</si>
  <si>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</si>
  <si>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</si>
  <si>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</si>
  <si>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</si>
  <si>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</si>
  <si>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</si>
  <si>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</si>
  <si>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</si>
  <si>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</si>
  <si>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</si>
  <si>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</si>
  <si>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</si>
  <si>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</si>
  <si>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</si>
  <si>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</si>
  <si>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</si>
  <si>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</si>
  <si>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</si>
  <si>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</si>
  <si>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</si>
  <si>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</si>
  <si>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</si>
  <si>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</si>
  <si>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</si>
  <si>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</si>
  <si>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</si>
  <si>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</si>
  <si>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</si>
  <si>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</si>
  <si>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</si>
  <si>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</si>
  <si>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</si>
  <si>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</si>
  <si>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</si>
  <si>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</si>
  <si>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</si>
  <si>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</si>
  <si>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</si>
  <si>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</si>
  <si>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</si>
  <si>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</si>
  <si>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</si>
  <si>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</si>
  <si>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</si>
  <si>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</si>
  <si>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</si>
  <si>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Gunnesbo Gård - Lund C få</t>
  </si>
  <si>
    <t>Gunnesbo Gård - Lund C fa</t>
  </si>
  <si>
    <t>Jordabalken - Lund C få</t>
  </si>
  <si>
    <t>Jordabalken - Lund C fa</t>
  </si>
  <si>
    <t>Gunnesbo Gård</t>
  </si>
  <si>
    <t>Fornborgen</t>
  </si>
  <si>
    <t>Start Gunnesbo Gård</t>
  </si>
  <si>
    <t>Start Jordabalksvägen</t>
  </si>
  <si>
    <t>Många parkeringar, slutade räkna</t>
  </si>
  <si>
    <t>max 10 mitt på dagen</t>
  </si>
  <si>
    <t>mer än 20 minuter på söndagar</t>
  </si>
  <si>
    <t>från 06-02</t>
  </si>
  <si>
    <t>från 05:40-02:30</t>
  </si>
  <si>
    <t>Namn: Lund Linje 4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</si>
  <si>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</si>
  <si>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</si>
  <si>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</si>
  <si>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</si>
  <si>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</si>
  <si>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</si>
  <si>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</si>
  <si>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</si>
  <si>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</si>
  <si>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</si>
  <si>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</si>
  <si>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</si>
  <si>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</si>
  <si>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</si>
  <si>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</si>
  <si>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</si>
  <si>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</si>
  <si>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</si>
  <si>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</si>
  <si>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</si>
  <si>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</si>
  <si>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</si>
  <si>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</si>
  <si>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</si>
  <si>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</si>
  <si>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</si>
  <si>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</si>
  <si>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</si>
  <si>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Antas ej uppfylla kraven då inget BRT projekt har genomförts</t>
  </si>
  <si>
    <t>vanlig busslinje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</si>
</sst>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0" fontId="0" fillId="0" borderId="5" xfId="0" applyBorder="1"/>
    <xf numFmtId="1" fontId="0" fillId="0" borderId="0" xfId="0" applyNumberFormat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58219993048747E-2"/>
          <c:y val="2.0833333333333332E-2"/>
          <c:w val="0.52168402522635982"/>
          <c:h val="0.9537037037037037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407-4221-B6DA-32B4E2AC79C9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407-4221-B6DA-32B4E2AC79C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407-4221-B6DA-32B4E2AC79C9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407-4221-B6DA-32B4E2AC79C9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407-4221-B6DA-32B4E2AC79C9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407-4221-B6DA-32B4E2AC79C9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407-4221-B6DA-32B4E2AC79C9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407-4221-B6DA-32B4E2AC7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5.7222222222222223</c:v>
                </c:pt>
                <c:pt idx="1">
                  <c:v>14.277777777777779</c:v>
                </c:pt>
                <c:pt idx="2">
                  <c:v>14.483098801643806</c:v>
                </c:pt>
                <c:pt idx="3">
                  <c:v>31.516901198356194</c:v>
                </c:pt>
                <c:pt idx="4">
                  <c:v>11.111111111111111</c:v>
                </c:pt>
                <c:pt idx="5">
                  <c:v>8.8888888888888893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407-4221-B6DA-32B4E2AC79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Stadsbusslinje 4, Lund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4563492063492"/>
          <c:y val="0.19080714285714287"/>
          <c:w val="0.7851488095238095"/>
          <c:h val="0.785148809523809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638-4527-98A1-950BE599623B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638-4527-98A1-950BE599623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638-4527-98A1-950BE599623B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638-4527-98A1-950BE59962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638-4527-98A1-950BE599623B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638-4527-98A1-950BE599623B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638-4527-98A1-950BE599623B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638-4527-98A1-950BE59962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5.7222222222222223</c:v>
                </c:pt>
                <c:pt idx="1">
                  <c:v>14.277777777777779</c:v>
                </c:pt>
                <c:pt idx="2">
                  <c:v>14.483098801643806</c:v>
                </c:pt>
                <c:pt idx="3">
                  <c:v>31.516901198356194</c:v>
                </c:pt>
                <c:pt idx="4">
                  <c:v>11.111111111111111</c:v>
                </c:pt>
                <c:pt idx="5">
                  <c:v>8.8888888888888893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38-4527-98A1-950BE59962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73-4D10-8F23-2470C3CD5A6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73-4D10-8F23-2470C3CD5A68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73-4D10-8F23-2470C3CD5A6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173-4D10-8F23-2470C3CD5A68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173-4D10-8F23-2470C3CD5A68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173-4D10-8F23-2470C3CD5A68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173-4D10-8F23-2470C3CD5A68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173-4D10-8F23-2470C3CD5A6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173-4D10-8F23-2470C3CD5A6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173-4D10-8F23-2470C3CD5A6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173-4D10-8F23-2470C3CD5A6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173-4D10-8F23-2470C3CD5A6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173-4D10-8F23-2470C3CD5A6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173-4D10-8F23-2470C3CD5A6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173-4D10-8F23-2470C3CD5A6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173-4D10-8F23-2470C3CD5A6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173-4D10-8F23-2470C3CD5A68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173-4D10-8F23-2470C3CD5A68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173-4D10-8F23-2470C3CD5A68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C173-4D10-8F23-2470C3CD5A68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C173-4D10-8F23-2470C3CD5A68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C173-4D10-8F23-2470C3CD5A68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C173-4D10-8F23-2470C3CD5A68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C173-4D10-8F23-2470C3CD5A68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C173-4D10-8F23-2470C3CD5A68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  <c:pt idx="6">
                  <c:v>2.1111111111111112</c:v>
                </c:pt>
                <c:pt idx="7">
                  <c:v>0</c:v>
                </c:pt>
                <c:pt idx="8">
                  <c:v>0.59259259259259256</c:v>
                </c:pt>
                <c:pt idx="9">
                  <c:v>4.6296296296296298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2.8432267884322679</c:v>
                </c:pt>
                <c:pt idx="17">
                  <c:v>0.4176497909893172</c:v>
                </c:pt>
                <c:pt idx="18">
                  <c:v>0.31481481481481483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1.4074074074074074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173-4D10-8F23-2470C3CD5A68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C173-4D10-8F23-2470C3CD5A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C173-4D10-8F23-2470C3CD5A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C173-4D10-8F23-2470C3CD5A6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C173-4D10-8F23-2470C3CD5A6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C173-4D10-8F23-2470C3CD5A6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C173-4D10-8F23-2470C3CD5A6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C173-4D10-8F23-2470C3CD5A6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C173-4D10-8F23-2470C3CD5A6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C173-4D10-8F23-2470C3CD5A6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C173-4D10-8F23-2470C3CD5A6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C173-4D10-8F23-2470C3CD5A6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C173-4D10-8F23-2470C3CD5A6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C173-4D10-8F23-2470C3CD5A6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C173-4D10-8F23-2470C3CD5A6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C173-4D10-8F23-2470C3CD5A6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C173-4D10-8F23-2470C3CD5A6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C173-4D10-8F23-2470C3CD5A6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C173-4D10-8F23-2470C3CD5A6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C173-4D10-8F23-2470C3CD5A6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C173-4D10-8F23-2470C3CD5A6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C173-4D10-8F23-2470C3CD5A6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C173-4D10-8F23-2470C3CD5A6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C173-4D10-8F23-2470C3CD5A6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C173-4D10-8F23-2470C3CD5A6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C173-4D10-8F23-2470C3CD5A68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1.8888888888888888</c:v>
                </c:pt>
                <c:pt idx="7">
                  <c:v>4</c:v>
                </c:pt>
                <c:pt idx="8">
                  <c:v>2.4074074074074074</c:v>
                </c:pt>
                <c:pt idx="9">
                  <c:v>5.3703703703703702</c:v>
                </c:pt>
                <c:pt idx="10">
                  <c:v>0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1.1567732115677321</c:v>
                </c:pt>
                <c:pt idx="17">
                  <c:v>7.5823502090106825</c:v>
                </c:pt>
                <c:pt idx="18">
                  <c:v>1.6851851851851851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3.5925925925925926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173-4D10-8F23-2470C3CD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17</xdr:row>
      <xdr:rowOff>128587</xdr:rowOff>
    </xdr:from>
    <xdr:to>
      <xdr:col>16</xdr:col>
      <xdr:colOff>75525</xdr:colOff>
      <xdr:row>29</xdr:row>
      <xdr:rowOff>2587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47A44D-3502-7B48-67B4-4A9B4D6FF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</xdr:colOff>
      <xdr:row>32</xdr:row>
      <xdr:rowOff>147637</xdr:rowOff>
    </xdr:from>
    <xdr:to>
      <xdr:col>11</xdr:col>
      <xdr:colOff>1981837</xdr:colOff>
      <xdr:row>46</xdr:row>
      <xdr:rowOff>637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BB47CCF-A952-BDF9-BBBA-AEDD06CE4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47</xdr:row>
      <xdr:rowOff>95250</xdr:rowOff>
    </xdr:from>
    <xdr:to>
      <xdr:col>13</xdr:col>
      <xdr:colOff>247650</xdr:colOff>
      <xdr:row>72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80DD897-0482-1994-713C-692513741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65</xdr:row>
      <xdr:rowOff>0</xdr:rowOff>
    </xdr:from>
    <xdr:to>
      <xdr:col>16</xdr:col>
      <xdr:colOff>162646</xdr:colOff>
      <xdr:row>81</xdr:row>
      <xdr:rowOff>158878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64FB5321-512B-771F-346E-8F72CFA04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8333" y="13987639"/>
          <a:ext cx="5163271" cy="3448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workbookViewId="0">
      <selection activeCell="C43" sqref="C43:F68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</cols>
  <sheetData>
    <row r="2" spans="2:14" x14ac:dyDescent="0.25">
      <c r="C2" t="s">
        <v>166</v>
      </c>
    </row>
    <row r="3" spans="2:14" x14ac:dyDescent="0.25">
      <c r="B3" s="29" t="s">
        <v>0</v>
      </c>
      <c r="C3" s="30"/>
      <c r="D3" s="30"/>
      <c r="E3" s="31"/>
    </row>
    <row r="4" spans="2:14" x14ac:dyDescent="0.25">
      <c r="B4" s="14"/>
      <c r="C4" s="12" t="s">
        <v>145</v>
      </c>
      <c r="D4" s="12" t="s">
        <v>31</v>
      </c>
      <c r="E4" s="12" t="s">
        <v>146</v>
      </c>
      <c r="L4" t="s">
        <v>0</v>
      </c>
      <c r="M4">
        <f>D12</f>
        <v>5.7222222222222223</v>
      </c>
      <c r="N4">
        <f>M4/SUM($M$4:$M$7)</f>
        <v>0.14193275345061651</v>
      </c>
    </row>
    <row r="5" spans="2:14" x14ac:dyDescent="0.25">
      <c r="B5" s="15"/>
      <c r="C5" t="s">
        <v>1</v>
      </c>
      <c r="D5" s="1">
        <f>'Stadens utformning'!E7</f>
        <v>0</v>
      </c>
      <c r="E5" s="1">
        <v>2</v>
      </c>
      <c r="L5" t="s">
        <v>13</v>
      </c>
      <c r="M5">
        <f>D25</f>
        <v>14.483098801643806</v>
      </c>
      <c r="N5">
        <f>M5/SUM($M$4:$M$7)</f>
        <v>0.35923562762585759</v>
      </c>
    </row>
    <row r="6" spans="2:14" x14ac:dyDescent="0.25">
      <c r="B6" s="15"/>
      <c r="C6" s="1" t="s">
        <v>2</v>
      </c>
      <c r="D6" s="11">
        <f>'Stadens utformning'!F14</f>
        <v>0</v>
      </c>
      <c r="E6" s="1">
        <v>3</v>
      </c>
      <c r="L6" t="s">
        <v>8</v>
      </c>
      <c r="M6">
        <f>D32</f>
        <v>11.111111111111111</v>
      </c>
      <c r="N6">
        <f>M6/SUM($M$4:$M$7)</f>
        <v>0.27559757951576019</v>
      </c>
    </row>
    <row r="7" spans="2:14" x14ac:dyDescent="0.25">
      <c r="B7" s="15"/>
      <c r="C7" s="1" t="s">
        <v>3</v>
      </c>
      <c r="D7" s="11">
        <f>'Stadens utformning'!G23</f>
        <v>1.4074074074074074</v>
      </c>
      <c r="E7" s="1">
        <v>5</v>
      </c>
      <c r="L7" t="s">
        <v>24</v>
      </c>
      <c r="M7">
        <f>D39</f>
        <v>9</v>
      </c>
      <c r="N7">
        <f>M7/SUM($M$4:$M$7)</f>
        <v>0.22323403940776576</v>
      </c>
    </row>
    <row r="8" spans="2:14" x14ac:dyDescent="0.25">
      <c r="B8" s="15"/>
      <c r="C8" s="1" t="s">
        <v>4</v>
      </c>
      <c r="D8" s="11">
        <f>'Stadens utformning'!G53</f>
        <v>0</v>
      </c>
      <c r="E8" s="1">
        <v>3</v>
      </c>
    </row>
    <row r="9" spans="2:14" x14ac:dyDescent="0.25">
      <c r="B9" s="15"/>
      <c r="C9" s="1" t="s">
        <v>5</v>
      </c>
      <c r="D9" s="11">
        <f>'Stadens utformning'!G58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utformning'!G64</f>
        <v>1</v>
      </c>
      <c r="E10" s="1">
        <v>2</v>
      </c>
      <c r="L10" t="s">
        <v>0</v>
      </c>
      <c r="M10" s="28">
        <f>D12</f>
        <v>5.7222222222222223</v>
      </c>
    </row>
    <row r="11" spans="2:14" x14ac:dyDescent="0.25">
      <c r="B11" s="15"/>
      <c r="C11" s="1" t="s">
        <v>7</v>
      </c>
      <c r="D11" s="11">
        <f>'Stadens utformning'!G69</f>
        <v>0.31481481481481483</v>
      </c>
      <c r="E11" s="1">
        <v>2</v>
      </c>
      <c r="L11" t="s">
        <v>147</v>
      </c>
      <c r="M11" s="28">
        <f>E12-M10</f>
        <v>14.277777777777779</v>
      </c>
    </row>
    <row r="12" spans="2:14" x14ac:dyDescent="0.25">
      <c r="B12" s="16"/>
      <c r="C12" s="1" t="s">
        <v>61</v>
      </c>
      <c r="D12" s="11">
        <f>SUM(D6:D11)</f>
        <v>5.7222222222222223</v>
      </c>
      <c r="E12" s="11">
        <f>SUM(E5:E11)</f>
        <v>20</v>
      </c>
      <c r="F12">
        <f>D12/E12</f>
        <v>0.28611111111111109</v>
      </c>
      <c r="L12" t="s">
        <v>13</v>
      </c>
      <c r="M12" s="28">
        <f>D25</f>
        <v>14.483098801643806</v>
      </c>
    </row>
    <row r="13" spans="2:14" x14ac:dyDescent="0.25">
      <c r="B13" s="29" t="s">
        <v>13</v>
      </c>
      <c r="C13" s="30"/>
      <c r="D13" s="30"/>
      <c r="E13" s="31"/>
      <c r="L13" t="s">
        <v>148</v>
      </c>
      <c r="M13" s="28">
        <f>E25-D25</f>
        <v>31.516901198356194</v>
      </c>
    </row>
    <row r="14" spans="2:14" x14ac:dyDescent="0.25">
      <c r="B14" s="17"/>
      <c r="C14" s="12" t="s">
        <v>145</v>
      </c>
      <c r="D14" s="12" t="s">
        <v>31</v>
      </c>
      <c r="E14" s="12" t="s">
        <v>146</v>
      </c>
      <c r="L14" t="s">
        <v>8</v>
      </c>
      <c r="M14" s="28">
        <f>D32</f>
        <v>11.111111111111111</v>
      </c>
    </row>
    <row r="15" spans="2:14" x14ac:dyDescent="0.25">
      <c r="B15" s="18"/>
      <c r="C15" s="1" t="s">
        <v>14</v>
      </c>
      <c r="D15" s="11">
        <f>'Kollektivtrafikens infrastruktu'!G9</f>
        <v>0.4176497909893172</v>
      </c>
      <c r="E15" s="1">
        <v>8</v>
      </c>
      <c r="L15" t="s">
        <v>149</v>
      </c>
      <c r="M15" s="28">
        <f>E32-D32</f>
        <v>8.8888888888888893</v>
      </c>
    </row>
    <row r="16" spans="2:14" x14ac:dyDescent="0.25">
      <c r="B16" s="18"/>
      <c r="C16" s="1" t="s">
        <v>15</v>
      </c>
      <c r="D16" s="11">
        <f>'Kollektivtrafikens infrastruktu'!G44</f>
        <v>2.8432267884322679</v>
      </c>
      <c r="E16" s="1">
        <v>4</v>
      </c>
      <c r="L16" t="s">
        <v>24</v>
      </c>
      <c r="M16" s="28">
        <f>D39</f>
        <v>9</v>
      </c>
    </row>
    <row r="17" spans="2:13" x14ac:dyDescent="0.25">
      <c r="B17" s="18"/>
      <c r="C17" s="1" t="s">
        <v>16</v>
      </c>
      <c r="D17" s="11">
        <f>'Kollektivtrafikens infrastruktu'!G51</f>
        <v>3</v>
      </c>
      <c r="E17" s="1">
        <v>3</v>
      </c>
      <c r="L17" t="s">
        <v>150</v>
      </c>
      <c r="M17" s="28">
        <f>E39-D39</f>
        <v>5</v>
      </c>
    </row>
    <row r="18" spans="2:13" x14ac:dyDescent="0.25">
      <c r="B18" s="18"/>
      <c r="C18" s="1" t="s">
        <v>17</v>
      </c>
      <c r="D18" s="11">
        <f>'Kollektivtrafikens infrastruktu'!G58</f>
        <v>0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0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0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0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3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4.6296296296296298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0.59259259259259256</v>
      </c>
      <c r="E24" s="1">
        <v>3</v>
      </c>
    </row>
    <row r="25" spans="2:13" x14ac:dyDescent="0.25">
      <c r="B25" s="19"/>
      <c r="C25" s="1" t="s">
        <v>61</v>
      </c>
      <c r="D25" s="11">
        <f>SUM(D15:D24)</f>
        <v>14.483098801643806</v>
      </c>
      <c r="E25" s="11">
        <f>SUM(E15:E24)</f>
        <v>46</v>
      </c>
      <c r="F25">
        <f>D25/E25</f>
        <v>0.31484997394877839</v>
      </c>
    </row>
    <row r="26" spans="2:13" x14ac:dyDescent="0.25">
      <c r="B26" s="29" t="s">
        <v>8</v>
      </c>
      <c r="C26" s="30"/>
      <c r="D26" s="30"/>
      <c r="E26" s="31"/>
    </row>
    <row r="27" spans="2:13" x14ac:dyDescent="0.25">
      <c r="B27" s="20"/>
      <c r="C27" s="12" t="s">
        <v>145</v>
      </c>
      <c r="D27" s="12" t="s">
        <v>31</v>
      </c>
      <c r="E27" s="12" t="s">
        <v>146</v>
      </c>
    </row>
    <row r="28" spans="2:13" x14ac:dyDescent="0.25">
      <c r="B28" s="21"/>
      <c r="C28" s="1" t="s">
        <v>9</v>
      </c>
      <c r="D28" s="11">
        <f>'Fordon och Stödsystem'!F7</f>
        <v>0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2.1111111111111112</v>
      </c>
      <c r="E29" s="1">
        <v>4</v>
      </c>
    </row>
    <row r="30" spans="2:13" x14ac:dyDescent="0.25">
      <c r="B30" s="21"/>
      <c r="C30" s="1" t="s">
        <v>11</v>
      </c>
      <c r="D30" s="11">
        <f>'Fordon och Stödsystem'!F17</f>
        <v>9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11.111111111111111</v>
      </c>
      <c r="E32" s="1">
        <f>SUM(E28:E31)</f>
        <v>20</v>
      </c>
      <c r="F32">
        <f>D32/E32</f>
        <v>0.55555555555555558</v>
      </c>
    </row>
    <row r="33" spans="2:6" x14ac:dyDescent="0.25">
      <c r="B33" s="29" t="s">
        <v>24</v>
      </c>
      <c r="C33" s="30"/>
      <c r="D33" s="30"/>
      <c r="E33" s="31"/>
    </row>
    <row r="34" spans="2:6" x14ac:dyDescent="0.25">
      <c r="B34" s="23"/>
      <c r="C34" s="12" t="s">
        <v>145</v>
      </c>
      <c r="D34" s="12" t="s">
        <v>31</v>
      </c>
      <c r="E34" s="12" t="s">
        <v>146</v>
      </c>
    </row>
    <row r="35" spans="2:6" x14ac:dyDescent="0.25">
      <c r="B35" s="24"/>
      <c r="C35" s="1" t="s">
        <v>25</v>
      </c>
      <c r="D35" s="1">
        <f>Trafikering!F8</f>
        <v>3</v>
      </c>
      <c r="E35" s="1">
        <v>4</v>
      </c>
    </row>
    <row r="36" spans="2:6" x14ac:dyDescent="0.25">
      <c r="B36" s="24"/>
      <c r="C36" s="1" t="s">
        <v>26</v>
      </c>
      <c r="D36" s="1">
        <f>Trafikering!F15</f>
        <v>0</v>
      </c>
      <c r="E36" s="1">
        <v>4</v>
      </c>
    </row>
    <row r="37" spans="2:6" x14ac:dyDescent="0.25">
      <c r="B37" s="24"/>
      <c r="C37" s="1" t="s">
        <v>27</v>
      </c>
      <c r="D37" s="1">
        <f>Trafikering!F22</f>
        <v>3</v>
      </c>
      <c r="E37" s="1">
        <v>3</v>
      </c>
    </row>
    <row r="38" spans="2:6" x14ac:dyDescent="0.25">
      <c r="B38" s="24"/>
      <c r="C38" s="1" t="s">
        <v>28</v>
      </c>
      <c r="D38" s="1">
        <f>Trafikering!F29</f>
        <v>3</v>
      </c>
      <c r="E38" s="1">
        <v>3</v>
      </c>
    </row>
    <row r="39" spans="2:6" x14ac:dyDescent="0.25">
      <c r="B39" s="25"/>
      <c r="C39" s="1" t="s">
        <v>61</v>
      </c>
      <c r="D39" s="1">
        <f>SUM(D35:D38)</f>
        <v>9</v>
      </c>
      <c r="E39" s="1">
        <f>SUM(E35:E38)</f>
        <v>14</v>
      </c>
      <c r="F39">
        <f>D39/E39</f>
        <v>0.6428571428571429</v>
      </c>
    </row>
    <row r="40" spans="2:6" x14ac:dyDescent="0.25">
      <c r="B40" s="4"/>
      <c r="C40" s="26" t="s">
        <v>38</v>
      </c>
      <c r="D40" s="13">
        <f>SUM(D5:D11)+SUM(D28:D31)+SUM(D15:D24)+SUM(D35:D38)</f>
        <v>40.316432134977134</v>
      </c>
      <c r="E40" s="13">
        <f>SUM(E12+E25+E32+E39)</f>
        <v>100</v>
      </c>
    </row>
    <row r="43" spans="2:6" x14ac:dyDescent="0.25">
      <c r="C43" t="s">
        <v>167</v>
      </c>
      <c r="D43" t="s">
        <v>168</v>
      </c>
      <c r="E43" t="s">
        <v>139</v>
      </c>
      <c r="F43" t="s">
        <v>169</v>
      </c>
    </row>
    <row r="44" spans="2:6" x14ac:dyDescent="0.25">
      <c r="C44" t="s">
        <v>170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t="s">
        <v>171</v>
      </c>
      <c r="D45">
        <f>D37</f>
        <v>3</v>
      </c>
      <c r="E45">
        <f t="shared" ref="E45:E68" si="0">F45-D45</f>
        <v>0</v>
      </c>
      <c r="F45">
        <f>E37</f>
        <v>3</v>
      </c>
    </row>
    <row r="46" spans="2:6" x14ac:dyDescent="0.25">
      <c r="C46" t="s">
        <v>172</v>
      </c>
      <c r="D46">
        <f>D36</f>
        <v>0</v>
      </c>
      <c r="E46">
        <f t="shared" si="0"/>
        <v>4</v>
      </c>
      <c r="F46">
        <f>E36</f>
        <v>4</v>
      </c>
    </row>
    <row r="47" spans="2:6" x14ac:dyDescent="0.25">
      <c r="C47" t="s">
        <v>173</v>
      </c>
      <c r="D47">
        <f>D35</f>
        <v>3</v>
      </c>
      <c r="E47">
        <f t="shared" si="0"/>
        <v>1</v>
      </c>
      <c r="F47">
        <f>E35</f>
        <v>4</v>
      </c>
    </row>
    <row r="48" spans="2:6" x14ac:dyDescent="0.25">
      <c r="C48" t="s">
        <v>174</v>
      </c>
      <c r="D48">
        <f>D31</f>
        <v>0</v>
      </c>
      <c r="E48">
        <f t="shared" si="0"/>
        <v>2</v>
      </c>
      <c r="F48">
        <f>E31</f>
        <v>2</v>
      </c>
    </row>
    <row r="49" spans="3:6" x14ac:dyDescent="0.25">
      <c r="C49" t="s">
        <v>175</v>
      </c>
      <c r="D49">
        <f>D30</f>
        <v>9</v>
      </c>
      <c r="E49">
        <f t="shared" si="0"/>
        <v>1</v>
      </c>
      <c r="F49">
        <f>E30</f>
        <v>10</v>
      </c>
    </row>
    <row r="50" spans="3:6" x14ac:dyDescent="0.25">
      <c r="C50" t="s">
        <v>176</v>
      </c>
      <c r="D50">
        <f>D29</f>
        <v>2.1111111111111112</v>
      </c>
      <c r="E50">
        <f t="shared" si="0"/>
        <v>1.8888888888888888</v>
      </c>
      <c r="F50">
        <f>E29</f>
        <v>4</v>
      </c>
    </row>
    <row r="51" spans="3:6" x14ac:dyDescent="0.25">
      <c r="C51" t="s">
        <v>177</v>
      </c>
      <c r="D51">
        <f>D28</f>
        <v>0</v>
      </c>
      <c r="E51">
        <f t="shared" si="0"/>
        <v>4</v>
      </c>
      <c r="F51">
        <f>E28</f>
        <v>4</v>
      </c>
    </row>
    <row r="52" spans="3:6" x14ac:dyDescent="0.25">
      <c r="C52" t="s">
        <v>178</v>
      </c>
      <c r="D52">
        <f>D24</f>
        <v>0.59259259259259256</v>
      </c>
      <c r="E52">
        <f t="shared" si="0"/>
        <v>2.4074074074074074</v>
      </c>
      <c r="F52">
        <f>E24</f>
        <v>3</v>
      </c>
    </row>
    <row r="53" spans="3:6" x14ac:dyDescent="0.25">
      <c r="C53" t="s">
        <v>179</v>
      </c>
      <c r="D53">
        <f>D23</f>
        <v>4.6296296296296298</v>
      </c>
      <c r="E53">
        <f t="shared" si="0"/>
        <v>5.3703703703703702</v>
      </c>
      <c r="F53">
        <f>E23</f>
        <v>10</v>
      </c>
    </row>
    <row r="54" spans="3:6" x14ac:dyDescent="0.25">
      <c r="C54" t="s">
        <v>180</v>
      </c>
      <c r="D54">
        <f>D22</f>
        <v>3</v>
      </c>
      <c r="E54">
        <f t="shared" si="0"/>
        <v>0</v>
      </c>
      <c r="F54">
        <f>E22</f>
        <v>3</v>
      </c>
    </row>
    <row r="55" spans="3:6" x14ac:dyDescent="0.25">
      <c r="C55" t="s">
        <v>181</v>
      </c>
      <c r="D55">
        <f>D21</f>
        <v>0</v>
      </c>
      <c r="E55">
        <f t="shared" si="0"/>
        <v>7</v>
      </c>
      <c r="F55">
        <f>E21</f>
        <v>7</v>
      </c>
    </row>
    <row r="56" spans="3:6" x14ac:dyDescent="0.25">
      <c r="C56" t="s">
        <v>182</v>
      </c>
      <c r="D56">
        <f>D20</f>
        <v>0</v>
      </c>
      <c r="E56">
        <f t="shared" si="0"/>
        <v>3</v>
      </c>
      <c r="F56">
        <f>E20</f>
        <v>3</v>
      </c>
    </row>
    <row r="57" spans="3:6" x14ac:dyDescent="0.25">
      <c r="C57" t="s">
        <v>183</v>
      </c>
      <c r="D57">
        <f>D19</f>
        <v>0</v>
      </c>
      <c r="E57">
        <f t="shared" si="0"/>
        <v>3</v>
      </c>
      <c r="F57">
        <f>E19</f>
        <v>3</v>
      </c>
    </row>
    <row r="58" spans="3:6" x14ac:dyDescent="0.25">
      <c r="C58" t="s">
        <v>184</v>
      </c>
      <c r="D58">
        <f>D18</f>
        <v>0</v>
      </c>
      <c r="E58">
        <f t="shared" si="0"/>
        <v>2</v>
      </c>
      <c r="F58">
        <f>E18</f>
        <v>2</v>
      </c>
    </row>
    <row r="59" spans="3:6" x14ac:dyDescent="0.25">
      <c r="C59" t="s">
        <v>185</v>
      </c>
      <c r="D59">
        <f>D17</f>
        <v>3</v>
      </c>
      <c r="E59">
        <f t="shared" si="0"/>
        <v>0</v>
      </c>
      <c r="F59">
        <f>E17</f>
        <v>3</v>
      </c>
    </row>
    <row r="60" spans="3:6" x14ac:dyDescent="0.25">
      <c r="C60" t="s">
        <v>186</v>
      </c>
      <c r="D60">
        <f>D16</f>
        <v>2.8432267884322679</v>
      </c>
      <c r="E60">
        <f t="shared" si="0"/>
        <v>1.1567732115677321</v>
      </c>
      <c r="F60">
        <f>E16</f>
        <v>4</v>
      </c>
    </row>
    <row r="61" spans="3:6" x14ac:dyDescent="0.25">
      <c r="C61" t="s">
        <v>187</v>
      </c>
      <c r="D61">
        <f>D15</f>
        <v>0.4176497909893172</v>
      </c>
      <c r="E61">
        <f t="shared" si="0"/>
        <v>7.5823502090106825</v>
      </c>
      <c r="F61">
        <f>E15</f>
        <v>8</v>
      </c>
    </row>
    <row r="62" spans="3:6" x14ac:dyDescent="0.25">
      <c r="C62" t="s">
        <v>188</v>
      </c>
      <c r="D62">
        <f>D11</f>
        <v>0.31481481481481483</v>
      </c>
      <c r="E62">
        <f t="shared" si="0"/>
        <v>1.6851851851851851</v>
      </c>
      <c r="F62">
        <f>E11</f>
        <v>2</v>
      </c>
    </row>
    <row r="63" spans="3:6" x14ac:dyDescent="0.25">
      <c r="C63" t="s">
        <v>189</v>
      </c>
      <c r="D63">
        <f>D10</f>
        <v>1</v>
      </c>
      <c r="E63">
        <f>F63-D63</f>
        <v>1</v>
      </c>
      <c r="F63">
        <f>E10</f>
        <v>2</v>
      </c>
    </row>
    <row r="64" spans="3:6" x14ac:dyDescent="0.25">
      <c r="C64" t="s">
        <v>190</v>
      </c>
      <c r="D64">
        <f>D9</f>
        <v>3</v>
      </c>
      <c r="E64">
        <f t="shared" si="0"/>
        <v>0</v>
      </c>
      <c r="F64">
        <f>E9</f>
        <v>3</v>
      </c>
    </row>
    <row r="65" spans="3:6" x14ac:dyDescent="0.25">
      <c r="C65" t="s">
        <v>191</v>
      </c>
      <c r="D65">
        <f>D8</f>
        <v>0</v>
      </c>
      <c r="E65">
        <f t="shared" si="0"/>
        <v>3</v>
      </c>
      <c r="F65">
        <f>E8</f>
        <v>3</v>
      </c>
    </row>
    <row r="66" spans="3:6" x14ac:dyDescent="0.25">
      <c r="C66" t="s">
        <v>192</v>
      </c>
      <c r="D66">
        <f>D7</f>
        <v>1.4074074074074074</v>
      </c>
      <c r="E66">
        <f t="shared" si="0"/>
        <v>3.5925925925925926</v>
      </c>
      <c r="F66">
        <f>E7</f>
        <v>5</v>
      </c>
    </row>
    <row r="67" spans="3:6" x14ac:dyDescent="0.25">
      <c r="C67" t="s">
        <v>193</v>
      </c>
      <c r="D67">
        <f>D6</f>
        <v>0</v>
      </c>
      <c r="E67">
        <f t="shared" si="0"/>
        <v>3</v>
      </c>
      <c r="F67">
        <f>E6</f>
        <v>3</v>
      </c>
    </row>
    <row r="68" spans="3:6" x14ac:dyDescent="0.25">
      <c r="C68" t="s">
        <v>194</v>
      </c>
      <c r="D68">
        <f>D5</f>
        <v>0</v>
      </c>
      <c r="E68">
        <f t="shared" si="0"/>
        <v>2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9"/>
  <sheetViews>
    <sheetView workbookViewId="0">
      <selection activeCell="G26" sqref="G26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/>
      <c r="F5" t="s">
        <v>195</v>
      </c>
    </row>
    <row r="6" spans="3:18" ht="30" x14ac:dyDescent="0.25">
      <c r="C6" s="2" t="s">
        <v>30</v>
      </c>
      <c r="D6" s="1">
        <v>1</v>
      </c>
      <c r="E6" s="1"/>
    </row>
    <row r="7" spans="3:18" x14ac:dyDescent="0.25">
      <c r="C7" s="9"/>
      <c r="D7" t="s">
        <v>38</v>
      </c>
      <c r="E7">
        <f>SUM(E5:E6)</f>
        <v>0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144</v>
      </c>
      <c r="K9" s="1"/>
      <c r="L9" s="1" t="s">
        <v>37</v>
      </c>
      <c r="M9" s="1"/>
      <c r="N9" s="1"/>
      <c r="O9" s="1" t="s">
        <v>144</v>
      </c>
    </row>
    <row r="10" spans="3:18" x14ac:dyDescent="0.25">
      <c r="C10" s="1" t="s">
        <v>33</v>
      </c>
      <c r="D10" s="1">
        <v>3</v>
      </c>
      <c r="E10" s="1"/>
      <c r="F10" s="11">
        <f>J15+O15</f>
        <v>-5.3289966966538449</v>
      </c>
      <c r="H10" s="1" t="s">
        <v>153</v>
      </c>
      <c r="I10" s="1"/>
      <c r="J10" s="1">
        <v>3.02</v>
      </c>
      <c r="K10" s="1"/>
      <c r="L10" s="1" t="s">
        <v>155</v>
      </c>
      <c r="M10" s="1"/>
      <c r="N10" s="1"/>
      <c r="O10" s="1">
        <v>2.62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154</v>
      </c>
      <c r="I11" s="1"/>
      <c r="J11" s="1">
        <v>5.36</v>
      </c>
      <c r="K11" s="1"/>
      <c r="L11" s="1" t="s">
        <v>156</v>
      </c>
      <c r="M11" s="1"/>
      <c r="N11" s="1"/>
      <c r="O11" s="1">
        <v>5.47</v>
      </c>
      <c r="Q11" t="s">
        <v>129</v>
      </c>
      <c r="R11">
        <f>J11+O11</f>
        <v>10.83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>
        <f>J11/J10</f>
        <v>1.7748344370860929</v>
      </c>
      <c r="K12" s="1"/>
      <c r="L12" s="1"/>
      <c r="M12" s="1"/>
      <c r="N12" s="1" t="s">
        <v>128</v>
      </c>
      <c r="O12" s="1">
        <f>O11/O10</f>
        <v>2.0877862595419847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-3.7483443708609272</v>
      </c>
      <c r="K13" s="1"/>
      <c r="L13" s="1"/>
      <c r="M13" s="1"/>
      <c r="N13" s="1"/>
      <c r="O13" s="1">
        <f>14-10*O12</f>
        <v>-6.8778625954198489</v>
      </c>
    </row>
    <row r="14" spans="3:18" x14ac:dyDescent="0.25">
      <c r="C14" s="1"/>
      <c r="D14" s="1"/>
      <c r="E14" s="1" t="s">
        <v>38</v>
      </c>
      <c r="F14" s="11">
        <v>0</v>
      </c>
      <c r="H14" s="1"/>
      <c r="I14" s="1" t="s">
        <v>130</v>
      </c>
      <c r="J14" s="1">
        <f>J11/R11</f>
        <v>0.49492151431209608</v>
      </c>
      <c r="K14" s="1"/>
      <c r="L14" s="1"/>
      <c r="M14" s="1"/>
      <c r="N14" s="1"/>
      <c r="O14" s="1">
        <f>O11/R11</f>
        <v>0.50507848568790392</v>
      </c>
    </row>
    <row r="15" spans="3:18" x14ac:dyDescent="0.25">
      <c r="H15" s="1"/>
      <c r="I15" s="1"/>
      <c r="J15" s="1">
        <f>J13*J14</f>
        <v>-1.8551362721897111</v>
      </c>
      <c r="K15" s="1"/>
      <c r="L15" s="1"/>
      <c r="M15" s="1"/>
      <c r="N15" s="1"/>
      <c r="O15" s="1">
        <f>O13*O14</f>
        <v>-3.4738604244641338</v>
      </c>
    </row>
    <row r="16" spans="3:18" x14ac:dyDescent="0.25">
      <c r="L16">
        <f>(J13+O13)/2</f>
        <v>-5.3131034831403881</v>
      </c>
    </row>
    <row r="17" spans="3:11" x14ac:dyDescent="0.25">
      <c r="I17" s="1" t="s">
        <v>37</v>
      </c>
      <c r="J17" s="1" t="s">
        <v>142</v>
      </c>
      <c r="K17" s="1" t="s">
        <v>139</v>
      </c>
    </row>
    <row r="18" spans="3:11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157</v>
      </c>
      <c r="J18" s="1">
        <v>0</v>
      </c>
      <c r="K18" s="1">
        <v>0</v>
      </c>
    </row>
    <row r="19" spans="3:11" x14ac:dyDescent="0.25">
      <c r="C19" s="1" t="s">
        <v>39</v>
      </c>
      <c r="D19" s="1">
        <v>5</v>
      </c>
      <c r="E19" s="1">
        <f>COUNTIF(K19:K45,"&gt;600")</f>
        <v>4</v>
      </c>
      <c r="F19" s="6">
        <f>E19/$E$23</f>
        <v>0.14814814814814814</v>
      </c>
      <c r="G19" s="6">
        <f>D19*F19</f>
        <v>0.7407407407407407</v>
      </c>
      <c r="I19" s="1" t="s">
        <v>158</v>
      </c>
      <c r="J19" s="1">
        <v>253</v>
      </c>
      <c r="K19" s="1">
        <f>J19-J18</f>
        <v>253</v>
      </c>
    </row>
    <row r="20" spans="3:11" x14ac:dyDescent="0.25">
      <c r="C20" s="1" t="s">
        <v>40</v>
      </c>
      <c r="D20" s="1">
        <v>4</v>
      </c>
      <c r="E20" s="1">
        <f>COUNTIF(K19:K45,"&gt;500")-E19</f>
        <v>0</v>
      </c>
      <c r="F20" s="6">
        <f t="shared" ref="F20:F22" si="1">E20/$E$23</f>
        <v>0</v>
      </c>
      <c r="G20" s="6">
        <f t="shared" ref="G20:G22" si="2">D20*F20</f>
        <v>0</v>
      </c>
      <c r="I20" s="1"/>
      <c r="J20" s="1">
        <v>723</v>
      </c>
      <c r="K20" s="1">
        <f t="shared" ref="K20:K45" si="3">J20-J19</f>
        <v>470</v>
      </c>
    </row>
    <row r="21" spans="3:11" x14ac:dyDescent="0.25">
      <c r="C21" s="1" t="s">
        <v>41</v>
      </c>
      <c r="D21" s="1">
        <v>3</v>
      </c>
      <c r="E21" s="1">
        <f>COUNTIF(K19:K45,"&gt;400")-E20-E19</f>
        <v>6</v>
      </c>
      <c r="F21" s="6">
        <f t="shared" si="1"/>
        <v>0.22222222222222221</v>
      </c>
      <c r="G21" s="6">
        <f t="shared" si="2"/>
        <v>0.66666666666666663</v>
      </c>
      <c r="I21" s="1"/>
      <c r="J21" s="1">
        <v>1030</v>
      </c>
      <c r="K21" s="1">
        <f t="shared" si="3"/>
        <v>307</v>
      </c>
    </row>
    <row r="22" spans="3:11" x14ac:dyDescent="0.25">
      <c r="C22" s="1" t="s">
        <v>42</v>
      </c>
      <c r="D22" s="1">
        <v>0</v>
      </c>
      <c r="E22" s="1">
        <f>COUNTIF(K19:K45,"&gt;0")-E20-E19-E21</f>
        <v>17</v>
      </c>
      <c r="F22" s="6">
        <f t="shared" si="1"/>
        <v>0.62962962962962965</v>
      </c>
      <c r="G22" s="6">
        <f t="shared" si="2"/>
        <v>0</v>
      </c>
      <c r="I22" s="1"/>
      <c r="J22" s="1">
        <v>1380</v>
      </c>
      <c r="K22" s="1">
        <f t="shared" si="3"/>
        <v>350</v>
      </c>
    </row>
    <row r="23" spans="3:11" x14ac:dyDescent="0.25">
      <c r="C23" s="1"/>
      <c r="D23" s="1" t="s">
        <v>45</v>
      </c>
      <c r="E23" s="1">
        <f>SUM(E19:E22)</f>
        <v>27</v>
      </c>
      <c r="F23" s="1"/>
      <c r="G23" s="6">
        <f>SUM(G19:G22)</f>
        <v>1.4074074074074074</v>
      </c>
      <c r="I23" s="1"/>
      <c r="J23" s="1">
        <v>1610</v>
      </c>
      <c r="K23" s="1">
        <f t="shared" si="3"/>
        <v>230</v>
      </c>
    </row>
    <row r="24" spans="3:11" x14ac:dyDescent="0.25">
      <c r="I24" s="1"/>
      <c r="J24" s="1">
        <v>2070</v>
      </c>
      <c r="K24" s="1">
        <f t="shared" si="3"/>
        <v>460</v>
      </c>
    </row>
    <row r="25" spans="3:11" x14ac:dyDescent="0.25">
      <c r="I25" s="1"/>
      <c r="J25" s="1">
        <v>2390</v>
      </c>
      <c r="K25" s="1">
        <f t="shared" si="3"/>
        <v>320</v>
      </c>
    </row>
    <row r="26" spans="3:11" x14ac:dyDescent="0.25">
      <c r="I26" s="1"/>
      <c r="J26" s="1">
        <v>3290</v>
      </c>
      <c r="K26" s="1">
        <f t="shared" si="3"/>
        <v>900</v>
      </c>
    </row>
    <row r="27" spans="3:11" x14ac:dyDescent="0.25">
      <c r="I27" s="1"/>
      <c r="J27" s="1">
        <v>3510</v>
      </c>
      <c r="K27" s="1">
        <f t="shared" si="3"/>
        <v>220</v>
      </c>
    </row>
    <row r="28" spans="3:11" x14ac:dyDescent="0.25">
      <c r="I28" s="1"/>
      <c r="J28" s="1">
        <v>3860</v>
      </c>
      <c r="K28" s="1">
        <f t="shared" si="3"/>
        <v>350</v>
      </c>
    </row>
    <row r="29" spans="3:11" x14ac:dyDescent="0.25">
      <c r="I29" s="1"/>
      <c r="J29" s="1">
        <v>4300</v>
      </c>
      <c r="K29" s="1">
        <f t="shared" si="3"/>
        <v>440</v>
      </c>
    </row>
    <row r="30" spans="3:11" x14ac:dyDescent="0.25">
      <c r="I30" s="1"/>
      <c r="J30" s="1">
        <v>4660</v>
      </c>
      <c r="K30" s="1">
        <f t="shared" si="3"/>
        <v>360</v>
      </c>
    </row>
    <row r="31" spans="3:11" x14ac:dyDescent="0.25">
      <c r="I31" s="1"/>
      <c r="J31" s="1">
        <v>5370</v>
      </c>
      <c r="K31" s="1">
        <f t="shared" si="3"/>
        <v>710</v>
      </c>
    </row>
    <row r="32" spans="3:11" x14ac:dyDescent="0.25">
      <c r="I32" s="1"/>
      <c r="J32" s="1">
        <v>5840</v>
      </c>
      <c r="K32" s="1">
        <f t="shared" si="3"/>
        <v>470</v>
      </c>
    </row>
    <row r="33" spans="3:11" x14ac:dyDescent="0.25">
      <c r="I33" s="1"/>
      <c r="J33" s="1">
        <v>6560</v>
      </c>
      <c r="K33" s="1">
        <f t="shared" si="3"/>
        <v>720</v>
      </c>
    </row>
    <row r="34" spans="3:11" x14ac:dyDescent="0.25">
      <c r="I34" s="1"/>
      <c r="J34" s="1">
        <v>6970</v>
      </c>
      <c r="K34" s="1">
        <f t="shared" si="3"/>
        <v>410</v>
      </c>
    </row>
    <row r="35" spans="3:11" x14ac:dyDescent="0.25">
      <c r="I35" s="1"/>
      <c r="J35" s="1">
        <v>7300</v>
      </c>
      <c r="K35" s="1">
        <f t="shared" si="3"/>
        <v>330</v>
      </c>
    </row>
    <row r="36" spans="3:11" x14ac:dyDescent="0.25">
      <c r="I36" s="1"/>
      <c r="J36" s="1">
        <v>7610</v>
      </c>
      <c r="K36" s="1">
        <f t="shared" si="3"/>
        <v>310</v>
      </c>
    </row>
    <row r="37" spans="3:11" ht="15.75" customHeight="1" x14ac:dyDescent="0.25">
      <c r="I37" s="1"/>
      <c r="J37" s="1">
        <v>7890</v>
      </c>
      <c r="K37" s="1">
        <f t="shared" si="3"/>
        <v>280</v>
      </c>
    </row>
    <row r="38" spans="3:11" ht="15.75" customHeight="1" x14ac:dyDescent="0.25">
      <c r="J38" s="27">
        <v>8200</v>
      </c>
      <c r="K38" s="1">
        <f t="shared" si="3"/>
        <v>310</v>
      </c>
    </row>
    <row r="39" spans="3:11" ht="15.75" customHeight="1" x14ac:dyDescent="0.25">
      <c r="J39" s="27">
        <v>8430</v>
      </c>
      <c r="K39" s="1">
        <f t="shared" si="3"/>
        <v>230</v>
      </c>
    </row>
    <row r="40" spans="3:11" x14ac:dyDescent="0.25">
      <c r="J40" s="27">
        <v>8730</v>
      </c>
      <c r="K40" s="1">
        <f t="shared" si="3"/>
        <v>300</v>
      </c>
    </row>
    <row r="41" spans="3:11" x14ac:dyDescent="0.25">
      <c r="J41" s="27">
        <v>9230</v>
      </c>
      <c r="K41" s="1">
        <f t="shared" si="3"/>
        <v>500</v>
      </c>
    </row>
    <row r="42" spans="3:11" x14ac:dyDescent="0.25">
      <c r="J42" s="27">
        <v>9960</v>
      </c>
      <c r="K42" s="1">
        <f t="shared" si="3"/>
        <v>730</v>
      </c>
    </row>
    <row r="43" spans="3:11" x14ac:dyDescent="0.25">
      <c r="J43" s="27">
        <v>10200</v>
      </c>
      <c r="K43" s="1">
        <f t="shared" si="3"/>
        <v>240</v>
      </c>
    </row>
    <row r="44" spans="3:11" x14ac:dyDescent="0.25">
      <c r="J44" s="27">
        <v>10440</v>
      </c>
      <c r="K44" s="1">
        <f t="shared" si="3"/>
        <v>240</v>
      </c>
    </row>
    <row r="45" spans="3:11" x14ac:dyDescent="0.25">
      <c r="J45" s="27">
        <v>10780</v>
      </c>
      <c r="K45" s="1">
        <f t="shared" si="3"/>
        <v>340</v>
      </c>
    </row>
    <row r="48" spans="3:11" x14ac:dyDescent="0.25">
      <c r="C48" s="4" t="s">
        <v>4</v>
      </c>
      <c r="D48" s="1" t="s">
        <v>52</v>
      </c>
      <c r="E48" s="1" t="s">
        <v>44</v>
      </c>
      <c r="F48" s="1" t="s">
        <v>32</v>
      </c>
      <c r="G48" s="1" t="s">
        <v>31</v>
      </c>
      <c r="I48" t="s">
        <v>133</v>
      </c>
      <c r="J48" t="s">
        <v>131</v>
      </c>
      <c r="K48" t="s">
        <v>132</v>
      </c>
    </row>
    <row r="49" spans="3:11" x14ac:dyDescent="0.25">
      <c r="C49" s="1" t="s">
        <v>46</v>
      </c>
      <c r="D49" s="1">
        <v>3</v>
      </c>
      <c r="E49" s="1">
        <v>24</v>
      </c>
      <c r="F49" s="1">
        <f>E49/((J45*2)/1000)</f>
        <v>1.1131725417439704</v>
      </c>
      <c r="G49" s="1">
        <f>-4*F49+4</f>
        <v>-0.4526901669758816</v>
      </c>
      <c r="I49">
        <v>27</v>
      </c>
      <c r="J49">
        <v>8</v>
      </c>
      <c r="K49">
        <f>((I49/2)^2+J49^2)/(2*J49)</f>
        <v>15.390625</v>
      </c>
    </row>
    <row r="50" spans="3:11" x14ac:dyDescent="0.25">
      <c r="C50" s="1" t="s">
        <v>47</v>
      </c>
      <c r="D50" s="1">
        <v>2</v>
      </c>
      <c r="F50" s="1"/>
      <c r="G50" s="1"/>
    </row>
    <row r="51" spans="3:11" x14ac:dyDescent="0.25">
      <c r="C51" s="1" t="s">
        <v>48</v>
      </c>
      <c r="D51" s="1">
        <v>1</v>
      </c>
      <c r="E51" s="1"/>
      <c r="F51" s="1"/>
      <c r="G51" s="1"/>
    </row>
    <row r="52" spans="3:11" x14ac:dyDescent="0.25">
      <c r="C52" s="1" t="s">
        <v>49</v>
      </c>
      <c r="D52" s="1">
        <v>0</v>
      </c>
      <c r="E52" s="1"/>
      <c r="F52" s="1"/>
      <c r="G52" s="1"/>
    </row>
    <row r="53" spans="3:11" x14ac:dyDescent="0.25">
      <c r="F53" s="1" t="s">
        <v>53</v>
      </c>
      <c r="G53" s="1">
        <v>0</v>
      </c>
      <c r="J53" s="5"/>
    </row>
    <row r="55" spans="3:11" x14ac:dyDescent="0.25">
      <c r="C55" s="8" t="s">
        <v>5</v>
      </c>
      <c r="D55" s="1" t="s">
        <v>52</v>
      </c>
      <c r="E55" s="1" t="s">
        <v>44</v>
      </c>
      <c r="F55" s="1" t="s">
        <v>32</v>
      </c>
      <c r="G55" s="1" t="s">
        <v>31</v>
      </c>
    </row>
    <row r="56" spans="3:11" ht="30" x14ac:dyDescent="0.25">
      <c r="C56" s="2" t="s">
        <v>50</v>
      </c>
      <c r="D56" s="1">
        <v>3</v>
      </c>
      <c r="E56" s="1">
        <v>0</v>
      </c>
      <c r="F56" s="1">
        <v>1</v>
      </c>
      <c r="G56" s="1">
        <f>D56*F56</f>
        <v>3</v>
      </c>
    </row>
    <row r="57" spans="3:11" ht="30" x14ac:dyDescent="0.25">
      <c r="C57" s="2" t="s">
        <v>51</v>
      </c>
      <c r="D57" s="1">
        <v>0</v>
      </c>
      <c r="E57" s="1">
        <v>1</v>
      </c>
      <c r="F57" s="1">
        <f>E57/SUM(E56:E57)</f>
        <v>1</v>
      </c>
      <c r="G57" s="1">
        <f>D57*F57</f>
        <v>0</v>
      </c>
    </row>
    <row r="58" spans="3:11" x14ac:dyDescent="0.25">
      <c r="F58" s="1" t="s">
        <v>45</v>
      </c>
      <c r="G58" s="1">
        <f>SUM(G56:G57)</f>
        <v>3</v>
      </c>
    </row>
    <row r="60" spans="3:11" x14ac:dyDescent="0.25">
      <c r="C60" s="8" t="s">
        <v>6</v>
      </c>
      <c r="D60" s="1" t="s">
        <v>52</v>
      </c>
      <c r="E60" s="1" t="s">
        <v>44</v>
      </c>
      <c r="F60" s="1" t="s">
        <v>57</v>
      </c>
      <c r="G60" s="1" t="s">
        <v>31</v>
      </c>
    </row>
    <row r="61" spans="3:11" x14ac:dyDescent="0.25">
      <c r="C61" s="1" t="s">
        <v>54</v>
      </c>
      <c r="D61" s="1">
        <v>2</v>
      </c>
      <c r="E61" s="1"/>
      <c r="F61" s="1"/>
      <c r="G61" s="1">
        <v>0</v>
      </c>
    </row>
    <row r="62" spans="3:11" x14ac:dyDescent="0.25">
      <c r="C62" s="1" t="s">
        <v>55</v>
      </c>
      <c r="D62" s="1">
        <v>1</v>
      </c>
      <c r="E62" s="1"/>
      <c r="F62" s="1"/>
      <c r="G62" s="1">
        <v>1</v>
      </c>
    </row>
    <row r="63" spans="3:11" x14ac:dyDescent="0.25">
      <c r="C63" s="1" t="s">
        <v>56</v>
      </c>
      <c r="D63" s="1">
        <v>0</v>
      </c>
      <c r="E63" s="1"/>
      <c r="F63" s="1"/>
      <c r="G63" s="1">
        <v>0</v>
      </c>
    </row>
    <row r="64" spans="3:11" x14ac:dyDescent="0.25">
      <c r="F64" s="1" t="s">
        <v>53</v>
      </c>
      <c r="G64" s="1">
        <f>SUM(G61:G63)</f>
        <v>1</v>
      </c>
    </row>
    <row r="66" spans="3:7" x14ac:dyDescent="0.25">
      <c r="C66" s="1" t="s">
        <v>58</v>
      </c>
      <c r="D66" s="1" t="s">
        <v>52</v>
      </c>
      <c r="E66" s="1" t="s">
        <v>44</v>
      </c>
      <c r="F66" s="1" t="s">
        <v>57</v>
      </c>
      <c r="G66" s="1" t="s">
        <v>31</v>
      </c>
    </row>
    <row r="67" spans="3:7" x14ac:dyDescent="0.25">
      <c r="C67" s="1" t="s">
        <v>59</v>
      </c>
      <c r="D67" s="1">
        <v>1</v>
      </c>
      <c r="E67" s="1">
        <v>0</v>
      </c>
      <c r="F67" s="1">
        <f>E67/SUM(E67:E68)</f>
        <v>0</v>
      </c>
      <c r="G67" s="1">
        <f>D67*F67</f>
        <v>0</v>
      </c>
    </row>
    <row r="68" spans="3:7" x14ac:dyDescent="0.25">
      <c r="C68" s="8" t="s">
        <v>60</v>
      </c>
      <c r="D68" s="1">
        <v>1</v>
      </c>
      <c r="E68" s="1">
        <v>17</v>
      </c>
      <c r="F68" s="1">
        <f>E68/54</f>
        <v>0.31481481481481483</v>
      </c>
      <c r="G68" s="1">
        <f>D68*F68</f>
        <v>0.31481481481481483</v>
      </c>
    </row>
    <row r="69" spans="3:7" x14ac:dyDescent="0.25">
      <c r="F69" s="7" t="s">
        <v>53</v>
      </c>
      <c r="G69" s="7">
        <f>SUM(G67:G68)</f>
        <v>0.31481481481481483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zoomScale="108" workbookViewId="0">
      <selection activeCell="N11" sqref="N3:Q11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9" max="9" width="12.140625" customWidth="1"/>
    <col min="10" max="10" width="13.140625" customWidth="1"/>
    <col min="12" max="12" width="10" customWidth="1"/>
    <col min="14" max="14" width="10.5703125" customWidth="1"/>
    <col min="15" max="15" width="13.85546875" customWidth="1"/>
  </cols>
  <sheetData>
    <row r="3" spans="3:17" x14ac:dyDescent="0.25">
      <c r="I3" t="s">
        <v>159</v>
      </c>
      <c r="N3" t="s">
        <v>160</v>
      </c>
    </row>
    <row r="4" spans="3:17" x14ac:dyDescent="0.25">
      <c r="C4" s="1" t="s">
        <v>14</v>
      </c>
      <c r="D4" s="1" t="s">
        <v>52</v>
      </c>
      <c r="E4" s="1" t="s">
        <v>44</v>
      </c>
      <c r="F4" s="1" t="s">
        <v>72</v>
      </c>
      <c r="G4" s="1" t="s">
        <v>31</v>
      </c>
      <c r="I4" t="s">
        <v>151</v>
      </c>
      <c r="J4" t="s">
        <v>134</v>
      </c>
      <c r="K4" t="s">
        <v>135</v>
      </c>
      <c r="L4" t="s">
        <v>139</v>
      </c>
      <c r="N4" t="s">
        <v>151</v>
      </c>
      <c r="O4" t="s">
        <v>134</v>
      </c>
      <c r="P4" t="s">
        <v>135</v>
      </c>
      <c r="Q4" t="s">
        <v>139</v>
      </c>
    </row>
    <row r="5" spans="3:17" ht="45" x14ac:dyDescent="0.25">
      <c r="C5" s="2" t="s">
        <v>73</v>
      </c>
      <c r="D5" s="1">
        <v>8</v>
      </c>
      <c r="E5" s="1">
        <f>SUMIF(J5:J35,"*Fysisk*",L5:L35)+SUMIF(O5:O33,"*Fysisk*",Q5:Q33)</f>
        <v>934</v>
      </c>
      <c r="F5" s="6">
        <f>E5/SUM(E5:E8)</f>
        <v>4.3381328379006039E-2</v>
      </c>
      <c r="G5" s="1">
        <f>F5*D5</f>
        <v>0.34705062703204831</v>
      </c>
      <c r="J5" t="s">
        <v>76</v>
      </c>
      <c r="K5">
        <v>686</v>
      </c>
      <c r="L5">
        <v>686</v>
      </c>
      <c r="O5" t="s">
        <v>76</v>
      </c>
      <c r="P5">
        <v>4200</v>
      </c>
      <c r="Q5">
        <f>P5</f>
        <v>4200</v>
      </c>
    </row>
    <row r="6" spans="3:17" ht="45" x14ac:dyDescent="0.25">
      <c r="C6" s="2" t="s">
        <v>74</v>
      </c>
      <c r="D6" s="1">
        <v>6</v>
      </c>
      <c r="E6" s="1">
        <f>SUMIF(J5:J35,"*Visuell*",L5:L35)+SUMIF(O5:O33,"*Visuell*",Q5:Q33)</f>
        <v>0</v>
      </c>
      <c r="F6" s="6">
        <f>E6/SUM(E5:E8)</f>
        <v>0</v>
      </c>
      <c r="G6" s="1">
        <f t="shared" ref="G6:G8" si="0">F6*D6</f>
        <v>0</v>
      </c>
      <c r="I6">
        <f>L6</f>
        <v>464</v>
      </c>
      <c r="J6" s="9" t="s">
        <v>138</v>
      </c>
      <c r="K6">
        <v>1150</v>
      </c>
      <c r="L6">
        <f>K6-K5</f>
        <v>464</v>
      </c>
      <c r="O6" t="s">
        <v>137</v>
      </c>
      <c r="P6">
        <v>4300</v>
      </c>
      <c r="Q6">
        <f>P6-P5</f>
        <v>100</v>
      </c>
    </row>
    <row r="7" spans="3:17" x14ac:dyDescent="0.25">
      <c r="C7" s="2" t="s">
        <v>75</v>
      </c>
      <c r="D7" s="1">
        <v>4</v>
      </c>
      <c r="E7" s="1">
        <f>SUMIF(J5:J35,"*linje*",L5:L35)+SUMIF(O5:O33,"*linje*",Q5:Q33)</f>
        <v>380</v>
      </c>
      <c r="F7" s="6">
        <f>E7/SUM(E5:E8)</f>
        <v>1.7649790989317231E-2</v>
      </c>
      <c r="G7" s="1">
        <f t="shared" si="0"/>
        <v>7.0599163957268923E-2</v>
      </c>
      <c r="J7" s="9" t="s">
        <v>76</v>
      </c>
      <c r="K7">
        <v>6490</v>
      </c>
      <c r="L7">
        <f t="shared" ref="L7:L9" si="1">K7-K6</f>
        <v>5340</v>
      </c>
      <c r="O7" t="s">
        <v>76</v>
      </c>
      <c r="P7">
        <v>7580</v>
      </c>
      <c r="Q7">
        <f t="shared" ref="Q7:Q11" si="2">P7-P6</f>
        <v>3280</v>
      </c>
    </row>
    <row r="8" spans="3:17" x14ac:dyDescent="0.25">
      <c r="C8" s="1" t="s">
        <v>76</v>
      </c>
      <c r="D8" s="1">
        <v>0</v>
      </c>
      <c r="E8" s="1">
        <f>SUMIF(J5:J35,"*Blandtrafik*",L5:L35)+SUMIF(O5:O33,"*Blandtrafik*",Q5:Q33)</f>
        <v>20216</v>
      </c>
      <c r="F8" s="6">
        <f>E8/SUM(E5:E8)</f>
        <v>0.93896888063167672</v>
      </c>
      <c r="G8" s="1">
        <f t="shared" si="0"/>
        <v>0</v>
      </c>
      <c r="J8" t="s">
        <v>137</v>
      </c>
      <c r="K8">
        <v>6600</v>
      </c>
      <c r="L8">
        <f t="shared" si="1"/>
        <v>110</v>
      </c>
      <c r="O8" t="s">
        <v>137</v>
      </c>
      <c r="P8">
        <v>7750</v>
      </c>
      <c r="Q8">
        <f t="shared" si="2"/>
        <v>170</v>
      </c>
    </row>
    <row r="9" spans="3:17" x14ac:dyDescent="0.25">
      <c r="D9" s="1" t="s">
        <v>143</v>
      </c>
      <c r="E9" s="1">
        <f>SUM(E5:E8)</f>
        <v>21530</v>
      </c>
      <c r="F9" s="7" t="s">
        <v>38</v>
      </c>
      <c r="G9" s="10">
        <f>SUM(G5:G8)</f>
        <v>0.4176497909893172</v>
      </c>
      <c r="J9" t="s">
        <v>76</v>
      </c>
      <c r="K9">
        <v>10830</v>
      </c>
      <c r="L9">
        <f t="shared" si="1"/>
        <v>4230</v>
      </c>
      <c r="O9" t="s">
        <v>76</v>
      </c>
      <c r="P9">
        <v>9540</v>
      </c>
      <c r="Q9">
        <f t="shared" si="2"/>
        <v>1790</v>
      </c>
    </row>
    <row r="10" spans="3:17" x14ac:dyDescent="0.25">
      <c r="N10">
        <f>Q10</f>
        <v>470</v>
      </c>
      <c r="O10" t="s">
        <v>138</v>
      </c>
      <c r="P10">
        <v>10010</v>
      </c>
      <c r="Q10">
        <f t="shared" si="2"/>
        <v>470</v>
      </c>
    </row>
    <row r="11" spans="3:17" x14ac:dyDescent="0.25">
      <c r="E11">
        <f>K35+P33</f>
        <v>0</v>
      </c>
      <c r="O11" t="s">
        <v>76</v>
      </c>
      <c r="P11">
        <v>10700</v>
      </c>
      <c r="Q11">
        <f t="shared" si="2"/>
        <v>690</v>
      </c>
    </row>
    <row r="12" spans="3:17" x14ac:dyDescent="0.25">
      <c r="E12">
        <f>SUM(E5:E8)</f>
        <v>21530</v>
      </c>
    </row>
    <row r="14" spans="3:17" x14ac:dyDescent="0.25">
      <c r="E14" t="s">
        <v>76</v>
      </c>
    </row>
    <row r="15" spans="3:17" x14ac:dyDescent="0.25">
      <c r="E15" s="9" t="s">
        <v>136</v>
      </c>
    </row>
    <row r="16" spans="3:17" x14ac:dyDescent="0.25">
      <c r="E16" t="s">
        <v>137</v>
      </c>
    </row>
    <row r="17" spans="5:5" x14ac:dyDescent="0.25">
      <c r="E17" t="s">
        <v>138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52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>
        <f>L6+Q10</f>
        <v>934</v>
      </c>
      <c r="F42" s="6">
        <f>E42/(E42+E43)</f>
        <v>0.71080669710806699</v>
      </c>
      <c r="G42" s="1">
        <f>F42*D42</f>
        <v>2.8432267884322679</v>
      </c>
    </row>
    <row r="43" spans="3:20" ht="30" x14ac:dyDescent="0.25">
      <c r="C43" s="2" t="s">
        <v>78</v>
      </c>
      <c r="D43" s="1">
        <v>0</v>
      </c>
      <c r="E43" s="1">
        <f>L8+Q8+Q6</f>
        <v>380</v>
      </c>
      <c r="F43" s="6">
        <f>E43/(E42+E43)</f>
        <v>0.28919330289193301</v>
      </c>
      <c r="G43" s="1">
        <f>F43*D43</f>
        <v>0</v>
      </c>
    </row>
    <row r="44" spans="3:20" x14ac:dyDescent="0.25">
      <c r="F44" s="1" t="s">
        <v>38</v>
      </c>
      <c r="G44" s="1">
        <f>SUM(G42:G43)</f>
        <v>2.8432267884322679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52</v>
      </c>
      <c r="E48" s="1" t="s">
        <v>44</v>
      </c>
      <c r="F48" s="1" t="s">
        <v>32</v>
      </c>
      <c r="G48" s="1" t="s">
        <v>31</v>
      </c>
    </row>
    <row r="49" spans="3:9" x14ac:dyDescent="0.25">
      <c r="C49" s="1" t="s">
        <v>81</v>
      </c>
      <c r="D49" s="1">
        <v>3</v>
      </c>
      <c r="E49" s="1"/>
      <c r="F49" s="1">
        <v>1</v>
      </c>
      <c r="G49" s="1">
        <v>3</v>
      </c>
    </row>
    <row r="50" spans="3:9" x14ac:dyDescent="0.25">
      <c r="C50" s="1" t="s">
        <v>82</v>
      </c>
      <c r="D50" s="1">
        <v>0</v>
      </c>
      <c r="E50" s="1"/>
      <c r="F50" s="1">
        <v>0</v>
      </c>
      <c r="G50" s="1"/>
    </row>
    <row r="51" spans="3:9" x14ac:dyDescent="0.25">
      <c r="F51" s="7" t="s">
        <v>38</v>
      </c>
      <c r="G51" s="7">
        <f>SUM(G49:G50)</f>
        <v>3</v>
      </c>
    </row>
    <row r="54" spans="3:9" x14ac:dyDescent="0.25">
      <c r="C54" s="8" t="s">
        <v>83</v>
      </c>
      <c r="D54" s="1" t="s">
        <v>52</v>
      </c>
      <c r="E54" s="1" t="s">
        <v>44</v>
      </c>
      <c r="F54" s="1" t="s">
        <v>32</v>
      </c>
      <c r="G54" s="1" t="s">
        <v>31</v>
      </c>
    </row>
    <row r="55" spans="3:9" x14ac:dyDescent="0.25">
      <c r="C55" s="1" t="s">
        <v>84</v>
      </c>
      <c r="D55" s="1">
        <v>2</v>
      </c>
      <c r="E55" s="1"/>
      <c r="F55" s="1">
        <f>E55/(SUM(E5:E7)/1000)</f>
        <v>0</v>
      </c>
      <c r="G55" s="1">
        <f>2-4*F55</f>
        <v>2</v>
      </c>
    </row>
    <row r="56" spans="3:9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9" x14ac:dyDescent="0.25">
      <c r="C57" s="1" t="s">
        <v>86</v>
      </c>
      <c r="D57" s="1">
        <v>0</v>
      </c>
      <c r="E57" s="1"/>
      <c r="F57" s="1"/>
      <c r="G57" s="1">
        <v>0</v>
      </c>
    </row>
    <row r="58" spans="3:9" x14ac:dyDescent="0.25">
      <c r="F58" s="7" t="s">
        <v>38</v>
      </c>
      <c r="G58" s="7">
        <v>0</v>
      </c>
    </row>
    <row r="61" spans="3:9" x14ac:dyDescent="0.25">
      <c r="C61" s="1" t="s">
        <v>87</v>
      </c>
      <c r="D61" s="1" t="s">
        <v>52</v>
      </c>
      <c r="E61" s="1" t="s">
        <v>44</v>
      </c>
      <c r="F61" s="1" t="s">
        <v>72</v>
      </c>
      <c r="G61" s="1" t="s">
        <v>31</v>
      </c>
    </row>
    <row r="62" spans="3:9" x14ac:dyDescent="0.25">
      <c r="C62" s="1" t="s">
        <v>84</v>
      </c>
      <c r="D62" s="1">
        <v>3</v>
      </c>
      <c r="E62" s="1">
        <v>30</v>
      </c>
      <c r="F62" s="6">
        <f>E62/(E12/1000)</f>
        <v>1.3934045517882023</v>
      </c>
      <c r="G62" s="1">
        <f>3-(3*F62)</f>
        <v>-1.1802136553646072</v>
      </c>
      <c r="I62" t="s">
        <v>161</v>
      </c>
    </row>
    <row r="63" spans="3:9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9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v>0</v>
      </c>
    </row>
    <row r="68" spans="3:7" x14ac:dyDescent="0.25">
      <c r="C68" s="1" t="s">
        <v>90</v>
      </c>
      <c r="D68" s="1" t="s">
        <v>52</v>
      </c>
      <c r="E68" s="1" t="s">
        <v>44</v>
      </c>
      <c r="F68" s="1" t="s">
        <v>72</v>
      </c>
      <c r="G68" s="1" t="s">
        <v>31</v>
      </c>
    </row>
    <row r="69" spans="3:7" x14ac:dyDescent="0.25">
      <c r="C69" s="1" t="s">
        <v>84</v>
      </c>
      <c r="D69" s="1">
        <v>3</v>
      </c>
      <c r="E69" s="1">
        <v>16</v>
      </c>
      <c r="F69" s="6">
        <f>E69/(E12/1000)</f>
        <v>0.74314909428704135</v>
      </c>
      <c r="G69" s="1">
        <f>3-(6*F69)</f>
        <v>-1.4588945657222485</v>
      </c>
    </row>
    <row r="70" spans="3:7" x14ac:dyDescent="0.25">
      <c r="C70" s="1" t="s">
        <v>91</v>
      </c>
      <c r="D70" s="1">
        <v>2</v>
      </c>
      <c r="E70" s="1"/>
      <c r="F70" s="6"/>
      <c r="G70" s="1"/>
    </row>
    <row r="71" spans="3:7" x14ac:dyDescent="0.25">
      <c r="C71" s="1" t="s">
        <v>92</v>
      </c>
      <c r="D71" s="1">
        <v>1</v>
      </c>
      <c r="E71" s="1"/>
      <c r="F71" s="6"/>
      <c r="G71" s="1"/>
    </row>
    <row r="72" spans="3:7" x14ac:dyDescent="0.25">
      <c r="C72" s="1" t="s">
        <v>93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v>0</v>
      </c>
    </row>
    <row r="76" spans="3:7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95</v>
      </c>
      <c r="D77" s="1">
        <v>7</v>
      </c>
      <c r="E77" s="1"/>
      <c r="F77" s="1"/>
      <c r="G77" s="1"/>
    </row>
    <row r="78" spans="3:7" ht="30" x14ac:dyDescent="0.25">
      <c r="C78" s="2" t="s">
        <v>96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v>0</v>
      </c>
    </row>
    <row r="82" spans="3:7" x14ac:dyDescent="0.25">
      <c r="C82" s="8" t="s">
        <v>97</v>
      </c>
      <c r="D82" s="1" t="s">
        <v>52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/>
      <c r="F83" s="6">
        <f>E83/(SUM(E5:E7)/1000)</f>
        <v>0</v>
      </c>
      <c r="G83" s="1">
        <f>3-1.5*F83</f>
        <v>3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3</v>
      </c>
    </row>
    <row r="88" spans="3:7" x14ac:dyDescent="0.25">
      <c r="C88" t="s">
        <v>152</v>
      </c>
    </row>
    <row r="96" spans="3:7" x14ac:dyDescent="0.25">
      <c r="C96" s="1" t="s">
        <v>102</v>
      </c>
      <c r="D96" s="1" t="s">
        <v>52</v>
      </c>
      <c r="E96" s="1" t="s">
        <v>44</v>
      </c>
      <c r="F96" s="1" t="s">
        <v>72</v>
      </c>
      <c r="G96" s="1" t="s">
        <v>31</v>
      </c>
    </row>
    <row r="97" spans="3:8" ht="90" x14ac:dyDescent="0.25">
      <c r="C97" s="2" t="s">
        <v>103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127</v>
      </c>
    </row>
    <row r="98" spans="3:8" ht="60" x14ac:dyDescent="0.25">
      <c r="C98" s="2" t="s">
        <v>104</v>
      </c>
      <c r="D98" s="1">
        <v>8</v>
      </c>
      <c r="E98" s="1">
        <v>0</v>
      </c>
      <c r="F98" s="6">
        <f>E98/SUM(E97:E100)</f>
        <v>0</v>
      </c>
      <c r="G98" s="1">
        <f>D98*F98</f>
        <v>0</v>
      </c>
      <c r="H98" t="s">
        <v>125</v>
      </c>
    </row>
    <row r="99" spans="3:8" x14ac:dyDescent="0.25">
      <c r="C99" s="1" t="s">
        <v>105</v>
      </c>
      <c r="D99" s="1">
        <v>5</v>
      </c>
      <c r="E99" s="1">
        <v>50</v>
      </c>
      <c r="F99" s="6">
        <f>E99/SUM(E97:E100)</f>
        <v>0.92592592592592593</v>
      </c>
      <c r="G99" s="1">
        <f>D99*F99</f>
        <v>4.6296296296296298</v>
      </c>
      <c r="H99" t="s">
        <v>126</v>
      </c>
    </row>
    <row r="100" spans="3:8" ht="45" x14ac:dyDescent="0.25">
      <c r="C100" s="2" t="s">
        <v>106</v>
      </c>
      <c r="D100" s="1">
        <v>0</v>
      </c>
      <c r="E100" s="1">
        <v>4</v>
      </c>
      <c r="F100" s="6">
        <f>E100/SUM(E97:E100)</f>
        <v>7.407407407407407E-2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4.6296296296296298</v>
      </c>
    </row>
    <row r="104" spans="3:8" x14ac:dyDescent="0.25">
      <c r="C104" s="1" t="s">
        <v>107</v>
      </c>
      <c r="D104" s="1" t="s">
        <v>52</v>
      </c>
      <c r="E104" s="1" t="s">
        <v>44</v>
      </c>
      <c r="F104" s="1" t="s">
        <v>72</v>
      </c>
      <c r="G104" s="1" t="s">
        <v>31</v>
      </c>
    </row>
    <row r="105" spans="3:8" ht="60" x14ac:dyDescent="0.25">
      <c r="C105" s="2" t="s">
        <v>108</v>
      </c>
      <c r="D105" s="1">
        <v>3</v>
      </c>
      <c r="E105" s="6">
        <v>2</v>
      </c>
      <c r="F105" s="6">
        <f>E105/SUM(E105:E108)</f>
        <v>3.7037037037037035E-2</v>
      </c>
      <c r="G105" s="1">
        <f>D105*F105</f>
        <v>0.1111111111111111</v>
      </c>
    </row>
    <row r="106" spans="3:8" ht="45" x14ac:dyDescent="0.25">
      <c r="C106" s="2" t="s">
        <v>109</v>
      </c>
      <c r="D106" s="1">
        <v>2</v>
      </c>
      <c r="E106" s="6">
        <v>0</v>
      </c>
      <c r="F106" s="6">
        <f>E106/SUM(E105:E108)</f>
        <v>0</v>
      </c>
      <c r="G106" s="1">
        <f t="shared" ref="G106:G108" si="3">D106*F106</f>
        <v>0</v>
      </c>
    </row>
    <row r="107" spans="3:8" ht="45" x14ac:dyDescent="0.25">
      <c r="C107" s="2" t="s">
        <v>110</v>
      </c>
      <c r="D107" s="1">
        <v>1</v>
      </c>
      <c r="E107" s="6">
        <v>26</v>
      </c>
      <c r="F107" s="6">
        <f>E107/SUM(E105:E108)</f>
        <v>0.48148148148148145</v>
      </c>
      <c r="G107" s="1">
        <f t="shared" si="3"/>
        <v>0.48148148148148145</v>
      </c>
    </row>
    <row r="108" spans="3:8" x14ac:dyDescent="0.25">
      <c r="C108" s="1" t="s">
        <v>111</v>
      </c>
      <c r="D108" s="1">
        <v>0</v>
      </c>
      <c r="E108" s="6">
        <v>26</v>
      </c>
      <c r="F108" s="6">
        <f>E108/SUM(E105:E108)</f>
        <v>0.48148148148148145</v>
      </c>
      <c r="G108" s="1">
        <f t="shared" si="3"/>
        <v>0</v>
      </c>
    </row>
    <row r="109" spans="3:8" x14ac:dyDescent="0.25">
      <c r="E109" s="7" t="s">
        <v>38</v>
      </c>
      <c r="F109" s="1">
        <f>SUM(F105:F108)</f>
        <v>1</v>
      </c>
      <c r="G109" s="10">
        <f>SUM(G105:G108)</f>
        <v>0.59259259259259256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tabSelected="1" workbookViewId="0">
      <selection activeCell="K11" sqref="K11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52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>
        <v>0</v>
      </c>
    </row>
    <row r="6" spans="3:7" ht="60" x14ac:dyDescent="0.25">
      <c r="C6" s="2" t="s">
        <v>63</v>
      </c>
      <c r="D6" s="1">
        <v>2</v>
      </c>
      <c r="E6" s="1">
        <v>1</v>
      </c>
      <c r="F6" s="1">
        <v>0</v>
      </c>
      <c r="G6" t="s">
        <v>196</v>
      </c>
    </row>
    <row r="7" spans="3:7" x14ac:dyDescent="0.25">
      <c r="E7" s="1" t="s">
        <v>38</v>
      </c>
      <c r="F7" s="1">
        <f>SUM(F5:F6)</f>
        <v>0</v>
      </c>
    </row>
    <row r="9" spans="3:7" x14ac:dyDescent="0.25">
      <c r="C9" s="1" t="s">
        <v>10</v>
      </c>
      <c r="D9" s="1" t="s">
        <v>52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>
        <v>3</v>
      </c>
      <c r="F10" s="1">
        <f>E10/54</f>
        <v>5.5555555555555552E-2</v>
      </c>
      <c r="G10" s="1">
        <f>D10*F10</f>
        <v>0.1111111111111111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2.1111111111111112</v>
      </c>
    </row>
    <row r="14" spans="3:7" x14ac:dyDescent="0.25">
      <c r="C14" s="1" t="s">
        <v>68</v>
      </c>
      <c r="D14" s="1" t="s">
        <v>52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>
        <v>9</v>
      </c>
    </row>
    <row r="16" spans="3:7" x14ac:dyDescent="0.25">
      <c r="C16" s="1" t="s">
        <v>70</v>
      </c>
      <c r="D16" s="1">
        <v>1</v>
      </c>
      <c r="E16" s="1" t="s">
        <v>67</v>
      </c>
      <c r="F16" s="1">
        <v>0</v>
      </c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3" t="s">
        <v>12</v>
      </c>
      <c r="D19" s="1" t="s">
        <v>52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H29"/>
  <sheetViews>
    <sheetView workbookViewId="0">
      <selection activeCell="K21" sqref="K21"/>
    </sheetView>
  </sheetViews>
  <sheetFormatPr defaultRowHeight="15" x14ac:dyDescent="0.25"/>
  <cols>
    <col min="3" max="3" width="58" customWidth="1"/>
  </cols>
  <sheetData>
    <row r="4" spans="3:8" x14ac:dyDescent="0.25">
      <c r="C4" s="1" t="s">
        <v>140</v>
      </c>
      <c r="D4" s="1" t="s">
        <v>52</v>
      </c>
      <c r="E4" s="1" t="s">
        <v>32</v>
      </c>
      <c r="F4" s="1" t="s">
        <v>31</v>
      </c>
    </row>
    <row r="5" spans="3:8" x14ac:dyDescent="0.25">
      <c r="C5" s="1" t="s">
        <v>112</v>
      </c>
      <c r="D5" s="1">
        <v>4</v>
      </c>
      <c r="E5" s="1">
        <v>0</v>
      </c>
      <c r="F5" s="1">
        <v>0</v>
      </c>
      <c r="H5" t="s">
        <v>162</v>
      </c>
    </row>
    <row r="6" spans="3:8" x14ac:dyDescent="0.25">
      <c r="C6" s="1" t="s">
        <v>113</v>
      </c>
      <c r="D6" s="1">
        <v>3</v>
      </c>
      <c r="E6" s="1">
        <v>0</v>
      </c>
      <c r="F6" s="1">
        <v>3</v>
      </c>
    </row>
    <row r="7" spans="3:8" x14ac:dyDescent="0.25">
      <c r="C7" s="1" t="s">
        <v>114</v>
      </c>
      <c r="D7" s="1">
        <v>0</v>
      </c>
      <c r="E7" s="1">
        <v>0</v>
      </c>
      <c r="F7" s="1">
        <v>0</v>
      </c>
    </row>
    <row r="8" spans="3:8" x14ac:dyDescent="0.25">
      <c r="E8" s="7" t="s">
        <v>38</v>
      </c>
      <c r="F8" s="7">
        <f>SUM(F5:F7)</f>
        <v>3</v>
      </c>
    </row>
    <row r="11" spans="3:8" x14ac:dyDescent="0.25">
      <c r="C11" s="1" t="s">
        <v>141</v>
      </c>
      <c r="D11" s="1" t="s">
        <v>52</v>
      </c>
      <c r="E11" s="1" t="s">
        <v>32</v>
      </c>
      <c r="F11" s="1" t="s">
        <v>31</v>
      </c>
    </row>
    <row r="12" spans="3:8" x14ac:dyDescent="0.25">
      <c r="C12" s="1" t="s">
        <v>115</v>
      </c>
      <c r="D12" s="1">
        <v>4</v>
      </c>
      <c r="E12" s="1">
        <v>0</v>
      </c>
      <c r="F12" s="1"/>
    </row>
    <row r="13" spans="3:8" x14ac:dyDescent="0.25">
      <c r="C13" s="1" t="s">
        <v>116</v>
      </c>
      <c r="D13" s="1">
        <v>3</v>
      </c>
      <c r="E13" s="1">
        <v>0</v>
      </c>
      <c r="F13" s="1">
        <v>0</v>
      </c>
      <c r="H13" t="s">
        <v>163</v>
      </c>
    </row>
    <row r="14" spans="3:8" x14ac:dyDescent="0.25">
      <c r="C14" s="1" t="s">
        <v>117</v>
      </c>
      <c r="D14" s="1">
        <v>0</v>
      </c>
      <c r="E14" s="1">
        <v>0</v>
      </c>
      <c r="F14" s="1">
        <v>0</v>
      </c>
    </row>
    <row r="15" spans="3:8" x14ac:dyDescent="0.25">
      <c r="E15" s="7" t="s">
        <v>38</v>
      </c>
      <c r="F15" s="7">
        <f>SUM(F12:F14)</f>
        <v>0</v>
      </c>
    </row>
    <row r="18" spans="3:8" x14ac:dyDescent="0.25">
      <c r="C18" s="1" t="s">
        <v>118</v>
      </c>
      <c r="D18" s="1" t="s">
        <v>52</v>
      </c>
      <c r="E18" s="1" t="s">
        <v>32</v>
      </c>
      <c r="F18" s="1" t="s">
        <v>31</v>
      </c>
      <c r="H18" t="s">
        <v>165</v>
      </c>
    </row>
    <row r="19" spans="3:8" x14ac:dyDescent="0.25">
      <c r="C19" s="1" t="s">
        <v>119</v>
      </c>
      <c r="D19" s="1">
        <v>3</v>
      </c>
      <c r="E19" s="1">
        <v>0</v>
      </c>
      <c r="F19" s="1">
        <v>3</v>
      </c>
    </row>
    <row r="20" spans="3:8" x14ac:dyDescent="0.25">
      <c r="C20" s="1" t="s">
        <v>120</v>
      </c>
      <c r="D20" s="1">
        <v>2</v>
      </c>
      <c r="E20" s="1">
        <v>0</v>
      </c>
      <c r="F20" s="1">
        <v>0</v>
      </c>
    </row>
    <row r="21" spans="3:8" x14ac:dyDescent="0.25">
      <c r="C21" s="1" t="s">
        <v>121</v>
      </c>
      <c r="D21" s="1">
        <v>0</v>
      </c>
      <c r="E21" s="1">
        <v>0</v>
      </c>
      <c r="F21" s="1">
        <v>0</v>
      </c>
    </row>
    <row r="22" spans="3:8" x14ac:dyDescent="0.25">
      <c r="E22" s="7" t="s">
        <v>38</v>
      </c>
      <c r="F22" s="7">
        <f>SUM(F19:F21)</f>
        <v>3</v>
      </c>
    </row>
    <row r="25" spans="3:8" x14ac:dyDescent="0.25">
      <c r="C25" s="1" t="s">
        <v>122</v>
      </c>
      <c r="D25" s="1" t="s">
        <v>52</v>
      </c>
      <c r="E25" s="1" t="s">
        <v>32</v>
      </c>
      <c r="F25" s="1" t="s">
        <v>31</v>
      </c>
    </row>
    <row r="26" spans="3:8" x14ac:dyDescent="0.25">
      <c r="C26" s="1" t="s">
        <v>120</v>
      </c>
      <c r="D26" s="1">
        <v>3</v>
      </c>
      <c r="E26" s="1">
        <v>0</v>
      </c>
      <c r="F26" s="1">
        <v>3</v>
      </c>
      <c r="H26" t="s">
        <v>164</v>
      </c>
    </row>
    <row r="27" spans="3:8" x14ac:dyDescent="0.25">
      <c r="C27" s="1" t="s">
        <v>123</v>
      </c>
      <c r="D27" s="1">
        <v>2</v>
      </c>
      <c r="E27" s="1">
        <v>0</v>
      </c>
      <c r="F27" s="1"/>
    </row>
    <row r="28" spans="3:8" x14ac:dyDescent="0.25">
      <c r="C28" s="1" t="s">
        <v>124</v>
      </c>
      <c r="D28" s="1">
        <v>0</v>
      </c>
      <c r="E28" s="1">
        <v>0</v>
      </c>
      <c r="F28" s="1">
        <v>0</v>
      </c>
    </row>
    <row r="29" spans="3:8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2024-05-29T08:30:23Z</dcterms:modified>
</cp:coreProperties>
</file>