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136a79196adb37b4/Skrivbord/LTH/Examensarbete/Poängbedömning/"/>
    </mc:Choice>
  </mc:AlternateContent>
  <xr:revisionPtr revIDLastSave="2345" documentId="11_AD4D7A0C205A6B9A452FA844A794D2E6693EDF1F" xr6:coauthVersionLast="47" xr6:coauthVersionMax="47" xr10:uidLastSave="{FDA52323-A3B1-4516-A823-5D6DA016A52C}"/>
  <bookViews>
    <workbookView xWindow="-120" yWindow="-120" windowWidth="29040" windowHeight="15720" activeTab="3" xr2:uid="{00000000-000D-0000-FFFF-FFFF00000000}"/>
  </bookViews>
  <sheets>
    <sheet name="Sammanfattning" sheetId="1" r:id="rId1"/>
    <sheet name="Stadens utformning" sheetId="2" r:id="rId2"/>
    <sheet name="Kollektivtrafikens infrastruktu" sheetId="4" r:id="rId3"/>
    <sheet name="Fordon och Stödsystem" sheetId="3" r:id="rId4"/>
    <sheet name="Trafiker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4" l="1"/>
  <c r="E42" i="4"/>
  <c r="F12" i="4"/>
  <c r="F11" i="4"/>
  <c r="P18" i="4"/>
  <c r="P19" i="4"/>
  <c r="P20" i="4"/>
  <c r="P21" i="4"/>
  <c r="P22" i="4"/>
  <c r="P23" i="4"/>
  <c r="P24" i="4"/>
  <c r="P25" i="4"/>
  <c r="P26" i="4"/>
  <c r="P7" i="4"/>
  <c r="P8" i="4"/>
  <c r="P9" i="4"/>
  <c r="P10" i="4"/>
  <c r="P11" i="4"/>
  <c r="P12" i="4"/>
  <c r="P13" i="4"/>
  <c r="P14" i="4"/>
  <c r="P15" i="4"/>
  <c r="P16" i="4"/>
  <c r="P17" i="4"/>
  <c r="P6" i="4"/>
  <c r="P5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6" i="4"/>
  <c r="K5" i="4"/>
  <c r="F39" i="1" l="1"/>
  <c r="F32" i="1"/>
  <c r="F12" i="1"/>
  <c r="F68" i="1" l="1"/>
  <c r="F67" i="1"/>
  <c r="D67" i="1"/>
  <c r="E67" i="1" s="1"/>
  <c r="F66" i="1"/>
  <c r="E66" i="1"/>
  <c r="D66" i="1"/>
  <c r="F65" i="1"/>
  <c r="E65" i="1" s="1"/>
  <c r="D65" i="1"/>
  <c r="F64" i="1"/>
  <c r="E64" i="1"/>
  <c r="D64" i="1"/>
  <c r="F63" i="1"/>
  <c r="F62" i="1"/>
  <c r="E62" i="1" s="1"/>
  <c r="D62" i="1"/>
  <c r="F61" i="1"/>
  <c r="F60" i="1"/>
  <c r="F59" i="1"/>
  <c r="F58" i="1"/>
  <c r="F57" i="1"/>
  <c r="F56" i="1"/>
  <c r="F55" i="1"/>
  <c r="F54" i="1"/>
  <c r="F53" i="1"/>
  <c r="F52" i="1"/>
  <c r="F51" i="1"/>
  <c r="E51" i="1" s="1"/>
  <c r="D51" i="1"/>
  <c r="F50" i="1"/>
  <c r="E50" i="1"/>
  <c r="D50" i="1"/>
  <c r="F49" i="1"/>
  <c r="E49" i="1" s="1"/>
  <c r="D49" i="1"/>
  <c r="F48" i="1"/>
  <c r="E48" i="1"/>
  <c r="D48" i="1"/>
  <c r="F47" i="1"/>
  <c r="E47" i="1" s="1"/>
  <c r="D47" i="1"/>
  <c r="F46" i="1"/>
  <c r="E46" i="1"/>
  <c r="D46" i="1"/>
  <c r="F45" i="1"/>
  <c r="E45" i="1" s="1"/>
  <c r="D45" i="1"/>
  <c r="F44" i="1"/>
  <c r="E44" i="1"/>
  <c r="D44" i="1"/>
  <c r="G79" i="4"/>
  <c r="G77" i="4"/>
  <c r="D21" i="1"/>
  <c r="D55" i="1" s="1"/>
  <c r="D5" i="1"/>
  <c r="E39" i="1"/>
  <c r="M17" i="1" s="1"/>
  <c r="E32" i="1"/>
  <c r="M15" i="1" s="1"/>
  <c r="E25" i="1"/>
  <c r="E12" i="1"/>
  <c r="M16" i="1"/>
  <c r="M14" i="1"/>
  <c r="M7" i="1"/>
  <c r="M6" i="1"/>
  <c r="D6" i="1"/>
  <c r="D7" i="1"/>
  <c r="D8" i="1"/>
  <c r="D9" i="1"/>
  <c r="D11" i="1"/>
  <c r="D18" i="1"/>
  <c r="D58" i="1" s="1"/>
  <c r="E58" i="1" s="1"/>
  <c r="D19" i="1"/>
  <c r="D57" i="1" s="1"/>
  <c r="D20" i="1"/>
  <c r="D56" i="1" s="1"/>
  <c r="E56" i="1" s="1"/>
  <c r="D23" i="1"/>
  <c r="D53" i="1" s="1"/>
  <c r="D24" i="1"/>
  <c r="D52" i="1" s="1"/>
  <c r="D28" i="1"/>
  <c r="D29" i="1"/>
  <c r="D30" i="1"/>
  <c r="D31" i="1"/>
  <c r="D32" i="1"/>
  <c r="D35" i="1"/>
  <c r="D36" i="1"/>
  <c r="D37" i="1"/>
  <c r="D38" i="1"/>
  <c r="D39" i="1"/>
  <c r="E50" i="4"/>
  <c r="E11" i="4"/>
  <c r="F62" i="4" s="1"/>
  <c r="G62" i="4" s="1"/>
  <c r="F10" i="3"/>
  <c r="F62" i="2"/>
  <c r="F43" i="2"/>
  <c r="G43" i="2" s="1"/>
  <c r="E21" i="2"/>
  <c r="E20" i="2"/>
  <c r="E19" i="2"/>
  <c r="E18" i="2"/>
  <c r="K37" i="2"/>
  <c r="K38" i="2"/>
  <c r="K39" i="2"/>
  <c r="K31" i="2"/>
  <c r="K32" i="2"/>
  <c r="K33" i="2"/>
  <c r="K34" i="2"/>
  <c r="K35" i="2"/>
  <c r="K36" i="2"/>
  <c r="G10" i="3"/>
  <c r="D68" i="1" l="1"/>
  <c r="E68" i="1"/>
  <c r="E57" i="1"/>
  <c r="E53" i="1"/>
  <c r="E55" i="1"/>
  <c r="E52" i="1"/>
  <c r="F69" i="4"/>
  <c r="G69" i="4" s="1"/>
  <c r="E6" i="4"/>
  <c r="E5" i="4"/>
  <c r="E7" i="4"/>
  <c r="G107" i="4"/>
  <c r="F108" i="4"/>
  <c r="G108" i="4" s="1"/>
  <c r="F107" i="4"/>
  <c r="F106" i="4"/>
  <c r="G106" i="4" s="1"/>
  <c r="F105" i="4"/>
  <c r="G105" i="4" s="1"/>
  <c r="F100" i="4"/>
  <c r="F99" i="4"/>
  <c r="F98" i="4"/>
  <c r="F97" i="4"/>
  <c r="G62" i="2"/>
  <c r="G61" i="2"/>
  <c r="G51" i="2"/>
  <c r="G50" i="2"/>
  <c r="J45" i="2"/>
  <c r="I45" i="2"/>
  <c r="K45" i="2" s="1"/>
  <c r="K43" i="2"/>
  <c r="E49" i="4" l="1"/>
  <c r="F49" i="4" s="1"/>
  <c r="G49" i="4" s="1"/>
  <c r="E8" i="4"/>
  <c r="E9" i="4" s="1"/>
  <c r="F83" i="4"/>
  <c r="G83" i="4" s="1"/>
  <c r="G87" i="4" s="1"/>
  <c r="D22" i="1" s="1"/>
  <c r="D54" i="1" s="1"/>
  <c r="E54" i="1" s="1"/>
  <c r="F55" i="4"/>
  <c r="G55" i="4" s="1"/>
  <c r="G63" i="2"/>
  <c r="K19" i="2"/>
  <c r="K20" i="2"/>
  <c r="K21" i="2"/>
  <c r="K22" i="2"/>
  <c r="K23" i="2"/>
  <c r="K24" i="2"/>
  <c r="K25" i="2"/>
  <c r="K26" i="2"/>
  <c r="K27" i="2"/>
  <c r="K28" i="2"/>
  <c r="K29" i="2"/>
  <c r="K30" i="2"/>
  <c r="K18" i="2"/>
  <c r="R10" i="2"/>
  <c r="O11" i="2"/>
  <c r="O12" i="2" s="1"/>
  <c r="J11" i="2"/>
  <c r="J12" i="2" s="1"/>
  <c r="G100" i="4"/>
  <c r="F29" i="5"/>
  <c r="F22" i="5"/>
  <c r="F15" i="5"/>
  <c r="F6" i="5"/>
  <c r="F8" i="5"/>
  <c r="F109" i="4"/>
  <c r="G98" i="4"/>
  <c r="G99" i="4"/>
  <c r="G97" i="4"/>
  <c r="G65" i="4"/>
  <c r="G64" i="4"/>
  <c r="G63" i="4"/>
  <c r="G56" i="4"/>
  <c r="G12" i="3"/>
  <c r="F17" i="3"/>
  <c r="F7" i="3"/>
  <c r="G58" i="2"/>
  <c r="D10" i="1" s="1"/>
  <c r="G52" i="2"/>
  <c r="F10" i="2"/>
  <c r="F11" i="2"/>
  <c r="F12" i="2"/>
  <c r="D63" i="1" l="1"/>
  <c r="E63" i="1" s="1"/>
  <c r="D12" i="1"/>
  <c r="F42" i="4"/>
  <c r="G42" i="4" s="1"/>
  <c r="F43" i="4"/>
  <c r="G43" i="4" s="1"/>
  <c r="F5" i="4"/>
  <c r="G5" i="4" s="1"/>
  <c r="F6" i="4"/>
  <c r="G6" i="4" s="1"/>
  <c r="E12" i="4"/>
  <c r="F7" i="4"/>
  <c r="G7" i="4" s="1"/>
  <c r="F8" i="4"/>
  <c r="G8" i="4" s="1"/>
  <c r="O13" i="2"/>
  <c r="J13" i="2"/>
  <c r="O14" i="2"/>
  <c r="L15" i="2"/>
  <c r="J14" i="2"/>
  <c r="F9" i="2" s="1"/>
  <c r="G101" i="4"/>
  <c r="M10" i="1" l="1"/>
  <c r="M11" i="1" s="1"/>
  <c r="M4" i="1"/>
  <c r="G109" i="4"/>
  <c r="G44" i="4"/>
  <c r="D16" i="1" s="1"/>
  <c r="D60" i="1" s="1"/>
  <c r="E60" i="1" s="1"/>
  <c r="E22" i="2" l="1"/>
  <c r="G51" i="4"/>
  <c r="D17" i="1" s="1"/>
  <c r="D59" i="1" s="1"/>
  <c r="E59" i="1" s="1"/>
  <c r="G9" i="4"/>
  <c r="D15" i="1" s="1"/>
  <c r="D61" i="1" s="1"/>
  <c r="E61" i="1" s="1"/>
  <c r="D25" i="1" l="1"/>
  <c r="F25" i="1" s="1"/>
  <c r="D40" i="1"/>
  <c r="F18" i="2"/>
  <c r="G18" i="2" s="1"/>
  <c r="F19" i="2"/>
  <c r="G19" i="2" s="1"/>
  <c r="F20" i="2"/>
  <c r="G20" i="2" s="1"/>
  <c r="F21" i="2"/>
  <c r="G21" i="2" s="1"/>
  <c r="M5" i="1" l="1"/>
  <c r="M12" i="1"/>
  <c r="M13" i="1"/>
  <c r="G22" i="2"/>
  <c r="N5" i="1" l="1"/>
  <c r="N7" i="1"/>
  <c r="N6" i="1"/>
  <c r="N4" i="1"/>
</calcChain>
</file>

<file path=xl/sharedStrings.xml><?xml version="1.0" encoding="utf-8"?>
<sst xmlns="http://schemas.openxmlformats.org/spreadsheetml/2006/main" count="403" uniqueCount="202">
  <si>
    <t>Stadens Utformning</t>
  </si>
  <si>
    <t>Samplanering</t>
  </si>
  <si>
    <t>Genhet</t>
  </si>
  <si>
    <t>Hållplatsavstånd</t>
  </si>
  <si>
    <t>Tvära kurvor</t>
  </si>
  <si>
    <t>Barriäreffekt</t>
  </si>
  <si>
    <t>Cykelstråk</t>
  </si>
  <si>
    <t>Anslutningar till hållplatser</t>
  </si>
  <si>
    <t>Fordon och stödsystem</t>
  </si>
  <si>
    <t>Identitet</t>
  </si>
  <si>
    <t>Realtidsinformation</t>
  </si>
  <si>
    <t>Påstigning i alla dörrar</t>
  </si>
  <si>
    <t>Regularitetsstöd</t>
  </si>
  <si>
    <t>Kollektivtrafikens infrastruktur</t>
  </si>
  <si>
    <t>Busskörfält eller bussgata</t>
  </si>
  <si>
    <t>Busskörfältens placering</t>
  </si>
  <si>
    <t>Annan användning av busskörfälten</t>
  </si>
  <si>
    <t>Utfarter i busskörfält</t>
  </si>
  <si>
    <t>Gatuparkering</t>
  </si>
  <si>
    <t>Farthinder</t>
  </si>
  <si>
    <t>Bussprioritet i korsningar</t>
  </si>
  <si>
    <t>Svängande trafik som korsar bussens körväg</t>
  </si>
  <si>
    <t>Hållplatstyper och plant insteg</t>
  </si>
  <si>
    <t>Utrustning på hållplatser</t>
  </si>
  <si>
    <t>Trafikering</t>
  </si>
  <si>
    <t>Turtäthet dagtid</t>
  </si>
  <si>
    <t>Turtäthet kvällar och helger</t>
  </si>
  <si>
    <t>Öppetider vardag</t>
  </si>
  <si>
    <t>Öppetider helg</t>
  </si>
  <si>
    <t>En översyn av prissättning och placering av gatuparkeringar längs stråket görs i samband med planeringen av BRT.</t>
  </si>
  <si>
    <t>En översyn av planeringsdokument och strategier för cykel- och gångstråk görs i samband med planeringen av BRT.</t>
  </si>
  <si>
    <t>Poäng</t>
  </si>
  <si>
    <t>Viktas med</t>
  </si>
  <si>
    <t>10 % längre än fågelvägen eller mindre</t>
  </si>
  <si>
    <t>20 % längre än fågelvägen</t>
  </si>
  <si>
    <t>30 % längre än fågelvägen</t>
  </si>
  <si>
    <t>40 % längre än fågelvägen eller mer</t>
  </si>
  <si>
    <t>Hållplats</t>
  </si>
  <si>
    <t>Summa</t>
  </si>
  <si>
    <t>Minst 600m</t>
  </si>
  <si>
    <t>Minst 500m</t>
  </si>
  <si>
    <t>Minst 400m</t>
  </si>
  <si>
    <t>Mindre än 400 m</t>
  </si>
  <si>
    <t>Poäng (tot)</t>
  </si>
  <si>
    <t>Antal</t>
  </si>
  <si>
    <t>sum</t>
  </si>
  <si>
    <t>0,25 tvära kurvor per kilometer i genomsnitt, eller glesare</t>
  </si>
  <si>
    <t>0,50 per kilometer</t>
  </si>
  <si>
    <t>0,75 per kilometer</t>
  </si>
  <si>
    <t>1,00 per kilometer eller tätare</t>
  </si>
  <si>
    <t>BRT-satsningen medför oförändrat eller kortare avstånd för fotgängare som kor-sar något av korsningens ben.</t>
  </si>
  <si>
    <t>BRT-satsningen medför längre avstånd för korsande fotgängare i minst ett av korsningens ben.</t>
  </si>
  <si>
    <t>Poäng tot</t>
  </si>
  <si>
    <t>Sum</t>
  </si>
  <si>
    <t>Cykelbanor utmed eller parallellt med hela busstråket</t>
  </si>
  <si>
    <t>Cykelbanor utmed eller parallellt med stora delar av busstråket</t>
  </si>
  <si>
    <t>Bristande eller ingen cykelinfrastruktur utmed busstråket</t>
  </si>
  <si>
    <t>Viktas med (km)</t>
  </si>
  <si>
    <t xml:space="preserve">Viktas med </t>
  </si>
  <si>
    <t>Anslutning till hållplatser</t>
  </si>
  <si>
    <t>Tydlig vägvisning till hållplatserna i stadsrummet</t>
  </si>
  <si>
    <t>Cykelparkering i nära anslutning till hållplatserna</t>
  </si>
  <si>
    <t>Totalt</t>
  </si>
  <si>
    <t>Alla BRT-fordon har en enhetlig design som särskiljer sig från bussar som inte tillhör en BRT-linje.</t>
  </si>
  <si>
    <t>BRT-linjen har en identitet som särskiljs från övrig, konventionell busstrafik i om-rådet och denna differentiering framgår på linjekartor, hållplatsskyltar och fordon.</t>
  </si>
  <si>
    <t>Identitet (4p tot)</t>
  </si>
  <si>
    <t>Audiovisuell realtidsinformation på hållplatser om nästa avgång (ändhållplatser undantagna)</t>
  </si>
  <si>
    <t>Audiovisuell realtidsinformation ombord om flera hållplatser framåt samt bytes-möjligheter</t>
  </si>
  <si>
    <t>%</t>
  </si>
  <si>
    <t>Passargerarflöde</t>
  </si>
  <si>
    <t>Påstigning i alla dörrar tillåts</t>
  </si>
  <si>
    <t>Alla dörrpositioner är markerade på plattformen</t>
  </si>
  <si>
    <t>IT-system som säkerställer god regularitet (jämna tidsintervall mellan avgång-arna)</t>
  </si>
  <si>
    <t>Viktning med</t>
  </si>
  <si>
    <t>Fysiskt separerade busskörfält (till exempel med kantsten eller refug mellan busskörfält och övriga körfält) eller bussgata</t>
  </si>
  <si>
    <t>Visuellt markerade busskörfält med avvikande färg och heldragen linje, men ingen fysisk separering</t>
  </si>
  <si>
    <t>Busskörfält avgränsade endast med målad linje</t>
  </si>
  <si>
    <t>Blandtrafik</t>
  </si>
  <si>
    <t>Mittförlagda busskörfält eller bussgata (egen bussgata eller busskörfält där båda riktningarna är samlade vid sidan av övriga körfält)</t>
  </si>
  <si>
    <t>Busskörfält i körbanekant (yttre körfält, utmed kantsten eller gatuparkering)</t>
  </si>
  <si>
    <t>poäng</t>
  </si>
  <si>
    <t>Annan användning av busskörfälten (max 3 p)</t>
  </si>
  <si>
    <t>Endast bussar (och utryckningsfordon) tillåts</t>
  </si>
  <si>
    <t>Blandtrafik eller busskörfält där cykel eller taxi tillåts</t>
  </si>
  <si>
    <t>Utfarter i busskörfält (max 2 p)</t>
  </si>
  <si>
    <t>Inga</t>
  </si>
  <si>
    <t>0,25 per kilometer i genomsnitt</t>
  </si>
  <si>
    <t>0,5 per kilometer eller fler</t>
  </si>
  <si>
    <t>Gatuparkering (max 3 p)</t>
  </si>
  <si>
    <t>0,33 per kilometer i genomsnitt</t>
  </si>
  <si>
    <t>0,67 per kilometer</t>
  </si>
  <si>
    <t>Farthinder (max 3 p)</t>
  </si>
  <si>
    <t>0,17 per kilometer i genomsnitt</t>
  </si>
  <si>
    <t>0,33 per kilometer</t>
  </si>
  <si>
    <t>0,50 per kilometer eller tätare</t>
  </si>
  <si>
    <t>Bussprioritet i korsningar (max 7 p)</t>
  </si>
  <si>
    <t>Signalprioritet för busstrafiken införs eller bibehålls</t>
  </si>
  <si>
    <t>Ingen signalprioritet eller bussar på aktuell linje har väjningsplikt</t>
  </si>
  <si>
    <t>Svängande trafik som korsar bussens körväg (max 3 p)</t>
  </si>
  <si>
    <t>Förekommer ej</t>
  </si>
  <si>
    <t>0,67 per kilometer i genomsnitt</t>
  </si>
  <si>
    <t>1,33 per kilometer</t>
  </si>
  <si>
    <t>2,00 per kilometer eller tätare</t>
  </si>
  <si>
    <t>Gäller endast där det är busskörfält, ej i blandtrafik. Så endast där valig trafik korsar ett busskörfält.</t>
  </si>
  <si>
    <t>Antal svängande trafik som körsar bussens väg</t>
  </si>
  <si>
    <t>Total längd busskörfält (km)</t>
  </si>
  <si>
    <t>per km</t>
  </si>
  <si>
    <t>Hållplatstyper och plant insteg (max 10 p)</t>
  </si>
  <si>
    <t>Stopphållplats med plant insteg utan bussnigning: "spårvagnsplattform", ca 30 cm hög och utskjutande (så kallad klack eller perrongutvidgning) eller med an-nan utrustning för att minimera horisontellt avstånd mellan buss och plattform</t>
  </si>
  <si>
    <t>Stopphållplats med utskjutande plattform (så kallad klack eller perrongutvidg-ning) eller annan utrustning för att minimera horisontellt avstånd mellan buss och plattform</t>
  </si>
  <si>
    <t>Stopphållplats</t>
  </si>
  <si>
    <t>Fickhållplats (bussen måste göra minst en sidoförflyttning för att komma in eller ut från hållplatsen)</t>
  </si>
  <si>
    <t>Utrustning på hållplatser (max 3 p)</t>
  </si>
  <si>
    <t>Väderskydd, sittplatser och belysning finns – väntyta under tak motsvarande hela fordonets längd (eller åtminstone motsvarande avståndet mellan främsta och bakersta dörr)</t>
  </si>
  <si>
    <t>Väderskydd, sittplatser och belysning finns – väntyta under tak motsvarande minst halva fordonets längd</t>
  </si>
  <si>
    <t>Väderskydd, sittplatser och belysning finns – väntyta under tak motsvarande mindre än halva fordonets längd</t>
  </si>
  <si>
    <t>Väderskydd, sittplatser eller belysning saknas</t>
  </si>
  <si>
    <t>Max 8 minuter mellan avgångar</t>
  </si>
  <si>
    <t>Max 10 minuter mellan avgångar</t>
  </si>
  <si>
    <t>Mer än 10 minuter mellan avgångar (någon gång under perioden)</t>
  </si>
  <si>
    <t>Max 15 minuter mellan avgångar</t>
  </si>
  <si>
    <t>Max 20 minuter mellan avgångar</t>
  </si>
  <si>
    <t>Mer än 20 minuter mellan avgångar (någon gång under perioden)</t>
  </si>
  <si>
    <t>Öppettider vardag (max 3 p)</t>
  </si>
  <si>
    <t>Minst 19 timmar (till exempel från kl. 5 till midnatt)</t>
  </si>
  <si>
    <t>Minst 17 timmar (till exempel från kl. 6 till 23)</t>
  </si>
  <si>
    <t>Mindre än 17 timmar</t>
  </si>
  <si>
    <t>Öppettider helg (max 3 p)</t>
  </si>
  <si>
    <t>Minst 15 timmar (till exempel från kl. 7 till 22)</t>
  </si>
  <si>
    <t>Mindre än 15 timmar</t>
  </si>
  <si>
    <t>Midjeplattform</t>
  </si>
  <si>
    <t>Vanlig utan ficka</t>
  </si>
  <si>
    <t>Spårvagn</t>
  </si>
  <si>
    <t>Fullriggare - Malmö C få</t>
  </si>
  <si>
    <t>Fullriggare - Malmö C fa</t>
  </si>
  <si>
    <t>Kvot</t>
  </si>
  <si>
    <t>fa tot</t>
  </si>
  <si>
    <t>vikt</t>
  </si>
  <si>
    <t>Fullriggare</t>
  </si>
  <si>
    <t>Höjd</t>
  </si>
  <si>
    <t>Radie</t>
  </si>
  <si>
    <t>längd AB</t>
  </si>
  <si>
    <t>Typ av körfält</t>
  </si>
  <si>
    <t>Avstånd</t>
  </si>
  <si>
    <t>Start Fullriggare</t>
  </si>
  <si>
    <t>Visuell</t>
  </si>
  <si>
    <t>linje</t>
  </si>
  <si>
    <t>Fysisk</t>
  </si>
  <si>
    <t>Skillnad</t>
  </si>
  <si>
    <t>Turtäthet dagtid kl. 6-18 (max 4 p)</t>
  </si>
  <si>
    <t>Turtäthet kvällar och helger fram till kl. 22 (max 4 p)</t>
  </si>
  <si>
    <t>Summering</t>
  </si>
  <si>
    <t>Avstånd tot</t>
  </si>
  <si>
    <t>Tot</t>
  </si>
  <si>
    <t>Enhet (km)</t>
  </si>
  <si>
    <t>Lindängen - Malmö C få</t>
  </si>
  <si>
    <t>Lindängen - Malmö C fa</t>
  </si>
  <si>
    <t>Vikt</t>
  </si>
  <si>
    <t>Scaniabadet</t>
  </si>
  <si>
    <t>Start Lindängen</t>
  </si>
  <si>
    <t>c</t>
  </si>
  <si>
    <t>6 min trafik</t>
  </si>
  <si>
    <t>20 min trafik</t>
  </si>
  <si>
    <t>MalmöExpressen Linje 8</t>
  </si>
  <si>
    <t>Parameter</t>
  </si>
  <si>
    <t>Max P</t>
  </si>
  <si>
    <t>Stadens Utformning pot</t>
  </si>
  <si>
    <t>Kollektivtrafikens infrastruktur pot</t>
  </si>
  <si>
    <t>Fordon och stödsystem pot</t>
  </si>
  <si>
    <t>Trafikering pot</t>
  </si>
  <si>
    <t>Parametrar</t>
  </si>
  <si>
    <t>Faktisk poäng</t>
  </si>
  <si>
    <t>tot</t>
  </si>
  <si>
    <t>25. Öppetider helg</t>
  </si>
  <si>
    <t>24. Öppetider vardag</t>
  </si>
  <si>
    <t>23. Turtäthet kvällar och helger</t>
  </si>
  <si>
    <t>22. Turtäthet dagtid</t>
  </si>
  <si>
    <t>21. Regularitetsstöd</t>
  </si>
  <si>
    <t>20. Påstigning i alla dörrar</t>
  </si>
  <si>
    <t>19. Realtidsinformation</t>
  </si>
  <si>
    <t>18. Identitet</t>
  </si>
  <si>
    <t>17. Utrustning på hållplatser</t>
  </si>
  <si>
    <t>16. Hållplatstyper och plant insteg</t>
  </si>
  <si>
    <t>15. Svängande trafik</t>
  </si>
  <si>
    <t>14. Bussprioritet i korsningar</t>
  </si>
  <si>
    <t>13. Farthinder</t>
  </si>
  <si>
    <t>12. Gatuparkering</t>
  </si>
  <si>
    <t>11. Utfarter i busskörfält</t>
  </si>
  <si>
    <t>10. Annan användning av busskörfälten</t>
  </si>
  <si>
    <t>9. Busskörfältens placering</t>
  </si>
  <si>
    <t>8. Busskörfält eller bussgata</t>
  </si>
  <si>
    <t>7. Anslutningar till hållplatser</t>
  </si>
  <si>
    <t>6. Cykelstråk</t>
  </si>
  <si>
    <t>5. Barriäreffekt</t>
  </si>
  <si>
    <t>4. Tvära kurvor</t>
  </si>
  <si>
    <t>3. Hållplatsavstånd</t>
  </si>
  <si>
    <t>2. Genhet</t>
  </si>
  <si>
    <t>1. Samplanering</t>
  </si>
  <si>
    <t>Görs men är inte kopplat till BRT</t>
  </si>
  <si>
    <t>har gjorts för att säkra gång och cykel till hållplatser</t>
  </si>
  <si>
    <t>Helt unika fordon, spårvagnsliknande</t>
  </si>
  <si>
    <t>Ingen skillnad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</si>
</sst>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2" applyBorder="1"/>
    <xf numFmtId="0" fontId="1" fillId="2" borderId="1" xfId="1" applyBorder="1"/>
    <xf numFmtId="2" fontId="0" fillId="0" borderId="0" xfId="0" applyNumberFormat="1"/>
    <xf numFmtId="2" fontId="0" fillId="0" borderId="1" xfId="0" applyNumberFormat="1" applyBorder="1"/>
    <xf numFmtId="0" fontId="0" fillId="0" borderId="4" xfId="0" applyBorder="1"/>
    <xf numFmtId="0" fontId="3" fillId="4" borderId="1" xfId="3" applyBorder="1"/>
    <xf numFmtId="0" fontId="0" fillId="0" borderId="0" xfId="0" applyAlignment="1">
      <alignment wrapText="1"/>
    </xf>
    <xf numFmtId="164" fontId="0" fillId="0" borderId="4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5" borderId="6" xfId="0" applyFill="1" applyBorder="1"/>
    <xf numFmtId="0" fontId="0" fillId="5" borderId="5" xfId="0" applyFill="1" applyBorder="1"/>
    <xf numFmtId="0" fontId="0" fillId="5" borderId="4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4" xfId="0" applyFill="1" applyBorder="1"/>
    <xf numFmtId="0" fontId="0" fillId="8" borderId="6" xfId="0" applyFill="1" applyBorder="1"/>
    <xf numFmtId="0" fontId="0" fillId="8" borderId="5" xfId="0" applyFill="1" applyBorder="1"/>
    <xf numFmtId="0" fontId="0" fillId="8" borderId="4" xfId="0" applyFill="1" applyBorder="1"/>
    <xf numFmtId="0" fontId="4" fillId="0" borderId="1" xfId="0" applyFont="1" applyBorder="1"/>
    <xf numFmtId="0" fontId="1" fillId="2" borderId="1" xfId="1" applyBorder="1" applyAlignment="1">
      <alignment horizontal="left"/>
    </xf>
    <xf numFmtId="164" fontId="1" fillId="2" borderId="1" xfId="1" applyNumberFormat="1" applyBorder="1"/>
    <xf numFmtId="0" fontId="3" fillId="4" borderId="0" xfId="3"/>
    <xf numFmtId="1" fontId="0" fillId="0" borderId="0" xfId="0" applyNumberFormat="1"/>
    <xf numFmtId="0" fontId="4" fillId="0" borderId="0" xfId="0" applyFont="1"/>
    <xf numFmtId="0" fontId="0" fillId="0" borderId="3" xfId="0" applyBorder="1"/>
    <xf numFmtId="1" fontId="0" fillId="0" borderId="1" xfId="0" applyNumberFormat="1" applyBorder="1"/>
    <xf numFmtId="0" fontId="1" fillId="2" borderId="2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4">
    <cellStyle name="Bra" xfId="1" builtinId="26"/>
    <cellStyle name="Dålig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MalmöExpressen Linje 8, 49,2 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55444444444446E-2"/>
          <c:y val="0.12710007610350077"/>
          <c:w val="0.84448999999999996"/>
          <c:h val="0.86762671232876709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A30-4BF3-9F85-E2250F52A475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A30-4BF3-9F85-E2250F52A475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A30-4BF3-9F85-E2250F52A475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A30-4BF3-9F85-E2250F52A4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EA30-4BF3-9F85-E2250F52A475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EA30-4BF3-9F85-E2250F52A475}"/>
              </c:ext>
            </c:extLst>
          </c:dPt>
          <c:dPt>
            <c:idx val="6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EA30-4BF3-9F85-E2250F52A475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EA30-4BF3-9F85-E2250F52A4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Sammanfattning!$L$10:$L$17</c:f>
              <c:strCache>
                <c:ptCount val="8"/>
                <c:pt idx="0">
                  <c:v>Stadens Utformning</c:v>
                </c:pt>
                <c:pt idx="1">
                  <c:v>Stadens Utformning pot</c:v>
                </c:pt>
                <c:pt idx="2">
                  <c:v>Kollektivtrafikens infrastruktur</c:v>
                </c:pt>
                <c:pt idx="3">
                  <c:v>Kollektivtrafikens infrastruktur pot</c:v>
                </c:pt>
                <c:pt idx="4">
                  <c:v>Fordon och stödsystem</c:v>
                </c:pt>
                <c:pt idx="5">
                  <c:v>Fordon och stödsystem pot</c:v>
                </c:pt>
                <c:pt idx="6">
                  <c:v>Trafikering</c:v>
                </c:pt>
                <c:pt idx="7">
                  <c:v>Trafikering pot</c:v>
                </c:pt>
              </c:strCache>
            </c:strRef>
          </c:cat>
          <c:val>
            <c:numRef>
              <c:f>Sammanfattning!$M$10:$M$17</c:f>
              <c:numCache>
                <c:formatCode>0</c:formatCode>
                <c:ptCount val="8"/>
                <c:pt idx="0">
                  <c:v>7.1172248803827749</c:v>
                </c:pt>
                <c:pt idx="1">
                  <c:v>12.882775119617225</c:v>
                </c:pt>
                <c:pt idx="2">
                  <c:v>12.550898143538152</c:v>
                </c:pt>
                <c:pt idx="3">
                  <c:v>33.449101856461851</c:v>
                </c:pt>
                <c:pt idx="4">
                  <c:v>14.538461538461538</c:v>
                </c:pt>
                <c:pt idx="5">
                  <c:v>5.4615384615384617</c:v>
                </c:pt>
                <c:pt idx="6">
                  <c:v>13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A30-4BF3-9F85-E2250F52A47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58219993048747E-2"/>
          <c:y val="2.0833333333333332E-2"/>
          <c:w val="0.52168402522635982"/>
          <c:h val="0.95370370370370372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403-44DF-A597-5D449F203360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403-44DF-A597-5D449F203360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403-44DF-A597-5D449F203360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403-44DF-A597-5D449F203360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403-44DF-A597-5D449F203360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403-44DF-A597-5D449F203360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403-44DF-A597-5D449F203360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403-44DF-A597-5D449F2033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Sammanfattning!$L$10:$L$17</c:f>
              <c:strCache>
                <c:ptCount val="8"/>
                <c:pt idx="0">
                  <c:v>Stadens Utformning</c:v>
                </c:pt>
                <c:pt idx="1">
                  <c:v>Stadens Utformning pot</c:v>
                </c:pt>
                <c:pt idx="2">
                  <c:v>Kollektivtrafikens infrastruktur</c:v>
                </c:pt>
                <c:pt idx="3">
                  <c:v>Kollektivtrafikens infrastruktur pot</c:v>
                </c:pt>
                <c:pt idx="4">
                  <c:v>Fordon och stödsystem</c:v>
                </c:pt>
                <c:pt idx="5">
                  <c:v>Fordon och stödsystem pot</c:v>
                </c:pt>
                <c:pt idx="6">
                  <c:v>Trafikering</c:v>
                </c:pt>
                <c:pt idx="7">
                  <c:v>Trafikering pot</c:v>
                </c:pt>
              </c:strCache>
            </c:strRef>
          </c:cat>
          <c:val>
            <c:numRef>
              <c:f>Sammanfattning!$M$10:$M$17</c:f>
              <c:numCache>
                <c:formatCode>0</c:formatCode>
                <c:ptCount val="8"/>
                <c:pt idx="0">
                  <c:v>7.1172248803827749</c:v>
                </c:pt>
                <c:pt idx="1">
                  <c:v>12.882775119617225</c:v>
                </c:pt>
                <c:pt idx="2">
                  <c:v>12.550898143538152</c:v>
                </c:pt>
                <c:pt idx="3">
                  <c:v>33.449101856461851</c:v>
                </c:pt>
                <c:pt idx="4">
                  <c:v>14.538461538461538</c:v>
                </c:pt>
                <c:pt idx="5">
                  <c:v>5.4615384615384617</c:v>
                </c:pt>
                <c:pt idx="6">
                  <c:v>13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403-44DF-A597-5D449F20336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C-E418-4ABA-8937-E1E98F7C8D35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E-E418-4ABA-8937-E1E98F7C8D35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0-E418-4ABA-8937-E1E98F7C8D3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2-E418-4ABA-8937-E1E98F7C8D35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4-E418-4ABA-8937-E1E98F7C8D35}"/>
              </c:ext>
            </c:extLst>
          </c:dPt>
          <c:dPt>
            <c:idx val="5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6-E418-4ABA-8937-E1E98F7C8D35}"/>
              </c:ext>
            </c:extLst>
          </c:dPt>
          <c:dPt>
            <c:idx val="6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8-E418-4ABA-8937-E1E98F7C8D35}"/>
              </c:ext>
            </c:extLst>
          </c:dPt>
          <c:dPt>
            <c:idx val="7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A-E418-4ABA-8937-E1E98F7C8D3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C-E418-4ABA-8937-E1E98F7C8D3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E-E418-4ABA-8937-E1E98F7C8D3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0-E418-4ABA-8937-E1E98F7C8D3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2-E418-4ABA-8937-E1E98F7C8D3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4-E418-4ABA-8937-E1E98F7C8D3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6-E418-4ABA-8937-E1E98F7C8D3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8-E418-4ABA-8937-E1E98F7C8D3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A-E418-4ABA-8937-E1E98F7C8D3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C-E418-4ABA-8937-E1E98F7C8D35}"/>
              </c:ext>
            </c:extLst>
          </c:dPt>
          <c:dPt>
            <c:idx val="1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E-E418-4ABA-8937-E1E98F7C8D35}"/>
              </c:ext>
            </c:extLst>
          </c:dPt>
          <c:dPt>
            <c:idx val="18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0-E418-4ABA-8937-E1E98F7C8D35}"/>
              </c:ext>
            </c:extLst>
          </c:dPt>
          <c:dPt>
            <c:idx val="19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2-E418-4ABA-8937-E1E98F7C8D35}"/>
              </c:ext>
            </c:extLst>
          </c:dPt>
          <c:dPt>
            <c:idx val="20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4-E418-4ABA-8937-E1E98F7C8D35}"/>
              </c:ext>
            </c:extLst>
          </c:dPt>
          <c:dPt>
            <c:idx val="21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6-E418-4ABA-8937-E1E98F7C8D35}"/>
              </c:ext>
            </c:extLst>
          </c:dPt>
          <c:dPt>
            <c:idx val="2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8-E418-4ABA-8937-E1E98F7C8D35}"/>
              </c:ext>
            </c:extLst>
          </c:dPt>
          <c:dPt>
            <c:idx val="23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A-E418-4ABA-8937-E1E98F7C8D35}"/>
              </c:ext>
            </c:extLst>
          </c:dPt>
          <c:dPt>
            <c:idx val="24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C-E418-4ABA-8937-E1E98F7C8D35}"/>
              </c:ext>
            </c:extLst>
          </c:dPt>
          <c:cat>
            <c:strRef>
              <c:f>Sammanfattning!$C$44:$C$68</c:f>
              <c:strCache>
                <c:ptCount val="25"/>
                <c:pt idx="0">
                  <c:v>25. Öppetider helg</c:v>
                </c:pt>
                <c:pt idx="1">
                  <c:v>24. Öppetider vardag</c:v>
                </c:pt>
                <c:pt idx="2">
                  <c:v>23. Turtäthet kvällar och helger</c:v>
                </c:pt>
                <c:pt idx="3">
                  <c:v>22. Turtäthet dagtid</c:v>
                </c:pt>
                <c:pt idx="4">
                  <c:v>21. Regularitetsstöd</c:v>
                </c:pt>
                <c:pt idx="5">
                  <c:v>20. Påstigning i alla dörrar</c:v>
                </c:pt>
                <c:pt idx="6">
                  <c:v>19. Realtidsinformation</c:v>
                </c:pt>
                <c:pt idx="7">
                  <c:v>18. Identitet</c:v>
                </c:pt>
                <c:pt idx="8">
                  <c:v>17. Utrustning på hållplatser</c:v>
                </c:pt>
                <c:pt idx="9">
                  <c:v>16. Hållplatstyper och plant insteg</c:v>
                </c:pt>
                <c:pt idx="10">
                  <c:v>15. Svängande trafik</c:v>
                </c:pt>
                <c:pt idx="11">
                  <c:v>14. Bussprioritet i korsningar</c:v>
                </c:pt>
                <c:pt idx="12">
                  <c:v>13. Farthinder</c:v>
                </c:pt>
                <c:pt idx="13">
                  <c:v>12. Gatuparkering</c:v>
                </c:pt>
                <c:pt idx="14">
                  <c:v>11. Utfarter i busskörfält</c:v>
                </c:pt>
                <c:pt idx="15">
                  <c:v>10. Annan användning av busskörfälten</c:v>
                </c:pt>
                <c:pt idx="16">
                  <c:v>9. Busskörfältens placering</c:v>
                </c:pt>
                <c:pt idx="17">
                  <c:v>8. Busskörfält eller bussgata</c:v>
                </c:pt>
                <c:pt idx="18">
                  <c:v>7. Anslutningar till hållplatser</c:v>
                </c:pt>
                <c:pt idx="19">
                  <c:v>6. Cykelstråk</c:v>
                </c:pt>
                <c:pt idx="20">
                  <c:v>5. Barriäreffekt</c:v>
                </c:pt>
                <c:pt idx="21">
                  <c:v>4. Tvära kurvor</c:v>
                </c:pt>
                <c:pt idx="22">
                  <c:v>3. Hållplatsavstånd</c:v>
                </c:pt>
                <c:pt idx="23">
                  <c:v>2. Genhet</c:v>
                </c:pt>
                <c:pt idx="24">
                  <c:v>1. Samplanering</c:v>
                </c:pt>
              </c:strCache>
            </c:strRef>
          </c:cat>
          <c:val>
            <c:numRef>
              <c:f>Sammanfattning!$D$44:$D$68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 formatCode="0.0">
                  <c:v>0</c:v>
                </c:pt>
                <c:pt idx="5" formatCode="0.0">
                  <c:v>9</c:v>
                </c:pt>
                <c:pt idx="6" formatCode="0.0">
                  <c:v>3.5384615384615383</c:v>
                </c:pt>
                <c:pt idx="7" formatCode="0.0">
                  <c:v>2</c:v>
                </c:pt>
                <c:pt idx="8" formatCode="0.0">
                  <c:v>1.2307692307692308</c:v>
                </c:pt>
                <c:pt idx="9" formatCode="0.0">
                  <c:v>4.625</c:v>
                </c:pt>
                <c:pt idx="10" formatCode="0.0">
                  <c:v>2.2946984836017394</c:v>
                </c:pt>
                <c:pt idx="11" formatCode="0.0">
                  <c:v>1.4000000000000001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0.72258140355001754</c:v>
                </c:pt>
                <c:pt idx="16" formatCode="0.0">
                  <c:v>0.43573897559442759</c:v>
                </c:pt>
                <c:pt idx="17" formatCode="0.0">
                  <c:v>1.8421100500227376</c:v>
                </c:pt>
                <c:pt idx="18" formatCode="0.0">
                  <c:v>0.52631578947368418</c:v>
                </c:pt>
                <c:pt idx="19" formatCode="0.0">
                  <c:v>1</c:v>
                </c:pt>
                <c:pt idx="20" formatCode="0.0">
                  <c:v>3</c:v>
                </c:pt>
                <c:pt idx="21" formatCode="0.0">
                  <c:v>0</c:v>
                </c:pt>
                <c:pt idx="22" formatCode="0.0">
                  <c:v>2.5909090909090908</c:v>
                </c:pt>
                <c:pt idx="23" formatCode="0.0">
                  <c:v>0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D-E418-4ABA-8937-E1E98F7C8D3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0-E418-4ABA-8937-E1E98F7C8D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2-E418-4ABA-8937-E1E98F7C8D3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4-E418-4ABA-8937-E1E98F7C8D3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6-E418-4ABA-8937-E1E98F7C8D3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8-E418-4ABA-8937-E1E98F7C8D3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A-E418-4ABA-8937-E1E98F7C8D3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C-E418-4ABA-8937-E1E98F7C8D3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E-E418-4ABA-8937-E1E98F7C8D3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0-E418-4ABA-8937-E1E98F7C8D3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2-E418-4ABA-8937-E1E98F7C8D3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4-E418-4ABA-8937-E1E98F7C8D3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6-E418-4ABA-8937-E1E98F7C8D3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8-E418-4ABA-8937-E1E98F7C8D3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A-E418-4ABA-8937-E1E98F7C8D3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C-E418-4ABA-8937-E1E98F7C8D3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E-E418-4ABA-8937-E1E98F7C8D3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0-E418-4ABA-8937-E1E98F7C8D3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2-E418-4ABA-8937-E1E98F7C8D3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4-E418-4ABA-8937-E1E98F7C8D3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6-E418-4ABA-8937-E1E98F7C8D3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8-E418-4ABA-8937-E1E98F7C8D35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A-E418-4ABA-8937-E1E98F7C8D35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C-E418-4ABA-8937-E1E98F7C8D35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E-E418-4ABA-8937-E1E98F7C8D35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0-E418-4ABA-8937-E1E98F7C8D35}"/>
              </c:ext>
            </c:extLst>
          </c:dPt>
          <c:cat>
            <c:strRef>
              <c:f>Sammanfattning!$C$44:$C$68</c:f>
              <c:strCache>
                <c:ptCount val="25"/>
                <c:pt idx="0">
                  <c:v>25. Öppetider helg</c:v>
                </c:pt>
                <c:pt idx="1">
                  <c:v>24. Öppetider vardag</c:v>
                </c:pt>
                <c:pt idx="2">
                  <c:v>23. Turtäthet kvällar och helger</c:v>
                </c:pt>
                <c:pt idx="3">
                  <c:v>22. Turtäthet dagtid</c:v>
                </c:pt>
                <c:pt idx="4">
                  <c:v>21. Regularitetsstöd</c:v>
                </c:pt>
                <c:pt idx="5">
                  <c:v>20. Påstigning i alla dörrar</c:v>
                </c:pt>
                <c:pt idx="6">
                  <c:v>19. Realtidsinformation</c:v>
                </c:pt>
                <c:pt idx="7">
                  <c:v>18. Identitet</c:v>
                </c:pt>
                <c:pt idx="8">
                  <c:v>17. Utrustning på hållplatser</c:v>
                </c:pt>
                <c:pt idx="9">
                  <c:v>16. Hållplatstyper och plant insteg</c:v>
                </c:pt>
                <c:pt idx="10">
                  <c:v>15. Svängande trafik</c:v>
                </c:pt>
                <c:pt idx="11">
                  <c:v>14. Bussprioritet i korsningar</c:v>
                </c:pt>
                <c:pt idx="12">
                  <c:v>13. Farthinder</c:v>
                </c:pt>
                <c:pt idx="13">
                  <c:v>12. Gatuparkering</c:v>
                </c:pt>
                <c:pt idx="14">
                  <c:v>11. Utfarter i busskörfält</c:v>
                </c:pt>
                <c:pt idx="15">
                  <c:v>10. Annan användning av busskörfälten</c:v>
                </c:pt>
                <c:pt idx="16">
                  <c:v>9. Busskörfältens placering</c:v>
                </c:pt>
                <c:pt idx="17">
                  <c:v>8. Busskörfält eller bussgata</c:v>
                </c:pt>
                <c:pt idx="18">
                  <c:v>7. Anslutningar till hållplatser</c:v>
                </c:pt>
                <c:pt idx="19">
                  <c:v>6. Cykelstråk</c:v>
                </c:pt>
                <c:pt idx="20">
                  <c:v>5. Barriäreffekt</c:v>
                </c:pt>
                <c:pt idx="21">
                  <c:v>4. Tvära kurvor</c:v>
                </c:pt>
                <c:pt idx="22">
                  <c:v>3. Hållplatsavstånd</c:v>
                </c:pt>
                <c:pt idx="23">
                  <c:v>2. Genhet</c:v>
                </c:pt>
                <c:pt idx="24">
                  <c:v>1. Samplanering</c:v>
                </c:pt>
              </c:strCache>
            </c:strRef>
          </c:cat>
          <c:val>
            <c:numRef>
              <c:f>Sammanfattning!$E$44:$E$68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0.46153846153846168</c:v>
                </c:pt>
                <c:pt idx="7">
                  <c:v>2</c:v>
                </c:pt>
                <c:pt idx="8">
                  <c:v>1.7692307692307692</c:v>
                </c:pt>
                <c:pt idx="9">
                  <c:v>5.375</c:v>
                </c:pt>
                <c:pt idx="10">
                  <c:v>0.70530151639826055</c:v>
                </c:pt>
                <c:pt idx="11">
                  <c:v>5.6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2.2774185964499827</c:v>
                </c:pt>
                <c:pt idx="16">
                  <c:v>3.5642610244055724</c:v>
                </c:pt>
                <c:pt idx="17">
                  <c:v>6.1578899499772621</c:v>
                </c:pt>
                <c:pt idx="18">
                  <c:v>1.4736842105263159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2.4090909090909092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1-E418-4ABA-8937-E1E98F7C8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0655215"/>
        <c:axId val="1540657135"/>
      </c:barChart>
      <c:catAx>
        <c:axId val="154065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v-SE"/>
          </a:p>
        </c:txPr>
        <c:crossAx val="1540657135"/>
        <c:crosses val="autoZero"/>
        <c:auto val="1"/>
        <c:lblAlgn val="ctr"/>
        <c:lblOffset val="100"/>
        <c:noMultiLvlLbl val="0"/>
      </c:catAx>
      <c:valAx>
        <c:axId val="154065713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4065521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159204</xdr:colOff>
      <xdr:row>7</xdr:row>
      <xdr:rowOff>174851</xdr:rowOff>
    </xdr:from>
    <xdr:to>
      <xdr:col>11</xdr:col>
      <xdr:colOff>1304925</xdr:colOff>
      <xdr:row>21</xdr:row>
      <xdr:rowOff>99851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8225F3D-3A03-25B8-F51F-EE7E29069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33</xdr:row>
      <xdr:rowOff>38100</xdr:rowOff>
    </xdr:from>
    <xdr:to>
      <xdr:col>15</xdr:col>
      <xdr:colOff>504825</xdr:colOff>
      <xdr:row>57</xdr:row>
      <xdr:rowOff>52388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2E4358D-1FFD-458B-82BD-EA8918496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171449</xdr:colOff>
      <xdr:row>59</xdr:row>
      <xdr:rowOff>109536</xdr:rowOff>
    </xdr:from>
    <xdr:to>
      <xdr:col>17</xdr:col>
      <xdr:colOff>244928</xdr:colOff>
      <xdr:row>94</xdr:row>
      <xdr:rowOff>95250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93F6544-3CF7-E007-7935-F6A115802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8"/>
  <sheetViews>
    <sheetView zoomScaleNormal="100" workbookViewId="0">
      <selection activeCell="L22" sqref="L22"/>
    </sheetView>
  </sheetViews>
  <sheetFormatPr defaultRowHeight="15" x14ac:dyDescent="0.25"/>
  <cols>
    <col min="3" max="3" width="39.28515625" customWidth="1"/>
    <col min="4" max="4" width="14.42578125" customWidth="1"/>
    <col min="12" max="12" width="33" customWidth="1"/>
  </cols>
  <sheetData>
    <row r="2" spans="2:14" x14ac:dyDescent="0.25">
      <c r="C2" t="s">
        <v>163</v>
      </c>
    </row>
    <row r="3" spans="2:14" x14ac:dyDescent="0.25">
      <c r="B3" s="33" t="s">
        <v>0</v>
      </c>
      <c r="C3" s="34"/>
      <c r="D3" s="34"/>
      <c r="E3" s="35"/>
    </row>
    <row r="4" spans="2:14" x14ac:dyDescent="0.25">
      <c r="B4" s="13"/>
      <c r="C4" s="25" t="s">
        <v>164</v>
      </c>
      <c r="D4" s="25" t="s">
        <v>31</v>
      </c>
      <c r="E4" s="25" t="s">
        <v>165</v>
      </c>
      <c r="L4" t="s">
        <v>0</v>
      </c>
      <c r="M4" s="12">
        <f>D12</f>
        <v>7.1172248803827749</v>
      </c>
      <c r="N4" s="12">
        <f>M4/SUM($M$4:$M$7)</f>
        <v>0.15076763011688588</v>
      </c>
    </row>
    <row r="5" spans="2:14" x14ac:dyDescent="0.25">
      <c r="B5" s="14"/>
      <c r="C5" t="s">
        <v>1</v>
      </c>
      <c r="D5" s="1">
        <f>SUM('Stadens utformning'!E5:E6)</f>
        <v>2</v>
      </c>
      <c r="E5" s="1">
        <v>2</v>
      </c>
      <c r="L5" t="s">
        <v>13</v>
      </c>
      <c r="M5" s="12">
        <f>D25</f>
        <v>12.550898143538152</v>
      </c>
      <c r="N5" s="12">
        <f>M5/SUM($M$4:$M$7)</f>
        <v>0.26587176894681747</v>
      </c>
    </row>
    <row r="6" spans="2:14" x14ac:dyDescent="0.25">
      <c r="B6" s="14"/>
      <c r="C6" s="1" t="s">
        <v>2</v>
      </c>
      <c r="D6" s="11">
        <f>'Stadens utformning'!F13</f>
        <v>0</v>
      </c>
      <c r="E6" s="1">
        <v>3</v>
      </c>
      <c r="L6" t="s">
        <v>8</v>
      </c>
      <c r="M6" s="12">
        <f>D32</f>
        <v>14.538461538461538</v>
      </c>
      <c r="N6" s="12">
        <f>M6/SUM($M$4:$M$7)</f>
        <v>0.30797528932111751</v>
      </c>
    </row>
    <row r="7" spans="2:14" x14ac:dyDescent="0.25">
      <c r="B7" s="14"/>
      <c r="C7" s="1" t="s">
        <v>3</v>
      </c>
      <c r="D7" s="11">
        <f>'Stadens utformning'!G22</f>
        <v>2.5909090909090908</v>
      </c>
      <c r="E7" s="1">
        <v>5</v>
      </c>
      <c r="L7" t="s">
        <v>24</v>
      </c>
      <c r="M7" s="12">
        <f>D39</f>
        <v>13</v>
      </c>
      <c r="N7" s="12">
        <f>M7/SUM($M$4:$M$7)</f>
        <v>0.27538531161517915</v>
      </c>
    </row>
    <row r="8" spans="2:14" x14ac:dyDescent="0.25">
      <c r="B8" s="14"/>
      <c r="C8" s="1" t="s">
        <v>4</v>
      </c>
      <c r="D8" s="11">
        <f>'Stadens utformning'!G47</f>
        <v>0</v>
      </c>
      <c r="E8" s="1">
        <v>3</v>
      </c>
      <c r="M8" s="12"/>
      <c r="N8" s="12"/>
    </row>
    <row r="9" spans="2:14" x14ac:dyDescent="0.25">
      <c r="B9" s="14"/>
      <c r="C9" s="1" t="s">
        <v>5</v>
      </c>
      <c r="D9" s="11">
        <f>'Stadens utformning'!G52</f>
        <v>3</v>
      </c>
      <c r="E9" s="1">
        <v>3</v>
      </c>
      <c r="M9" s="12"/>
      <c r="N9" s="12"/>
    </row>
    <row r="10" spans="2:14" x14ac:dyDescent="0.25">
      <c r="B10" s="14"/>
      <c r="C10" s="1" t="s">
        <v>6</v>
      </c>
      <c r="D10" s="11">
        <f>'Stadens utformning'!G58</f>
        <v>1</v>
      </c>
      <c r="E10" s="1">
        <v>2</v>
      </c>
      <c r="L10" t="s">
        <v>0</v>
      </c>
      <c r="M10" s="29">
        <f>D12</f>
        <v>7.1172248803827749</v>
      </c>
      <c r="N10" s="12"/>
    </row>
    <row r="11" spans="2:14" x14ac:dyDescent="0.25">
      <c r="B11" s="14"/>
      <c r="C11" s="1" t="s">
        <v>7</v>
      </c>
      <c r="D11" s="11">
        <f>'Stadens utformning'!G63</f>
        <v>0.52631578947368418</v>
      </c>
      <c r="E11" s="1">
        <v>2</v>
      </c>
      <c r="L11" t="s">
        <v>166</v>
      </c>
      <c r="M11" s="29">
        <f>E12-M10</f>
        <v>12.882775119617225</v>
      </c>
      <c r="N11" s="12"/>
    </row>
    <row r="12" spans="2:14" x14ac:dyDescent="0.25">
      <c r="B12" s="15"/>
      <c r="C12" s="1" t="s">
        <v>62</v>
      </c>
      <c r="D12" s="11">
        <f>SUM(D6:D11)</f>
        <v>7.1172248803827749</v>
      </c>
      <c r="E12" s="11">
        <f>SUM(E5:E11)</f>
        <v>20</v>
      </c>
      <c r="F12">
        <f>D12/E12</f>
        <v>0.35586124401913877</v>
      </c>
      <c r="L12" t="s">
        <v>13</v>
      </c>
      <c r="M12" s="29">
        <f>D25</f>
        <v>12.550898143538152</v>
      </c>
      <c r="N12" s="12"/>
    </row>
    <row r="13" spans="2:14" x14ac:dyDescent="0.25">
      <c r="B13" s="33" t="s">
        <v>13</v>
      </c>
      <c r="C13" s="34"/>
      <c r="D13" s="34"/>
      <c r="E13" s="35"/>
      <c r="L13" t="s">
        <v>167</v>
      </c>
      <c r="M13" s="29">
        <f>E25-D25</f>
        <v>33.449101856461851</v>
      </c>
      <c r="N13" s="12"/>
    </row>
    <row r="14" spans="2:14" x14ac:dyDescent="0.25">
      <c r="B14" s="16"/>
      <c r="C14" s="25" t="s">
        <v>164</v>
      </c>
      <c r="D14" s="25" t="s">
        <v>31</v>
      </c>
      <c r="E14" s="25" t="s">
        <v>165</v>
      </c>
      <c r="L14" t="s">
        <v>8</v>
      </c>
      <c r="M14" s="29">
        <f>D32</f>
        <v>14.538461538461538</v>
      </c>
      <c r="N14" s="12"/>
    </row>
    <row r="15" spans="2:14" x14ac:dyDescent="0.25">
      <c r="B15" s="17"/>
      <c r="C15" s="1" t="s">
        <v>14</v>
      </c>
      <c r="D15" s="11">
        <f>'Kollektivtrafikens infrastruktu'!G9</f>
        <v>1.8421100500227376</v>
      </c>
      <c r="E15" s="1">
        <v>8</v>
      </c>
      <c r="L15" t="s">
        <v>168</v>
      </c>
      <c r="M15" s="29">
        <f>E32-D32</f>
        <v>5.4615384615384617</v>
      </c>
      <c r="N15" s="12"/>
    </row>
    <row r="16" spans="2:14" x14ac:dyDescent="0.25">
      <c r="B16" s="17"/>
      <c r="C16" s="1" t="s">
        <v>15</v>
      </c>
      <c r="D16" s="11">
        <f>'Kollektivtrafikens infrastruktu'!G44</f>
        <v>0.43573897559442759</v>
      </c>
      <c r="E16" s="1">
        <v>4</v>
      </c>
      <c r="L16" t="s">
        <v>24</v>
      </c>
      <c r="M16" s="29">
        <f>D39</f>
        <v>13</v>
      </c>
      <c r="N16" s="12"/>
    </row>
    <row r="17" spans="2:14" x14ac:dyDescent="0.25">
      <c r="B17" s="17"/>
      <c r="C17" s="1" t="s">
        <v>16</v>
      </c>
      <c r="D17" s="11">
        <f>'Kollektivtrafikens infrastruktu'!G51</f>
        <v>0.72258140355001754</v>
      </c>
      <c r="E17" s="1">
        <v>3</v>
      </c>
      <c r="L17" t="s">
        <v>169</v>
      </c>
      <c r="M17" s="29">
        <f>E39-D39</f>
        <v>1</v>
      </c>
      <c r="N17" s="12"/>
    </row>
    <row r="18" spans="2:14" x14ac:dyDescent="0.25">
      <c r="B18" s="17"/>
      <c r="C18" s="1" t="s">
        <v>17</v>
      </c>
      <c r="D18" s="11">
        <f>'Kollektivtrafikens infrastruktu'!G58</f>
        <v>0</v>
      </c>
      <c r="E18" s="1">
        <v>2</v>
      </c>
    </row>
    <row r="19" spans="2:14" x14ac:dyDescent="0.25">
      <c r="B19" s="17"/>
      <c r="C19" s="1" t="s">
        <v>18</v>
      </c>
      <c r="D19" s="11">
        <f>'Kollektivtrafikens infrastruktu'!G66</f>
        <v>0</v>
      </c>
      <c r="E19" s="1">
        <v>3</v>
      </c>
    </row>
    <row r="20" spans="2:14" x14ac:dyDescent="0.25">
      <c r="B20" s="17"/>
      <c r="C20" s="1" t="s">
        <v>19</v>
      </c>
      <c r="D20" s="11">
        <f>'Kollektivtrafikens infrastruktu'!G73</f>
        <v>0</v>
      </c>
      <c r="E20" s="1">
        <v>3</v>
      </c>
    </row>
    <row r="21" spans="2:14" x14ac:dyDescent="0.25">
      <c r="B21" s="17"/>
      <c r="C21" t="s">
        <v>20</v>
      </c>
      <c r="D21" s="11">
        <f>'Kollektivtrafikens infrastruktu'!G79</f>
        <v>1.4000000000000001</v>
      </c>
      <c r="E21" s="1">
        <v>7</v>
      </c>
      <c r="G21" s="28"/>
    </row>
    <row r="22" spans="2:14" x14ac:dyDescent="0.25">
      <c r="B22" s="17"/>
      <c r="C22" s="1" t="s">
        <v>21</v>
      </c>
      <c r="D22" s="11">
        <f>'Kollektivtrafikens infrastruktu'!G87</f>
        <v>2.2946984836017394</v>
      </c>
      <c r="E22" s="1">
        <v>3</v>
      </c>
    </row>
    <row r="23" spans="2:14" x14ac:dyDescent="0.25">
      <c r="B23" s="17"/>
      <c r="C23" s="1" t="s">
        <v>22</v>
      </c>
      <c r="D23" s="11">
        <f>'Kollektivtrafikens infrastruktu'!G101</f>
        <v>4.625</v>
      </c>
      <c r="E23" s="1">
        <v>10</v>
      </c>
    </row>
    <row r="24" spans="2:14" x14ac:dyDescent="0.25">
      <c r="B24" s="17"/>
      <c r="C24" s="1" t="s">
        <v>23</v>
      </c>
      <c r="D24" s="11">
        <f>'Kollektivtrafikens infrastruktu'!G109</f>
        <v>1.2307692307692308</v>
      </c>
      <c r="E24" s="1">
        <v>3</v>
      </c>
    </row>
    <row r="25" spans="2:14" x14ac:dyDescent="0.25">
      <c r="B25" s="18"/>
      <c r="C25" s="1" t="s">
        <v>62</v>
      </c>
      <c r="D25" s="11">
        <f>SUM(D15:D24)</f>
        <v>12.550898143538152</v>
      </c>
      <c r="E25" s="11">
        <f>SUM(E15:E24)</f>
        <v>46</v>
      </c>
      <c r="F25">
        <f>D25/E25</f>
        <v>0.27284561181604677</v>
      </c>
    </row>
    <row r="26" spans="2:14" x14ac:dyDescent="0.25">
      <c r="B26" s="33" t="s">
        <v>8</v>
      </c>
      <c r="C26" s="34"/>
      <c r="D26" s="34"/>
      <c r="E26" s="35"/>
    </row>
    <row r="27" spans="2:14" x14ac:dyDescent="0.25">
      <c r="B27" s="19"/>
      <c r="C27" s="25" t="s">
        <v>164</v>
      </c>
      <c r="D27" s="25" t="s">
        <v>31</v>
      </c>
      <c r="E27" s="25" t="s">
        <v>165</v>
      </c>
    </row>
    <row r="28" spans="2:14" x14ac:dyDescent="0.25">
      <c r="B28" s="20"/>
      <c r="C28" s="1" t="s">
        <v>9</v>
      </c>
      <c r="D28" s="11">
        <f>'Fordon och Stödsystem'!F7</f>
        <v>2</v>
      </c>
      <c r="E28" s="1">
        <v>4</v>
      </c>
    </row>
    <row r="29" spans="2:14" x14ac:dyDescent="0.25">
      <c r="B29" s="20"/>
      <c r="C29" s="1" t="s">
        <v>10</v>
      </c>
      <c r="D29" s="11">
        <f>'Fordon och Stödsystem'!G12</f>
        <v>3.5384615384615383</v>
      </c>
      <c r="E29" s="1">
        <v>4</v>
      </c>
    </row>
    <row r="30" spans="2:14" x14ac:dyDescent="0.25">
      <c r="B30" s="20"/>
      <c r="C30" s="1" t="s">
        <v>11</v>
      </c>
      <c r="D30" s="11">
        <f>'Fordon och Stödsystem'!F17</f>
        <v>9</v>
      </c>
      <c r="E30" s="1">
        <v>10</v>
      </c>
    </row>
    <row r="31" spans="2:14" x14ac:dyDescent="0.25">
      <c r="B31" s="20"/>
      <c r="C31" t="s">
        <v>12</v>
      </c>
      <c r="D31" s="11">
        <f>'Fordon och Stödsystem'!F20</f>
        <v>0</v>
      </c>
      <c r="E31" s="1">
        <v>2</v>
      </c>
    </row>
    <row r="32" spans="2:14" x14ac:dyDescent="0.25">
      <c r="B32" s="21"/>
      <c r="C32" s="1" t="s">
        <v>62</v>
      </c>
      <c r="D32" s="11">
        <f>SUM(D28:D31)</f>
        <v>14.538461538461538</v>
      </c>
      <c r="E32" s="1">
        <f>SUM(E28:E31)</f>
        <v>20</v>
      </c>
      <c r="F32">
        <f>D32/E32</f>
        <v>0.72692307692307689</v>
      </c>
    </row>
    <row r="33" spans="2:6" x14ac:dyDescent="0.25">
      <c r="B33" s="33" t="s">
        <v>24</v>
      </c>
      <c r="C33" s="34"/>
      <c r="D33" s="34"/>
      <c r="E33" s="35"/>
    </row>
    <row r="34" spans="2:6" x14ac:dyDescent="0.25">
      <c r="B34" s="22"/>
      <c r="C34" s="25" t="s">
        <v>164</v>
      </c>
      <c r="D34" s="25" t="s">
        <v>31</v>
      </c>
      <c r="E34" s="25" t="s">
        <v>165</v>
      </c>
    </row>
    <row r="35" spans="2:6" x14ac:dyDescent="0.25">
      <c r="B35" s="23"/>
      <c r="C35" s="1" t="s">
        <v>25</v>
      </c>
      <c r="D35" s="1">
        <f>Trafikering!F8</f>
        <v>4</v>
      </c>
      <c r="E35" s="1">
        <v>4</v>
      </c>
    </row>
    <row r="36" spans="2:6" x14ac:dyDescent="0.25">
      <c r="B36" s="23"/>
      <c r="C36" s="1" t="s">
        <v>26</v>
      </c>
      <c r="D36" s="1">
        <f>Trafikering!F15</f>
        <v>3</v>
      </c>
      <c r="E36" s="1">
        <v>4</v>
      </c>
    </row>
    <row r="37" spans="2:6" x14ac:dyDescent="0.25">
      <c r="B37" s="23"/>
      <c r="C37" s="1" t="s">
        <v>27</v>
      </c>
      <c r="D37" s="1">
        <f>Trafikering!F22</f>
        <v>3</v>
      </c>
      <c r="E37" s="1">
        <v>3</v>
      </c>
    </row>
    <row r="38" spans="2:6" x14ac:dyDescent="0.25">
      <c r="B38" s="23"/>
      <c r="C38" s="1" t="s">
        <v>28</v>
      </c>
      <c r="D38" s="1">
        <f>Trafikering!F29</f>
        <v>3</v>
      </c>
      <c r="E38" s="1">
        <v>3</v>
      </c>
    </row>
    <row r="39" spans="2:6" x14ac:dyDescent="0.25">
      <c r="B39" s="24"/>
      <c r="C39" s="1" t="s">
        <v>62</v>
      </c>
      <c r="D39" s="1">
        <f>SUM(D35:D38)</f>
        <v>13</v>
      </c>
      <c r="E39" s="1">
        <f>SUM(E35:E38)</f>
        <v>14</v>
      </c>
      <c r="F39">
        <f>D39/E39</f>
        <v>0.9285714285714286</v>
      </c>
    </row>
    <row r="40" spans="2:6" x14ac:dyDescent="0.25">
      <c r="B40" s="4"/>
      <c r="C40" s="26" t="s">
        <v>151</v>
      </c>
      <c r="D40" s="27">
        <f>SUM(D5:D11)+SUM(D28:D31)+SUM(D15:D24)+SUM(D35:D38)</f>
        <v>49.20658456238246</v>
      </c>
      <c r="E40" s="27"/>
    </row>
    <row r="43" spans="2:6" x14ac:dyDescent="0.25">
      <c r="C43" s="30" t="s">
        <v>170</v>
      </c>
      <c r="D43" s="30" t="s">
        <v>171</v>
      </c>
      <c r="E43" t="s">
        <v>148</v>
      </c>
      <c r="F43" s="30" t="s">
        <v>172</v>
      </c>
    </row>
    <row r="44" spans="2:6" x14ac:dyDescent="0.25">
      <c r="C44" t="s">
        <v>173</v>
      </c>
      <c r="D44">
        <f>D38</f>
        <v>3</v>
      </c>
      <c r="E44">
        <f>F44-D44</f>
        <v>0</v>
      </c>
      <c r="F44">
        <f>E38</f>
        <v>3</v>
      </c>
    </row>
    <row r="45" spans="2:6" x14ac:dyDescent="0.25">
      <c r="C45" s="31" t="s">
        <v>174</v>
      </c>
      <c r="D45">
        <f>D37</f>
        <v>3</v>
      </c>
      <c r="E45">
        <f t="shared" ref="E45:E68" si="0">F45-D45</f>
        <v>0</v>
      </c>
      <c r="F45">
        <f>E37</f>
        <v>3</v>
      </c>
    </row>
    <row r="46" spans="2:6" x14ac:dyDescent="0.25">
      <c r="C46" s="31" t="s">
        <v>175</v>
      </c>
      <c r="D46">
        <f>D36</f>
        <v>3</v>
      </c>
      <c r="E46">
        <f t="shared" si="0"/>
        <v>1</v>
      </c>
      <c r="F46">
        <f>E36</f>
        <v>4</v>
      </c>
    </row>
    <row r="47" spans="2:6" x14ac:dyDescent="0.25">
      <c r="C47" s="31" t="s">
        <v>176</v>
      </c>
      <c r="D47">
        <f>D35</f>
        <v>4</v>
      </c>
      <c r="E47">
        <f t="shared" si="0"/>
        <v>0</v>
      </c>
      <c r="F47">
        <f>E35</f>
        <v>4</v>
      </c>
    </row>
    <row r="48" spans="2:6" x14ac:dyDescent="0.25">
      <c r="C48" s="1" t="s">
        <v>177</v>
      </c>
      <c r="D48" s="12">
        <f>D31</f>
        <v>0</v>
      </c>
      <c r="E48">
        <f t="shared" si="0"/>
        <v>2</v>
      </c>
      <c r="F48" s="12">
        <f>E31</f>
        <v>2</v>
      </c>
    </row>
    <row r="49" spans="3:6" x14ac:dyDescent="0.25">
      <c r="C49" s="1" t="s">
        <v>178</v>
      </c>
      <c r="D49" s="12">
        <f>D30</f>
        <v>9</v>
      </c>
      <c r="E49">
        <f t="shared" si="0"/>
        <v>1</v>
      </c>
      <c r="F49" s="12">
        <f>E30</f>
        <v>10</v>
      </c>
    </row>
    <row r="50" spans="3:6" x14ac:dyDescent="0.25">
      <c r="C50" s="1" t="s">
        <v>179</v>
      </c>
      <c r="D50" s="12">
        <f>D29</f>
        <v>3.5384615384615383</v>
      </c>
      <c r="E50">
        <f t="shared" si="0"/>
        <v>0.46153846153846168</v>
      </c>
      <c r="F50" s="12">
        <f>E29</f>
        <v>4</v>
      </c>
    </row>
    <row r="51" spans="3:6" x14ac:dyDescent="0.25">
      <c r="C51" s="1" t="s">
        <v>180</v>
      </c>
      <c r="D51" s="12">
        <f>D28</f>
        <v>2</v>
      </c>
      <c r="E51">
        <f t="shared" si="0"/>
        <v>2</v>
      </c>
      <c r="F51" s="12">
        <f>E28</f>
        <v>4</v>
      </c>
    </row>
    <row r="52" spans="3:6" x14ac:dyDescent="0.25">
      <c r="C52" s="31" t="s">
        <v>181</v>
      </c>
      <c r="D52" s="12">
        <f>D24</f>
        <v>1.2307692307692308</v>
      </c>
      <c r="E52">
        <f t="shared" si="0"/>
        <v>1.7692307692307692</v>
      </c>
      <c r="F52" s="12">
        <f>E24</f>
        <v>3</v>
      </c>
    </row>
    <row r="53" spans="3:6" x14ac:dyDescent="0.25">
      <c r="C53" s="31" t="s">
        <v>182</v>
      </c>
      <c r="D53" s="12">
        <f>D23</f>
        <v>4.625</v>
      </c>
      <c r="E53">
        <f t="shared" si="0"/>
        <v>5.375</v>
      </c>
      <c r="F53" s="12">
        <f>E23</f>
        <v>10</v>
      </c>
    </row>
    <row r="54" spans="3:6" x14ac:dyDescent="0.25">
      <c r="C54" s="31" t="s">
        <v>183</v>
      </c>
      <c r="D54" s="12">
        <f>D22</f>
        <v>2.2946984836017394</v>
      </c>
      <c r="E54">
        <f t="shared" si="0"/>
        <v>0.70530151639826055</v>
      </c>
      <c r="F54" s="12">
        <f>E22</f>
        <v>3</v>
      </c>
    </row>
    <row r="55" spans="3:6" x14ac:dyDescent="0.25">
      <c r="C55" t="s">
        <v>184</v>
      </c>
      <c r="D55" s="12">
        <f>D21</f>
        <v>1.4000000000000001</v>
      </c>
      <c r="E55">
        <f t="shared" si="0"/>
        <v>5.6</v>
      </c>
      <c r="F55" s="12">
        <f>E21</f>
        <v>7</v>
      </c>
    </row>
    <row r="56" spans="3:6" x14ac:dyDescent="0.25">
      <c r="C56" s="31" t="s">
        <v>185</v>
      </c>
      <c r="D56" s="12">
        <f>D20</f>
        <v>0</v>
      </c>
      <c r="E56">
        <f t="shared" si="0"/>
        <v>3</v>
      </c>
      <c r="F56" s="12">
        <f>E20</f>
        <v>3</v>
      </c>
    </row>
    <row r="57" spans="3:6" x14ac:dyDescent="0.25">
      <c r="C57" s="31" t="s">
        <v>186</v>
      </c>
      <c r="D57" s="12">
        <f>D19</f>
        <v>0</v>
      </c>
      <c r="E57">
        <f t="shared" si="0"/>
        <v>3</v>
      </c>
      <c r="F57" s="12">
        <f>E19</f>
        <v>3</v>
      </c>
    </row>
    <row r="58" spans="3:6" x14ac:dyDescent="0.25">
      <c r="C58" s="31" t="s">
        <v>187</v>
      </c>
      <c r="D58" s="12">
        <f>D18</f>
        <v>0</v>
      </c>
      <c r="E58">
        <f t="shared" si="0"/>
        <v>2</v>
      </c>
      <c r="F58" s="12">
        <f>E18</f>
        <v>2</v>
      </c>
    </row>
    <row r="59" spans="3:6" x14ac:dyDescent="0.25">
      <c r="C59" s="31" t="s">
        <v>188</v>
      </c>
      <c r="D59" s="12">
        <f>D17</f>
        <v>0.72258140355001754</v>
      </c>
      <c r="E59">
        <f t="shared" si="0"/>
        <v>2.2774185964499827</v>
      </c>
      <c r="F59" s="12">
        <f>E17</f>
        <v>3</v>
      </c>
    </row>
    <row r="60" spans="3:6" x14ac:dyDescent="0.25">
      <c r="C60" s="31" t="s">
        <v>189</v>
      </c>
      <c r="D60" s="12">
        <f>D16</f>
        <v>0.43573897559442759</v>
      </c>
      <c r="E60">
        <f t="shared" si="0"/>
        <v>3.5642610244055724</v>
      </c>
      <c r="F60" s="12">
        <f>E16</f>
        <v>4</v>
      </c>
    </row>
    <row r="61" spans="3:6" x14ac:dyDescent="0.25">
      <c r="C61" s="31" t="s">
        <v>190</v>
      </c>
      <c r="D61" s="12">
        <f>D15</f>
        <v>1.8421100500227376</v>
      </c>
      <c r="E61">
        <f t="shared" si="0"/>
        <v>6.1578899499772621</v>
      </c>
      <c r="F61" s="12">
        <f>E15</f>
        <v>8</v>
      </c>
    </row>
    <row r="62" spans="3:6" x14ac:dyDescent="0.25">
      <c r="C62" s="31" t="s">
        <v>191</v>
      </c>
      <c r="D62" s="12">
        <f>D11</f>
        <v>0.52631578947368418</v>
      </c>
      <c r="E62">
        <f t="shared" si="0"/>
        <v>1.4736842105263159</v>
      </c>
      <c r="F62" s="12">
        <f>E11</f>
        <v>2</v>
      </c>
    </row>
    <row r="63" spans="3:6" x14ac:dyDescent="0.25">
      <c r="C63" s="31" t="s">
        <v>192</v>
      </c>
      <c r="D63" s="12">
        <f>D10</f>
        <v>1</v>
      </c>
      <c r="E63">
        <f t="shared" si="0"/>
        <v>1</v>
      </c>
      <c r="F63" s="12">
        <f>E10</f>
        <v>2</v>
      </c>
    </row>
    <row r="64" spans="3:6" x14ac:dyDescent="0.25">
      <c r="C64" s="31" t="s">
        <v>193</v>
      </c>
      <c r="D64" s="12">
        <f>D9</f>
        <v>3</v>
      </c>
      <c r="E64">
        <f t="shared" si="0"/>
        <v>0</v>
      </c>
      <c r="F64" s="12">
        <f>E9</f>
        <v>3</v>
      </c>
    </row>
    <row r="65" spans="3:6" x14ac:dyDescent="0.25">
      <c r="C65" s="31" t="s">
        <v>194</v>
      </c>
      <c r="D65" s="12">
        <f>D8</f>
        <v>0</v>
      </c>
      <c r="E65">
        <f t="shared" si="0"/>
        <v>3</v>
      </c>
      <c r="F65" s="12">
        <f>E8</f>
        <v>3</v>
      </c>
    </row>
    <row r="66" spans="3:6" x14ac:dyDescent="0.25">
      <c r="C66" s="31" t="s">
        <v>195</v>
      </c>
      <c r="D66" s="12">
        <f>D7</f>
        <v>2.5909090909090908</v>
      </c>
      <c r="E66">
        <f t="shared" si="0"/>
        <v>2.4090909090909092</v>
      </c>
      <c r="F66" s="12">
        <f>E7</f>
        <v>5</v>
      </c>
    </row>
    <row r="67" spans="3:6" x14ac:dyDescent="0.25">
      <c r="C67" s="31" t="s">
        <v>196</v>
      </c>
      <c r="D67" s="12">
        <f>D6</f>
        <v>0</v>
      </c>
      <c r="E67">
        <f t="shared" si="0"/>
        <v>3</v>
      </c>
      <c r="F67" s="12">
        <f>E6</f>
        <v>3</v>
      </c>
    </row>
    <row r="68" spans="3:6" x14ac:dyDescent="0.25">
      <c r="C68" t="s">
        <v>197</v>
      </c>
      <c r="D68">
        <f>D5</f>
        <v>2</v>
      </c>
      <c r="E68">
        <f t="shared" si="0"/>
        <v>0</v>
      </c>
      <c r="F68">
        <f>E5</f>
        <v>2</v>
      </c>
    </row>
  </sheetData>
  <mergeCells count="4">
    <mergeCell ref="B26:E26"/>
    <mergeCell ref="B33:E33"/>
    <mergeCell ref="B3:E3"/>
    <mergeCell ref="B13:E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299C-B96E-4F93-806E-A3465C51168D}">
  <dimension ref="C4:R63"/>
  <sheetViews>
    <sheetView topLeftCell="B1" workbookViewId="0">
      <selection activeCell="F6" sqref="F6"/>
    </sheetView>
  </sheetViews>
  <sheetFormatPr defaultRowHeight="15" x14ac:dyDescent="0.25"/>
  <cols>
    <col min="3" max="3" width="55.140625" customWidth="1"/>
    <col min="5" max="5" width="10.85546875" customWidth="1"/>
    <col min="6" max="6" width="15.5703125" customWidth="1"/>
    <col min="8" max="8" width="10.5703125" customWidth="1"/>
    <col min="9" max="9" width="15.140625" customWidth="1"/>
    <col min="10" max="10" width="12.28515625" bestFit="1" customWidth="1"/>
  </cols>
  <sheetData>
    <row r="4" spans="3:18" x14ac:dyDescent="0.25">
      <c r="C4" s="3" t="s">
        <v>1</v>
      </c>
      <c r="D4" s="1" t="s">
        <v>31</v>
      </c>
      <c r="E4" s="1" t="s">
        <v>32</v>
      </c>
    </row>
    <row r="5" spans="3:18" ht="30" x14ac:dyDescent="0.25">
      <c r="C5" s="2" t="s">
        <v>29</v>
      </c>
      <c r="D5" s="1">
        <v>1</v>
      </c>
      <c r="E5" s="1">
        <v>1</v>
      </c>
      <c r="F5" t="s">
        <v>198</v>
      </c>
    </row>
    <row r="6" spans="3:18" ht="30" x14ac:dyDescent="0.25">
      <c r="C6" s="2" t="s">
        <v>30</v>
      </c>
      <c r="D6" s="1">
        <v>1</v>
      </c>
      <c r="E6" s="1">
        <v>1</v>
      </c>
      <c r="F6" t="s">
        <v>199</v>
      </c>
    </row>
    <row r="8" spans="3:18" x14ac:dyDescent="0.25">
      <c r="C8" s="4" t="s">
        <v>2</v>
      </c>
      <c r="D8" s="1" t="s">
        <v>43</v>
      </c>
      <c r="E8" s="1" t="s">
        <v>32</v>
      </c>
      <c r="F8" s="1" t="s">
        <v>31</v>
      </c>
      <c r="H8" s="1" t="s">
        <v>37</v>
      </c>
      <c r="I8" s="1"/>
      <c r="J8" s="1" t="s">
        <v>154</v>
      </c>
      <c r="K8" s="1"/>
      <c r="L8" s="1" t="s">
        <v>37</v>
      </c>
      <c r="M8" s="1"/>
      <c r="N8" s="1"/>
      <c r="O8" s="1" t="s">
        <v>154</v>
      </c>
    </row>
    <row r="9" spans="3:18" x14ac:dyDescent="0.25">
      <c r="C9" s="1" t="s">
        <v>33</v>
      </c>
      <c r="D9" s="1">
        <v>3</v>
      </c>
      <c r="E9" s="1"/>
      <c r="F9" s="11">
        <f>J14+O14</f>
        <v>-1.7869550730227557</v>
      </c>
      <c r="H9" s="1" t="s">
        <v>133</v>
      </c>
      <c r="I9" s="1"/>
      <c r="J9" s="1">
        <v>1.63</v>
      </c>
      <c r="K9" s="1"/>
      <c r="L9" s="1" t="s">
        <v>155</v>
      </c>
      <c r="M9" s="1"/>
      <c r="N9" s="1"/>
      <c r="O9" s="1">
        <v>5.58</v>
      </c>
    </row>
    <row r="10" spans="3:18" x14ac:dyDescent="0.25">
      <c r="C10" s="1" t="s">
        <v>34</v>
      </c>
      <c r="D10" s="1">
        <v>2</v>
      </c>
      <c r="E10" s="1"/>
      <c r="F10" s="1">
        <f t="shared" ref="F10:F12" si="0">D10*E10</f>
        <v>0</v>
      </c>
      <c r="H10" s="1" t="s">
        <v>134</v>
      </c>
      <c r="I10" s="1"/>
      <c r="J10" s="1">
        <v>3.25</v>
      </c>
      <c r="K10" s="1"/>
      <c r="L10" s="1" t="s">
        <v>156</v>
      </c>
      <c r="M10" s="1"/>
      <c r="N10" s="1"/>
      <c r="O10" s="1">
        <v>7.85</v>
      </c>
      <c r="Q10" t="s">
        <v>136</v>
      </c>
      <c r="R10">
        <f>J10+O10</f>
        <v>11.1</v>
      </c>
    </row>
    <row r="11" spans="3:18" x14ac:dyDescent="0.25">
      <c r="C11" s="1" t="s">
        <v>35</v>
      </c>
      <c r="D11" s="1">
        <v>1</v>
      </c>
      <c r="E11" s="1"/>
      <c r="F11" s="1">
        <f t="shared" si="0"/>
        <v>0</v>
      </c>
      <c r="H11" s="1"/>
      <c r="I11" s="1" t="s">
        <v>135</v>
      </c>
      <c r="J11" s="1">
        <f>J10/J9</f>
        <v>1.9938650306748467</v>
      </c>
      <c r="K11" s="1"/>
      <c r="L11" s="1"/>
      <c r="M11" s="1"/>
      <c r="N11" s="1" t="s">
        <v>135</v>
      </c>
      <c r="O11" s="1">
        <f>O10/O9</f>
        <v>1.4068100358422939</v>
      </c>
    </row>
    <row r="12" spans="3:18" x14ac:dyDescent="0.25">
      <c r="C12" s="1" t="s">
        <v>36</v>
      </c>
      <c r="D12" s="1">
        <v>0</v>
      </c>
      <c r="E12" s="1"/>
      <c r="F12" s="1">
        <f t="shared" si="0"/>
        <v>0</v>
      </c>
      <c r="H12" s="1"/>
      <c r="I12" s="1" t="s">
        <v>31</v>
      </c>
      <c r="J12" s="1">
        <f>14-10*J11</f>
        <v>-5.9386503067484675</v>
      </c>
      <c r="K12" s="1"/>
      <c r="L12" s="1"/>
      <c r="M12" s="1"/>
      <c r="N12" s="1" t="s">
        <v>31</v>
      </c>
      <c r="O12" s="1">
        <f>14-10*O11</f>
        <v>-6.8100358422938712E-2</v>
      </c>
    </row>
    <row r="13" spans="3:18" x14ac:dyDescent="0.25">
      <c r="C13" s="1"/>
      <c r="D13" s="1"/>
      <c r="E13" s="1" t="s">
        <v>38</v>
      </c>
      <c r="F13" s="11">
        <v>0</v>
      </c>
      <c r="H13" s="1"/>
      <c r="I13" s="1" t="s">
        <v>137</v>
      </c>
      <c r="J13" s="1">
        <f>J10/R10</f>
        <v>0.2927927927927928</v>
      </c>
      <c r="K13" s="1"/>
      <c r="L13" s="1"/>
      <c r="M13" s="1"/>
      <c r="N13" s="1" t="s">
        <v>157</v>
      </c>
      <c r="O13" s="1">
        <f>O10/R10</f>
        <v>0.7072072072072072</v>
      </c>
    </row>
    <row r="14" spans="3:18" x14ac:dyDescent="0.25">
      <c r="H14" s="1"/>
      <c r="I14" s="1" t="s">
        <v>153</v>
      </c>
      <c r="J14" s="1">
        <f>J12*J13</f>
        <v>-1.7387940087326594</v>
      </c>
      <c r="K14" s="1"/>
      <c r="L14" s="1"/>
      <c r="M14" s="1"/>
      <c r="N14" s="1" t="s">
        <v>153</v>
      </c>
      <c r="O14" s="1">
        <f>O12*O13</f>
        <v>-4.8161064290096298E-2</v>
      </c>
    </row>
    <row r="15" spans="3:18" x14ac:dyDescent="0.25">
      <c r="L15">
        <f>(J12+O12)/2</f>
        <v>-3.0033753325857031</v>
      </c>
    </row>
    <row r="16" spans="3:18" x14ac:dyDescent="0.25">
      <c r="I16" s="1" t="s">
        <v>37</v>
      </c>
      <c r="J16" s="1" t="s">
        <v>152</v>
      </c>
      <c r="K16" s="1" t="s">
        <v>148</v>
      </c>
    </row>
    <row r="17" spans="3:11" x14ac:dyDescent="0.25">
      <c r="C17" s="4" t="s">
        <v>3</v>
      </c>
      <c r="D17" s="1" t="s">
        <v>31</v>
      </c>
      <c r="E17" s="1" t="s">
        <v>44</v>
      </c>
      <c r="F17" s="1" t="s">
        <v>32</v>
      </c>
      <c r="G17" s="1" t="s">
        <v>31</v>
      </c>
      <c r="I17" s="1" t="s">
        <v>138</v>
      </c>
      <c r="J17" s="1">
        <v>0</v>
      </c>
      <c r="K17" s="1">
        <v>0</v>
      </c>
    </row>
    <row r="18" spans="3:11" x14ac:dyDescent="0.25">
      <c r="C18" s="1" t="s">
        <v>39</v>
      </c>
      <c r="D18" s="1">
        <v>5</v>
      </c>
      <c r="E18" s="1">
        <f>COUNTIF(K18:K39,"&gt;600")</f>
        <v>7</v>
      </c>
      <c r="F18" s="6">
        <f>E18/$E$22</f>
        <v>0.31818181818181818</v>
      </c>
      <c r="G18" s="6">
        <f>D18*F18</f>
        <v>1.5909090909090908</v>
      </c>
      <c r="I18" s="1" t="s">
        <v>158</v>
      </c>
      <c r="J18" s="1">
        <v>615</v>
      </c>
      <c r="K18" s="1">
        <f>J18-J17</f>
        <v>615</v>
      </c>
    </row>
    <row r="19" spans="3:11" x14ac:dyDescent="0.25">
      <c r="C19" s="1" t="s">
        <v>40</v>
      </c>
      <c r="D19" s="1">
        <v>4</v>
      </c>
      <c r="E19" s="1">
        <f>COUNTIF(K18:K39,"&gt;500")-E18</f>
        <v>1</v>
      </c>
      <c r="F19" s="6">
        <f t="shared" ref="F19:F21" si="1">E19/$E$22</f>
        <v>4.5454545454545456E-2</v>
      </c>
      <c r="G19" s="6">
        <f t="shared" ref="G19:G21" si="2">D19*F19</f>
        <v>0.18181818181818182</v>
      </c>
      <c r="I19" s="1"/>
      <c r="J19" s="1">
        <v>1060</v>
      </c>
      <c r="K19" s="1">
        <f t="shared" ref="K19:K39" si="3">J19-J18</f>
        <v>445</v>
      </c>
    </row>
    <row r="20" spans="3:11" x14ac:dyDescent="0.25">
      <c r="C20" s="1" t="s">
        <v>41</v>
      </c>
      <c r="D20" s="1">
        <v>3</v>
      </c>
      <c r="E20" s="1">
        <f>COUNTIF(K18:K39,"&gt;400")-E19-E18</f>
        <v>6</v>
      </c>
      <c r="F20" s="6">
        <f t="shared" si="1"/>
        <v>0.27272727272727271</v>
      </c>
      <c r="G20" s="6">
        <f t="shared" si="2"/>
        <v>0.81818181818181812</v>
      </c>
      <c r="I20" s="1"/>
      <c r="J20" s="1">
        <v>1500</v>
      </c>
      <c r="K20" s="1">
        <f t="shared" si="3"/>
        <v>440</v>
      </c>
    </row>
    <row r="21" spans="3:11" x14ac:dyDescent="0.25">
      <c r="C21" s="1" t="s">
        <v>42</v>
      </c>
      <c r="D21" s="1">
        <v>0</v>
      </c>
      <c r="E21" s="1">
        <f>COUNTIF(K18:K39,"&gt;0")-E19-E18-E20</f>
        <v>8</v>
      </c>
      <c r="F21" s="6">
        <f t="shared" si="1"/>
        <v>0.36363636363636365</v>
      </c>
      <c r="G21" s="6">
        <f t="shared" si="2"/>
        <v>0</v>
      </c>
      <c r="I21" s="1"/>
      <c r="J21" s="1">
        <v>1930</v>
      </c>
      <c r="K21" s="1">
        <f t="shared" si="3"/>
        <v>430</v>
      </c>
    </row>
    <row r="22" spans="3:11" x14ac:dyDescent="0.25">
      <c r="C22" s="1"/>
      <c r="D22" s="1" t="s">
        <v>45</v>
      </c>
      <c r="E22" s="1">
        <f>SUM(E18:E21)</f>
        <v>22</v>
      </c>
      <c r="F22" s="1"/>
      <c r="G22" s="6">
        <f>SUM(G18:G21)</f>
        <v>2.5909090909090908</v>
      </c>
      <c r="I22" s="1"/>
      <c r="J22" s="1">
        <v>2790</v>
      </c>
      <c r="K22" s="1">
        <f t="shared" si="3"/>
        <v>860</v>
      </c>
    </row>
    <row r="23" spans="3:11" x14ac:dyDescent="0.25">
      <c r="I23" s="1"/>
      <c r="J23" s="1">
        <v>3160</v>
      </c>
      <c r="K23" s="1">
        <f t="shared" si="3"/>
        <v>370</v>
      </c>
    </row>
    <row r="24" spans="3:11" x14ac:dyDescent="0.25">
      <c r="I24" s="1"/>
      <c r="J24" s="1">
        <v>3620</v>
      </c>
      <c r="K24" s="1">
        <f t="shared" si="3"/>
        <v>460</v>
      </c>
    </row>
    <row r="25" spans="3:11" x14ac:dyDescent="0.25">
      <c r="I25" s="1"/>
      <c r="J25" s="1">
        <v>4340</v>
      </c>
      <c r="K25" s="1">
        <f t="shared" si="3"/>
        <v>720</v>
      </c>
    </row>
    <row r="26" spans="3:11" x14ac:dyDescent="0.25">
      <c r="I26" s="1"/>
      <c r="J26" s="1">
        <v>4730</v>
      </c>
      <c r="K26" s="1">
        <f t="shared" si="3"/>
        <v>390</v>
      </c>
    </row>
    <row r="27" spans="3:11" x14ac:dyDescent="0.25">
      <c r="I27" s="1"/>
      <c r="J27" s="1">
        <v>5200</v>
      </c>
      <c r="K27" s="1">
        <f t="shared" si="3"/>
        <v>470</v>
      </c>
    </row>
    <row r="28" spans="3:11" x14ac:dyDescent="0.25">
      <c r="I28" s="1"/>
      <c r="J28" s="1">
        <v>5720</v>
      </c>
      <c r="K28" s="1">
        <f t="shared" si="3"/>
        <v>520</v>
      </c>
    </row>
    <row r="29" spans="3:11" x14ac:dyDescent="0.25">
      <c r="I29" s="1"/>
      <c r="J29" s="1">
        <v>6110</v>
      </c>
      <c r="K29" s="1">
        <f t="shared" si="3"/>
        <v>390</v>
      </c>
    </row>
    <row r="30" spans="3:11" x14ac:dyDescent="0.25">
      <c r="I30" s="1"/>
      <c r="J30" s="1">
        <v>6980</v>
      </c>
      <c r="K30" s="1">
        <f t="shared" si="3"/>
        <v>870</v>
      </c>
    </row>
    <row r="31" spans="3:11" x14ac:dyDescent="0.25">
      <c r="I31" s="1"/>
      <c r="J31" s="1">
        <v>7600</v>
      </c>
      <c r="K31" s="1">
        <f t="shared" si="3"/>
        <v>620</v>
      </c>
    </row>
    <row r="32" spans="3:11" x14ac:dyDescent="0.25">
      <c r="I32" s="1"/>
      <c r="J32" s="1">
        <v>8220</v>
      </c>
      <c r="K32" s="1">
        <f t="shared" si="3"/>
        <v>620</v>
      </c>
    </row>
    <row r="33" spans="3:11" x14ac:dyDescent="0.25">
      <c r="I33" s="1"/>
      <c r="J33" s="1">
        <v>8600</v>
      </c>
      <c r="K33" s="1">
        <f t="shared" si="3"/>
        <v>380</v>
      </c>
    </row>
    <row r="34" spans="3:11" x14ac:dyDescent="0.25">
      <c r="I34" s="1"/>
      <c r="J34" s="1">
        <v>9030</v>
      </c>
      <c r="K34" s="1">
        <f t="shared" si="3"/>
        <v>430</v>
      </c>
    </row>
    <row r="35" spans="3:11" x14ac:dyDescent="0.25">
      <c r="I35" s="1"/>
      <c r="J35" s="1">
        <v>9380</v>
      </c>
      <c r="K35" s="1">
        <f t="shared" si="3"/>
        <v>350</v>
      </c>
    </row>
    <row r="36" spans="3:11" x14ac:dyDescent="0.25">
      <c r="I36" s="1"/>
      <c r="J36" s="1">
        <v>9640</v>
      </c>
      <c r="K36" s="1">
        <f t="shared" si="3"/>
        <v>260</v>
      </c>
    </row>
    <row r="37" spans="3:11" x14ac:dyDescent="0.25">
      <c r="I37" s="1"/>
      <c r="J37" s="1">
        <v>9970</v>
      </c>
      <c r="K37" s="1">
        <f t="shared" si="3"/>
        <v>330</v>
      </c>
    </row>
    <row r="38" spans="3:11" x14ac:dyDescent="0.25">
      <c r="I38" s="1"/>
      <c r="J38" s="1">
        <v>10350</v>
      </c>
      <c r="K38" s="1">
        <f t="shared" si="3"/>
        <v>380</v>
      </c>
    </row>
    <row r="39" spans="3:11" x14ac:dyDescent="0.25">
      <c r="I39" s="1"/>
      <c r="J39" s="1">
        <v>11000</v>
      </c>
      <c r="K39" s="1">
        <f t="shared" si="3"/>
        <v>650</v>
      </c>
    </row>
    <row r="42" spans="3:11" x14ac:dyDescent="0.25">
      <c r="C42" s="4" t="s">
        <v>4</v>
      </c>
      <c r="D42" s="1" t="s">
        <v>52</v>
      </c>
      <c r="E42" s="1" t="s">
        <v>44</v>
      </c>
      <c r="F42" s="1" t="s">
        <v>57</v>
      </c>
      <c r="G42" s="1" t="s">
        <v>31</v>
      </c>
      <c r="I42" t="s">
        <v>141</v>
      </c>
      <c r="J42" t="s">
        <v>139</v>
      </c>
      <c r="K42" t="s">
        <v>140</v>
      </c>
    </row>
    <row r="43" spans="3:11" x14ac:dyDescent="0.25">
      <c r="C43" s="1" t="s">
        <v>46</v>
      </c>
      <c r="D43" s="1">
        <v>3</v>
      </c>
      <c r="E43" s="1">
        <v>34</v>
      </c>
      <c r="F43" s="1">
        <f>E43/((J39/1000)*2)</f>
        <v>1.5454545454545454</v>
      </c>
      <c r="G43" s="1">
        <f>-4*F43+4</f>
        <v>-2.1818181818181817</v>
      </c>
      <c r="I43">
        <v>50</v>
      </c>
      <c r="J43">
        <v>15</v>
      </c>
      <c r="K43">
        <f>((I43/2)^2+J43^2)/(2*J43)</f>
        <v>28.333333333333332</v>
      </c>
    </row>
    <row r="44" spans="3:11" x14ac:dyDescent="0.25">
      <c r="C44" s="1" t="s">
        <v>47</v>
      </c>
      <c r="D44" s="1">
        <v>2</v>
      </c>
      <c r="F44" s="1"/>
      <c r="G44" s="1"/>
    </row>
    <row r="45" spans="3:11" x14ac:dyDescent="0.25">
      <c r="C45" s="1" t="s">
        <v>48</v>
      </c>
      <c r="D45" s="1">
        <v>1</v>
      </c>
      <c r="E45" s="1"/>
      <c r="F45" s="1"/>
      <c r="G45" s="1"/>
      <c r="I45">
        <f>6/8.3</f>
        <v>0.72289156626506013</v>
      </c>
      <c r="J45">
        <f>8/8.3</f>
        <v>0.96385542168674687</v>
      </c>
      <c r="K45">
        <f>(I45+J45)/2</f>
        <v>0.84337349397590344</v>
      </c>
    </row>
    <row r="46" spans="3:11" x14ac:dyDescent="0.25">
      <c r="C46" s="1" t="s">
        <v>49</v>
      </c>
      <c r="D46" s="1">
        <v>0</v>
      </c>
      <c r="E46" s="1"/>
      <c r="F46" s="1"/>
      <c r="G46" s="1"/>
    </row>
    <row r="47" spans="3:11" x14ac:dyDescent="0.25">
      <c r="F47" s="1" t="s">
        <v>53</v>
      </c>
      <c r="G47" s="1">
        <v>0</v>
      </c>
      <c r="J47" s="5"/>
    </row>
    <row r="49" spans="3:7" x14ac:dyDescent="0.25">
      <c r="C49" s="1" t="s">
        <v>5</v>
      </c>
      <c r="D49" s="1" t="s">
        <v>52</v>
      </c>
      <c r="E49" s="1" t="s">
        <v>44</v>
      </c>
      <c r="F49" s="1" t="s">
        <v>32</v>
      </c>
      <c r="G49" s="1" t="s">
        <v>31</v>
      </c>
    </row>
    <row r="50" spans="3:7" ht="30" x14ac:dyDescent="0.25">
      <c r="C50" s="2" t="s">
        <v>50</v>
      </c>
      <c r="D50" s="1">
        <v>3</v>
      </c>
      <c r="E50" s="1">
        <v>0</v>
      </c>
      <c r="F50" s="1">
        <v>1</v>
      </c>
      <c r="G50" s="1">
        <f>D50*F50</f>
        <v>3</v>
      </c>
    </row>
    <row r="51" spans="3:7" ht="30" x14ac:dyDescent="0.25">
      <c r="C51" s="2" t="s">
        <v>51</v>
      </c>
      <c r="D51" s="1">
        <v>0</v>
      </c>
      <c r="E51" s="1">
        <v>0</v>
      </c>
      <c r="F51" s="1">
        <v>0</v>
      </c>
      <c r="G51" s="1">
        <f>D51*F51</f>
        <v>0</v>
      </c>
    </row>
    <row r="52" spans="3:7" x14ac:dyDescent="0.25">
      <c r="F52" s="1" t="s">
        <v>45</v>
      </c>
      <c r="G52" s="1">
        <f>SUM(G50:G51)</f>
        <v>3</v>
      </c>
    </row>
    <row r="54" spans="3:7" x14ac:dyDescent="0.25">
      <c r="C54" s="8" t="s">
        <v>6</v>
      </c>
      <c r="D54" s="1" t="s">
        <v>52</v>
      </c>
      <c r="E54" s="1" t="s">
        <v>44</v>
      </c>
      <c r="F54" s="1" t="s">
        <v>58</v>
      </c>
      <c r="G54" s="1" t="s">
        <v>31</v>
      </c>
    </row>
    <row r="55" spans="3:7" x14ac:dyDescent="0.25">
      <c r="C55" s="1" t="s">
        <v>54</v>
      </c>
      <c r="D55" s="1">
        <v>2</v>
      </c>
      <c r="E55" s="1"/>
      <c r="F55" s="1"/>
      <c r="G55" s="1">
        <v>0</v>
      </c>
    </row>
    <row r="56" spans="3:7" x14ac:dyDescent="0.25">
      <c r="C56" s="1" t="s">
        <v>55</v>
      </c>
      <c r="D56" s="1">
        <v>1</v>
      </c>
      <c r="E56" s="1"/>
      <c r="F56" s="1"/>
      <c r="G56" s="1">
        <v>1</v>
      </c>
    </row>
    <row r="57" spans="3:7" x14ac:dyDescent="0.25">
      <c r="C57" s="1" t="s">
        <v>56</v>
      </c>
      <c r="D57" s="1">
        <v>0</v>
      </c>
      <c r="E57" s="1"/>
      <c r="F57" s="1"/>
      <c r="G57" s="1">
        <v>0</v>
      </c>
    </row>
    <row r="58" spans="3:7" x14ac:dyDescent="0.25">
      <c r="F58" s="1" t="s">
        <v>53</v>
      </c>
      <c r="G58" s="1">
        <f>SUM(G55:G57)</f>
        <v>1</v>
      </c>
    </row>
    <row r="60" spans="3:7" x14ac:dyDescent="0.25">
      <c r="C60" s="1" t="s">
        <v>59</v>
      </c>
      <c r="D60" s="1" t="s">
        <v>52</v>
      </c>
      <c r="E60" s="1" t="s">
        <v>44</v>
      </c>
      <c r="F60" s="1" t="s">
        <v>58</v>
      </c>
      <c r="G60" s="1" t="s">
        <v>31</v>
      </c>
    </row>
    <row r="61" spans="3:7" x14ac:dyDescent="0.25">
      <c r="C61" s="1" t="s">
        <v>60</v>
      </c>
      <c r="D61" s="1">
        <v>1</v>
      </c>
      <c r="E61" s="1">
        <v>0</v>
      </c>
      <c r="F61" s="1">
        <v>0</v>
      </c>
      <c r="G61" s="1">
        <f>D61*F61</f>
        <v>0</v>
      </c>
    </row>
    <row r="62" spans="3:7" x14ac:dyDescent="0.25">
      <c r="C62" s="1" t="s">
        <v>61</v>
      </c>
      <c r="D62" s="1">
        <v>1</v>
      </c>
      <c r="E62" s="1">
        <v>20</v>
      </c>
      <c r="F62" s="1">
        <f>E62/38</f>
        <v>0.52631578947368418</v>
      </c>
      <c r="G62" s="1">
        <f>D62*F62</f>
        <v>0.52631578947368418</v>
      </c>
    </row>
    <row r="63" spans="3:7" x14ac:dyDescent="0.25">
      <c r="F63" s="7" t="s">
        <v>53</v>
      </c>
      <c r="G63" s="7">
        <f>SUM(G61:G62)</f>
        <v>0.52631578947368418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EA32-5F2D-4E9F-BA99-1531F44A829E}">
  <dimension ref="C3:T109"/>
  <sheetViews>
    <sheetView zoomScale="108" workbookViewId="0">
      <selection activeCell="M3" sqref="M3:M26"/>
    </sheetView>
  </sheetViews>
  <sheetFormatPr defaultRowHeight="15" x14ac:dyDescent="0.25"/>
  <cols>
    <col min="3" max="3" width="47" customWidth="1"/>
    <col min="4" max="4" width="9.42578125" bestFit="1" customWidth="1"/>
    <col min="5" max="5" width="12.85546875" bestFit="1" customWidth="1"/>
    <col min="6" max="6" width="12.28515625" customWidth="1"/>
    <col min="9" max="9" width="12.140625" customWidth="1"/>
    <col min="12" max="12" width="10" customWidth="1"/>
    <col min="14" max="14" width="11.28515625" customWidth="1"/>
  </cols>
  <sheetData>
    <row r="3" spans="3:16" x14ac:dyDescent="0.25">
      <c r="I3" t="s">
        <v>144</v>
      </c>
      <c r="N3" t="s">
        <v>159</v>
      </c>
    </row>
    <row r="4" spans="3:16" x14ac:dyDescent="0.25">
      <c r="C4" s="1" t="s">
        <v>14</v>
      </c>
      <c r="D4" s="1" t="s">
        <v>52</v>
      </c>
      <c r="E4" s="1" t="s">
        <v>44</v>
      </c>
      <c r="F4" s="1" t="s">
        <v>73</v>
      </c>
      <c r="G4" s="1" t="s">
        <v>31</v>
      </c>
      <c r="I4" t="s">
        <v>142</v>
      </c>
      <c r="J4" t="s">
        <v>143</v>
      </c>
      <c r="K4" t="s">
        <v>148</v>
      </c>
      <c r="N4" t="s">
        <v>142</v>
      </c>
      <c r="O4" t="s">
        <v>143</v>
      </c>
      <c r="P4" t="s">
        <v>148</v>
      </c>
    </row>
    <row r="5" spans="3:16" ht="45" x14ac:dyDescent="0.25">
      <c r="C5" s="2" t="s">
        <v>74</v>
      </c>
      <c r="D5" s="1">
        <v>8</v>
      </c>
      <c r="E5" s="1">
        <f>SUMIF(I5:I39,"*Fysisk*",K5:K39)+SUMIF(N5:N33,"*Fysisk*",P5:P33)</f>
        <v>770</v>
      </c>
      <c r="F5" s="6">
        <f>E5/SUM(E5:E8)</f>
        <v>3.5015916325602546E-2</v>
      </c>
      <c r="G5" s="1">
        <f>F5*D5</f>
        <v>0.28012733060482037</v>
      </c>
      <c r="I5" t="s">
        <v>77</v>
      </c>
      <c r="J5">
        <v>1310</v>
      </c>
      <c r="K5">
        <f>J5</f>
        <v>1310</v>
      </c>
      <c r="N5" t="s">
        <v>77</v>
      </c>
      <c r="O5">
        <v>82</v>
      </c>
      <c r="P5">
        <f>O5</f>
        <v>82</v>
      </c>
    </row>
    <row r="6" spans="3:16" ht="45" x14ac:dyDescent="0.25">
      <c r="C6" s="2" t="s">
        <v>75</v>
      </c>
      <c r="D6" s="1">
        <v>6</v>
      </c>
      <c r="E6" s="1">
        <f>SUMIF(I5:I39,"*Visuell*",K5:K39)+SUMIF(N5:N33,"*Visuell*",P5:P33)</f>
        <v>1700</v>
      </c>
      <c r="F6" s="6">
        <f>E6/SUM(E5:E8)</f>
        <v>7.7307867212369263E-2</v>
      </c>
      <c r="G6" s="1">
        <f t="shared" ref="G6:G8" si="0">F6*D6</f>
        <v>0.46384720327421558</v>
      </c>
      <c r="I6" s="9" t="s">
        <v>146</v>
      </c>
      <c r="J6">
        <v>1650</v>
      </c>
      <c r="K6">
        <f>J6-J5</f>
        <v>340</v>
      </c>
      <c r="N6" t="s">
        <v>146</v>
      </c>
      <c r="O6">
        <v>660</v>
      </c>
      <c r="P6">
        <f>O6-O5</f>
        <v>578</v>
      </c>
    </row>
    <row r="7" spans="3:16" x14ac:dyDescent="0.25">
      <c r="C7" s="2" t="s">
        <v>76</v>
      </c>
      <c r="D7" s="1">
        <v>4</v>
      </c>
      <c r="E7" s="1">
        <f>SUMIF(I5:I39,"*linje*",K5:K39)+SUMIF(N5:N33,"*linje*",P5:P33)</f>
        <v>6037</v>
      </c>
      <c r="F7" s="6">
        <f>E7/SUM(E5:E8)</f>
        <v>0.27453387903592541</v>
      </c>
      <c r="G7" s="1">
        <f t="shared" si="0"/>
        <v>1.0981355161437016</v>
      </c>
      <c r="I7" s="9" t="s">
        <v>77</v>
      </c>
      <c r="J7">
        <v>2020</v>
      </c>
      <c r="K7">
        <f t="shared" ref="K7:K27" si="1">J7-J6</f>
        <v>370</v>
      </c>
      <c r="N7" t="s">
        <v>77</v>
      </c>
      <c r="O7">
        <v>773</v>
      </c>
      <c r="P7">
        <f t="shared" ref="P7:P26" si="2">O7-O6</f>
        <v>113</v>
      </c>
    </row>
    <row r="8" spans="3:16" x14ac:dyDescent="0.25">
      <c r="C8" s="1" t="s">
        <v>77</v>
      </c>
      <c r="D8" s="1">
        <v>0</v>
      </c>
      <c r="E8" s="1">
        <f>SUMIF(I5:I39,"*Blandtrafik*",K5:K39)+SUMIF(N5:N33,"*Blandtrafik*",P5:P33)</f>
        <v>13483</v>
      </c>
      <c r="F8" s="6">
        <f>E8/SUM(E5:E8)</f>
        <v>0.6131423374261028</v>
      </c>
      <c r="G8" s="1">
        <f t="shared" si="0"/>
        <v>0</v>
      </c>
      <c r="I8" t="s">
        <v>146</v>
      </c>
      <c r="J8">
        <v>2940</v>
      </c>
      <c r="K8">
        <f t="shared" si="1"/>
        <v>920</v>
      </c>
      <c r="N8" t="s">
        <v>146</v>
      </c>
      <c r="O8">
        <v>1070</v>
      </c>
      <c r="P8">
        <f t="shared" si="2"/>
        <v>297</v>
      </c>
    </row>
    <row r="9" spans="3:16" x14ac:dyDescent="0.25">
      <c r="D9" t="s">
        <v>153</v>
      </c>
      <c r="E9">
        <f>SUM(E5:E8)</f>
        <v>21990</v>
      </c>
      <c r="F9" s="7" t="s">
        <v>38</v>
      </c>
      <c r="G9" s="10">
        <f>SUM(G5:G8)</f>
        <v>1.8421100500227376</v>
      </c>
      <c r="I9" t="s">
        <v>77</v>
      </c>
      <c r="J9">
        <v>3110</v>
      </c>
      <c r="K9">
        <f t="shared" si="1"/>
        <v>170</v>
      </c>
      <c r="N9" t="s">
        <v>77</v>
      </c>
      <c r="O9">
        <v>4030</v>
      </c>
      <c r="P9">
        <f t="shared" si="2"/>
        <v>2960</v>
      </c>
    </row>
    <row r="10" spans="3:16" x14ac:dyDescent="0.25">
      <c r="H10" t="s">
        <v>160</v>
      </c>
      <c r="I10" t="s">
        <v>147</v>
      </c>
      <c r="J10">
        <v>3490</v>
      </c>
      <c r="K10">
        <f t="shared" si="1"/>
        <v>380</v>
      </c>
      <c r="N10" t="s">
        <v>145</v>
      </c>
      <c r="O10">
        <v>4100</v>
      </c>
      <c r="P10">
        <f t="shared" si="2"/>
        <v>70</v>
      </c>
    </row>
    <row r="11" spans="3:16" x14ac:dyDescent="0.25">
      <c r="E11">
        <f>J39+O29</f>
        <v>0</v>
      </c>
      <c r="F11" s="5">
        <f>SUM(F5:F7)</f>
        <v>0.3868576625738972</v>
      </c>
      <c r="I11" t="s">
        <v>77</v>
      </c>
      <c r="J11">
        <v>3730</v>
      </c>
      <c r="K11">
        <f t="shared" si="1"/>
        <v>240</v>
      </c>
      <c r="M11" t="s">
        <v>160</v>
      </c>
      <c r="N11" t="s">
        <v>145</v>
      </c>
      <c r="O11">
        <v>4300</v>
      </c>
      <c r="P11">
        <f t="shared" si="2"/>
        <v>200</v>
      </c>
    </row>
    <row r="12" spans="3:16" x14ac:dyDescent="0.25">
      <c r="E12">
        <f>SUM(E5:E8)</f>
        <v>21990</v>
      </c>
      <c r="F12">
        <f>F7/SUM(F5:F7)</f>
        <v>0.7096508757493829</v>
      </c>
      <c r="I12" t="s">
        <v>145</v>
      </c>
      <c r="J12">
        <v>4070</v>
      </c>
      <c r="K12">
        <f t="shared" si="1"/>
        <v>340</v>
      </c>
      <c r="N12" t="s">
        <v>77</v>
      </c>
      <c r="O12">
        <v>4600</v>
      </c>
      <c r="P12">
        <f t="shared" si="2"/>
        <v>300</v>
      </c>
    </row>
    <row r="13" spans="3:16" x14ac:dyDescent="0.25">
      <c r="I13" t="s">
        <v>77</v>
      </c>
      <c r="J13">
        <v>4300</v>
      </c>
      <c r="K13">
        <f t="shared" si="1"/>
        <v>230</v>
      </c>
      <c r="N13" t="s">
        <v>145</v>
      </c>
      <c r="O13">
        <v>4800</v>
      </c>
      <c r="P13">
        <f t="shared" si="2"/>
        <v>200</v>
      </c>
    </row>
    <row r="14" spans="3:16" x14ac:dyDescent="0.25">
      <c r="E14" t="s">
        <v>77</v>
      </c>
      <c r="I14" t="s">
        <v>146</v>
      </c>
      <c r="J14">
        <v>4590</v>
      </c>
      <c r="K14">
        <f t="shared" si="1"/>
        <v>290</v>
      </c>
      <c r="N14" t="s">
        <v>77</v>
      </c>
      <c r="O14">
        <v>5000</v>
      </c>
      <c r="P14">
        <f t="shared" si="2"/>
        <v>200</v>
      </c>
    </row>
    <row r="15" spans="3:16" x14ac:dyDescent="0.25">
      <c r="E15" s="9" t="s">
        <v>145</v>
      </c>
      <c r="I15" t="s">
        <v>77</v>
      </c>
      <c r="J15">
        <v>5160</v>
      </c>
      <c r="K15">
        <f t="shared" si="1"/>
        <v>570</v>
      </c>
      <c r="N15" t="s">
        <v>146</v>
      </c>
      <c r="O15">
        <v>5430</v>
      </c>
      <c r="P15">
        <f t="shared" si="2"/>
        <v>430</v>
      </c>
    </row>
    <row r="16" spans="3:16" x14ac:dyDescent="0.25">
      <c r="E16" t="s">
        <v>146</v>
      </c>
      <c r="H16" t="s">
        <v>160</v>
      </c>
      <c r="I16" t="s">
        <v>145</v>
      </c>
      <c r="J16">
        <v>5390</v>
      </c>
      <c r="K16">
        <f t="shared" si="1"/>
        <v>230</v>
      </c>
      <c r="N16" t="s">
        <v>77</v>
      </c>
      <c r="O16">
        <v>5680</v>
      </c>
      <c r="P16">
        <f t="shared" si="2"/>
        <v>250</v>
      </c>
    </row>
    <row r="17" spans="5:16" x14ac:dyDescent="0.25">
      <c r="E17" t="s">
        <v>147</v>
      </c>
      <c r="I17" t="s">
        <v>77</v>
      </c>
      <c r="J17">
        <v>5740</v>
      </c>
      <c r="K17">
        <f t="shared" si="1"/>
        <v>350</v>
      </c>
      <c r="M17" t="s">
        <v>160</v>
      </c>
      <c r="N17" t="s">
        <v>145</v>
      </c>
      <c r="O17">
        <v>5910</v>
      </c>
      <c r="P17">
        <f t="shared" si="2"/>
        <v>230</v>
      </c>
    </row>
    <row r="18" spans="5:16" x14ac:dyDescent="0.25">
      <c r="I18" t="s">
        <v>146</v>
      </c>
      <c r="J18">
        <v>6262</v>
      </c>
      <c r="K18">
        <f t="shared" si="1"/>
        <v>522</v>
      </c>
      <c r="N18" t="s">
        <v>77</v>
      </c>
      <c r="O18">
        <v>6020</v>
      </c>
      <c r="P18">
        <f t="shared" si="2"/>
        <v>110</v>
      </c>
    </row>
    <row r="19" spans="5:16" x14ac:dyDescent="0.25">
      <c r="I19" t="s">
        <v>77</v>
      </c>
      <c r="J19">
        <v>6430</v>
      </c>
      <c r="K19">
        <f t="shared" si="1"/>
        <v>168</v>
      </c>
      <c r="N19" t="s">
        <v>146</v>
      </c>
      <c r="O19">
        <v>6350</v>
      </c>
      <c r="P19">
        <f t="shared" si="2"/>
        <v>330</v>
      </c>
    </row>
    <row r="20" spans="5:16" x14ac:dyDescent="0.25">
      <c r="I20" t="s">
        <v>145</v>
      </c>
      <c r="J20">
        <v>6540</v>
      </c>
      <c r="K20">
        <f t="shared" si="1"/>
        <v>110</v>
      </c>
      <c r="N20" t="s">
        <v>77</v>
      </c>
      <c r="O20">
        <v>7580</v>
      </c>
      <c r="P20">
        <f t="shared" si="2"/>
        <v>1230</v>
      </c>
    </row>
    <row r="21" spans="5:16" x14ac:dyDescent="0.25">
      <c r="I21" t="s">
        <v>77</v>
      </c>
      <c r="J21">
        <v>6880</v>
      </c>
      <c r="K21">
        <f t="shared" si="1"/>
        <v>340</v>
      </c>
      <c r="N21" t="s">
        <v>147</v>
      </c>
      <c r="O21">
        <v>7970</v>
      </c>
      <c r="P21">
        <f t="shared" si="2"/>
        <v>390</v>
      </c>
    </row>
    <row r="22" spans="5:16" x14ac:dyDescent="0.25">
      <c r="I22" t="s">
        <v>145</v>
      </c>
      <c r="J22">
        <v>7200</v>
      </c>
      <c r="K22">
        <f t="shared" si="1"/>
        <v>320</v>
      </c>
      <c r="N22" t="s">
        <v>77</v>
      </c>
      <c r="O22">
        <v>8160</v>
      </c>
      <c r="P22">
        <f t="shared" si="2"/>
        <v>190</v>
      </c>
    </row>
    <row r="23" spans="5:16" x14ac:dyDescent="0.25">
      <c r="I23" t="s">
        <v>77</v>
      </c>
      <c r="J23">
        <v>9710</v>
      </c>
      <c r="K23">
        <f t="shared" si="1"/>
        <v>2510</v>
      </c>
      <c r="N23" t="s">
        <v>146</v>
      </c>
      <c r="O23">
        <v>9050</v>
      </c>
      <c r="P23">
        <f t="shared" si="2"/>
        <v>890</v>
      </c>
    </row>
    <row r="24" spans="5:16" x14ac:dyDescent="0.25">
      <c r="I24" t="s">
        <v>146</v>
      </c>
      <c r="J24">
        <v>10250</v>
      </c>
      <c r="K24">
        <f t="shared" si="1"/>
        <v>540</v>
      </c>
      <c r="N24" t="s">
        <v>77</v>
      </c>
      <c r="O24">
        <v>9420</v>
      </c>
      <c r="P24">
        <f t="shared" si="2"/>
        <v>370</v>
      </c>
    </row>
    <row r="25" spans="5:16" x14ac:dyDescent="0.25">
      <c r="I25" t="s">
        <v>77</v>
      </c>
      <c r="J25">
        <v>10370</v>
      </c>
      <c r="K25">
        <f t="shared" si="1"/>
        <v>120</v>
      </c>
      <c r="N25" t="s">
        <v>146</v>
      </c>
      <c r="O25">
        <v>9740</v>
      </c>
      <c r="P25">
        <f t="shared" si="2"/>
        <v>320</v>
      </c>
    </row>
    <row r="26" spans="5:16" x14ac:dyDescent="0.25">
      <c r="I26" t="s">
        <v>146</v>
      </c>
      <c r="J26">
        <v>10950</v>
      </c>
      <c r="K26">
        <f t="shared" si="1"/>
        <v>580</v>
      </c>
      <c r="N26" t="s">
        <v>77</v>
      </c>
      <c r="O26">
        <v>10960</v>
      </c>
      <c r="P26">
        <f t="shared" si="2"/>
        <v>1220</v>
      </c>
    </row>
    <row r="27" spans="5:16" x14ac:dyDescent="0.25">
      <c r="I27" t="s">
        <v>77</v>
      </c>
      <c r="J27">
        <v>11030</v>
      </c>
      <c r="K27">
        <f t="shared" si="1"/>
        <v>80</v>
      </c>
    </row>
    <row r="33" spans="3:20" x14ac:dyDescent="0.25">
      <c r="N33" s="5"/>
    </row>
    <row r="34" spans="3:20" x14ac:dyDescent="0.25">
      <c r="L34" s="5"/>
    </row>
    <row r="35" spans="3:20" x14ac:dyDescent="0.25">
      <c r="L35" s="5"/>
      <c r="T35" s="5"/>
    </row>
    <row r="36" spans="3:20" x14ac:dyDescent="0.25">
      <c r="L36" s="5"/>
      <c r="T36" s="5"/>
    </row>
    <row r="37" spans="3:20" x14ac:dyDescent="0.25">
      <c r="T37" s="5"/>
    </row>
    <row r="38" spans="3:20" x14ac:dyDescent="0.25">
      <c r="T38" s="5"/>
    </row>
    <row r="41" spans="3:20" ht="15" customHeight="1" x14ac:dyDescent="0.25">
      <c r="C41" s="1" t="s">
        <v>15</v>
      </c>
      <c r="D41" s="1" t="s">
        <v>52</v>
      </c>
      <c r="E41" s="1" t="s">
        <v>44</v>
      </c>
      <c r="F41" s="1" t="s">
        <v>32</v>
      </c>
      <c r="G41" s="1" t="s">
        <v>80</v>
      </c>
    </row>
    <row r="42" spans="3:20" ht="49.5" customHeight="1" x14ac:dyDescent="0.25">
      <c r="C42" s="2" t="s">
        <v>78</v>
      </c>
      <c r="D42" s="1">
        <v>4</v>
      </c>
      <c r="E42" s="1">
        <f>P11+K10+K16+P17</f>
        <v>1040</v>
      </c>
      <c r="F42" s="6">
        <f>E42/(E42+E43)</f>
        <v>0.1089347438986069</v>
      </c>
      <c r="G42" s="1">
        <f>F42*D42</f>
        <v>0.43573897559442759</v>
      </c>
    </row>
    <row r="43" spans="3:20" ht="30" x14ac:dyDescent="0.25">
      <c r="C43" s="2" t="s">
        <v>79</v>
      </c>
      <c r="D43" s="1">
        <v>0</v>
      </c>
      <c r="E43" s="32">
        <f>SUM(E5:E7)</f>
        <v>8507</v>
      </c>
      <c r="F43" s="6">
        <f>E43/(E42+E43)</f>
        <v>0.89106525610139309</v>
      </c>
      <c r="G43" s="1">
        <f>F43*D43</f>
        <v>0</v>
      </c>
    </row>
    <row r="44" spans="3:20" x14ac:dyDescent="0.25">
      <c r="F44" s="1" t="s">
        <v>38</v>
      </c>
      <c r="G44" s="11">
        <f>SUM(G42:G43)</f>
        <v>0.43573897559442759</v>
      </c>
    </row>
    <row r="45" spans="3:20" x14ac:dyDescent="0.25">
      <c r="J45" s="5"/>
      <c r="K45" s="5"/>
    </row>
    <row r="48" spans="3:20" x14ac:dyDescent="0.25">
      <c r="C48" s="1" t="s">
        <v>81</v>
      </c>
      <c r="D48" s="1" t="s">
        <v>52</v>
      </c>
      <c r="E48" s="1" t="s">
        <v>44</v>
      </c>
      <c r="F48" s="1" t="s">
        <v>32</v>
      </c>
      <c r="G48" s="1" t="s">
        <v>31</v>
      </c>
    </row>
    <row r="49" spans="3:7" x14ac:dyDescent="0.25">
      <c r="C49" s="1" t="s">
        <v>82</v>
      </c>
      <c r="D49" s="1">
        <v>3</v>
      </c>
      <c r="E49" s="1">
        <f>E5+E6+E7</f>
        <v>8507</v>
      </c>
      <c r="F49" s="1">
        <f>E50/E49</f>
        <v>0.24086046785000587</v>
      </c>
      <c r="G49" s="1">
        <f>D49*F49</f>
        <v>0.72258140355001754</v>
      </c>
    </row>
    <row r="50" spans="3:7" x14ac:dyDescent="0.25">
      <c r="C50" s="1" t="s">
        <v>83</v>
      </c>
      <c r="D50" s="1">
        <v>0</v>
      </c>
      <c r="E50" s="1">
        <f>255+255+331+426+200+112+300+170</f>
        <v>2049</v>
      </c>
      <c r="F50" s="1">
        <v>0</v>
      </c>
      <c r="G50" s="1"/>
    </row>
    <row r="51" spans="3:7" x14ac:dyDescent="0.25">
      <c r="F51" s="7" t="s">
        <v>38</v>
      </c>
      <c r="G51" s="10">
        <f>SUM(G49:G50)</f>
        <v>0.72258140355001754</v>
      </c>
    </row>
    <row r="54" spans="3:7" x14ac:dyDescent="0.25">
      <c r="C54" s="1" t="s">
        <v>84</v>
      </c>
      <c r="D54" s="1" t="s">
        <v>52</v>
      </c>
      <c r="E54" s="1" t="s">
        <v>44</v>
      </c>
      <c r="F54" s="1" t="s">
        <v>32</v>
      </c>
      <c r="G54" s="1" t="s">
        <v>31</v>
      </c>
    </row>
    <row r="55" spans="3:7" x14ac:dyDescent="0.25">
      <c r="C55" s="1" t="s">
        <v>85</v>
      </c>
      <c r="D55" s="1">
        <v>2</v>
      </c>
      <c r="E55" s="1">
        <v>21</v>
      </c>
      <c r="F55" s="1">
        <f>E55/(SUM(E5:E7)/1000)</f>
        <v>2.468555307393911</v>
      </c>
      <c r="G55" s="1">
        <f>2-4*F55</f>
        <v>-7.8742212295756442</v>
      </c>
    </row>
    <row r="56" spans="3:7" x14ac:dyDescent="0.25">
      <c r="C56" s="1" t="s">
        <v>86</v>
      </c>
      <c r="D56" s="1">
        <v>1</v>
      </c>
      <c r="E56" s="1"/>
      <c r="F56" s="1"/>
      <c r="G56" s="1">
        <f>D56*F56</f>
        <v>0</v>
      </c>
    </row>
    <row r="57" spans="3:7" x14ac:dyDescent="0.25">
      <c r="C57" s="1" t="s">
        <v>87</v>
      </c>
      <c r="D57" s="1">
        <v>0</v>
      </c>
      <c r="E57" s="1"/>
      <c r="F57" s="1"/>
      <c r="G57" s="1">
        <v>0</v>
      </c>
    </row>
    <row r="58" spans="3:7" x14ac:dyDescent="0.25">
      <c r="F58" s="7" t="s">
        <v>38</v>
      </c>
      <c r="G58" s="7">
        <v>0</v>
      </c>
    </row>
    <row r="61" spans="3:7" x14ac:dyDescent="0.25">
      <c r="C61" s="1" t="s">
        <v>88</v>
      </c>
      <c r="D61" s="1" t="s">
        <v>52</v>
      </c>
      <c r="E61" s="1" t="s">
        <v>44</v>
      </c>
      <c r="F61" s="1" t="s">
        <v>73</v>
      </c>
      <c r="G61" s="1" t="s">
        <v>31</v>
      </c>
    </row>
    <row r="62" spans="3:7" x14ac:dyDescent="0.25">
      <c r="C62" s="1" t="s">
        <v>85</v>
      </c>
      <c r="D62" s="1">
        <v>3</v>
      </c>
      <c r="E62" s="1"/>
      <c r="F62" s="6" t="e">
        <f>E62/(E11/1000)</f>
        <v>#DIV/0!</v>
      </c>
      <c r="G62" s="1" t="e">
        <f>3-(3*F62)</f>
        <v>#DIV/0!</v>
      </c>
    </row>
    <row r="63" spans="3:7" x14ac:dyDescent="0.25">
      <c r="C63" s="1" t="s">
        <v>89</v>
      </c>
      <c r="D63" s="1">
        <v>2</v>
      </c>
      <c r="E63" s="1"/>
      <c r="F63" s="6"/>
      <c r="G63" s="1">
        <f>D63*F63</f>
        <v>0</v>
      </c>
    </row>
    <row r="64" spans="3:7" x14ac:dyDescent="0.25">
      <c r="C64" s="1" t="s">
        <v>90</v>
      </c>
      <c r="D64" s="1">
        <v>1</v>
      </c>
      <c r="E64" s="1"/>
      <c r="F64" s="6"/>
      <c r="G64" s="1">
        <f>D64*F64</f>
        <v>0</v>
      </c>
    </row>
    <row r="65" spans="3:7" x14ac:dyDescent="0.25">
      <c r="C65" s="1" t="s">
        <v>49</v>
      </c>
      <c r="D65" s="1">
        <v>0</v>
      </c>
      <c r="E65" s="1"/>
      <c r="F65" s="6"/>
      <c r="G65" s="1">
        <f>D65*F65</f>
        <v>0</v>
      </c>
    </row>
    <row r="66" spans="3:7" x14ac:dyDescent="0.25">
      <c r="F66" s="7" t="s">
        <v>38</v>
      </c>
      <c r="G66" s="10">
        <v>0</v>
      </c>
    </row>
    <row r="68" spans="3:7" x14ac:dyDescent="0.25">
      <c r="C68" s="1" t="s">
        <v>91</v>
      </c>
      <c r="D68" s="1" t="s">
        <v>52</v>
      </c>
      <c r="E68" s="1" t="s">
        <v>44</v>
      </c>
      <c r="F68" s="1" t="s">
        <v>73</v>
      </c>
      <c r="G68" s="1" t="s">
        <v>31</v>
      </c>
    </row>
    <row r="69" spans="3:7" x14ac:dyDescent="0.25">
      <c r="C69" s="1" t="s">
        <v>85</v>
      </c>
      <c r="D69" s="1">
        <v>3</v>
      </c>
      <c r="E69" s="1"/>
      <c r="F69" s="6" t="e">
        <f>E69/(E11/1000)</f>
        <v>#DIV/0!</v>
      </c>
      <c r="G69" s="1" t="e">
        <f>3-(6*F69)</f>
        <v>#DIV/0!</v>
      </c>
    </row>
    <row r="70" spans="3:7" x14ac:dyDescent="0.25">
      <c r="C70" s="1" t="s">
        <v>92</v>
      </c>
      <c r="D70" s="1">
        <v>2</v>
      </c>
      <c r="E70" s="1"/>
      <c r="F70" s="6"/>
      <c r="G70" s="1"/>
    </row>
    <row r="71" spans="3:7" x14ac:dyDescent="0.25">
      <c r="C71" s="1" t="s">
        <v>93</v>
      </c>
      <c r="D71" s="1">
        <v>1</v>
      </c>
      <c r="E71" s="1"/>
      <c r="F71" s="6"/>
      <c r="G71" s="1"/>
    </row>
    <row r="72" spans="3:7" x14ac:dyDescent="0.25">
      <c r="C72" s="1" t="s">
        <v>94</v>
      </c>
      <c r="D72" s="1">
        <v>0</v>
      </c>
      <c r="E72" s="1"/>
      <c r="F72" s="6"/>
      <c r="G72" s="1"/>
    </row>
    <row r="73" spans="3:7" x14ac:dyDescent="0.25">
      <c r="F73" s="7" t="s">
        <v>38</v>
      </c>
      <c r="G73" s="10">
        <v>0</v>
      </c>
    </row>
    <row r="76" spans="3:7" x14ac:dyDescent="0.25">
      <c r="C76" s="3" t="s">
        <v>95</v>
      </c>
      <c r="D76" s="1" t="s">
        <v>31</v>
      </c>
      <c r="E76" s="1" t="s">
        <v>44</v>
      </c>
      <c r="F76" s="1" t="s">
        <v>32</v>
      </c>
      <c r="G76" s="1" t="s">
        <v>31</v>
      </c>
    </row>
    <row r="77" spans="3:7" x14ac:dyDescent="0.25">
      <c r="C77" s="1" t="s">
        <v>96</v>
      </c>
      <c r="D77" s="1">
        <v>7</v>
      </c>
      <c r="E77" s="1"/>
      <c r="F77" s="1">
        <v>0.2</v>
      </c>
      <c r="G77" s="1">
        <f>D77*F77</f>
        <v>1.4000000000000001</v>
      </c>
    </row>
    <row r="78" spans="3:7" ht="30" x14ac:dyDescent="0.25">
      <c r="C78" s="2" t="s">
        <v>97</v>
      </c>
      <c r="D78" s="1">
        <v>0</v>
      </c>
      <c r="E78" s="1"/>
      <c r="F78" s="1"/>
      <c r="G78" s="1"/>
    </row>
    <row r="79" spans="3:7" x14ac:dyDescent="0.25">
      <c r="F79" s="1" t="s">
        <v>38</v>
      </c>
      <c r="G79" s="1">
        <f>SUM(G77:G78)</f>
        <v>1.4000000000000001</v>
      </c>
    </row>
    <row r="82" spans="3:10" x14ac:dyDescent="0.25">
      <c r="C82" s="1" t="s">
        <v>98</v>
      </c>
      <c r="D82" s="1" t="s">
        <v>52</v>
      </c>
      <c r="E82" s="1" t="s">
        <v>44</v>
      </c>
      <c r="F82" s="1" t="s">
        <v>73</v>
      </c>
      <c r="G82" s="1" t="s">
        <v>31</v>
      </c>
    </row>
    <row r="83" spans="3:10" x14ac:dyDescent="0.25">
      <c r="C83" s="1" t="s">
        <v>99</v>
      </c>
      <c r="D83" s="1">
        <v>3</v>
      </c>
      <c r="E83" s="1">
        <v>4</v>
      </c>
      <c r="F83" s="6">
        <f>E83/(SUM(E5:E7)/1000)</f>
        <v>0.47020101093217354</v>
      </c>
      <c r="G83" s="1">
        <f>3-1.5*F83</f>
        <v>2.2946984836017394</v>
      </c>
    </row>
    <row r="84" spans="3:10" x14ac:dyDescent="0.25">
      <c r="C84" s="1" t="s">
        <v>100</v>
      </c>
      <c r="D84" s="1">
        <v>2</v>
      </c>
      <c r="E84" s="1"/>
      <c r="F84" s="6"/>
      <c r="G84" s="1"/>
    </row>
    <row r="85" spans="3:10" x14ac:dyDescent="0.25">
      <c r="C85" s="1" t="s">
        <v>101</v>
      </c>
      <c r="D85" s="1">
        <v>1</v>
      </c>
      <c r="E85" s="1"/>
      <c r="F85" s="6"/>
      <c r="G85" s="1"/>
    </row>
    <row r="86" spans="3:10" x14ac:dyDescent="0.25">
      <c r="C86" s="1" t="s">
        <v>102</v>
      </c>
      <c r="D86" s="1">
        <v>0</v>
      </c>
      <c r="E86" s="1"/>
      <c r="F86" s="6"/>
      <c r="G86" s="1"/>
    </row>
    <row r="87" spans="3:10" x14ac:dyDescent="0.25">
      <c r="F87" s="7" t="s">
        <v>38</v>
      </c>
      <c r="G87" s="10">
        <f>G83</f>
        <v>2.2946984836017394</v>
      </c>
    </row>
    <row r="89" spans="3:10" x14ac:dyDescent="0.25">
      <c r="J89" t="s">
        <v>103</v>
      </c>
    </row>
    <row r="91" spans="3:10" x14ac:dyDescent="0.25">
      <c r="J91" t="s">
        <v>104</v>
      </c>
    </row>
    <row r="92" spans="3:10" x14ac:dyDescent="0.25">
      <c r="J92" t="s">
        <v>105</v>
      </c>
    </row>
    <row r="93" spans="3:10" x14ac:dyDescent="0.25">
      <c r="J93" t="s">
        <v>106</v>
      </c>
    </row>
    <row r="94" spans="3:10" x14ac:dyDescent="0.25">
      <c r="J94" t="s">
        <v>80</v>
      </c>
    </row>
    <row r="96" spans="3:10" x14ac:dyDescent="0.25">
      <c r="C96" s="1" t="s">
        <v>107</v>
      </c>
      <c r="D96" s="1" t="s">
        <v>52</v>
      </c>
      <c r="E96" s="1" t="s">
        <v>44</v>
      </c>
      <c r="F96" s="1" t="s">
        <v>73</v>
      </c>
      <c r="G96" s="1" t="s">
        <v>31</v>
      </c>
    </row>
    <row r="97" spans="3:8" ht="90" x14ac:dyDescent="0.25">
      <c r="C97" s="2" t="s">
        <v>108</v>
      </c>
      <c r="D97" s="1">
        <v>10</v>
      </c>
      <c r="E97" s="1">
        <v>0</v>
      </c>
      <c r="F97" s="6">
        <f>E97/SUM(E97:E100)</f>
        <v>0</v>
      </c>
      <c r="G97" s="1">
        <f>D97*F97</f>
        <v>0</v>
      </c>
      <c r="H97" t="s">
        <v>132</v>
      </c>
    </row>
    <row r="98" spans="3:8" ht="60" x14ac:dyDescent="0.25">
      <c r="C98" s="2" t="s">
        <v>109</v>
      </c>
      <c r="D98" s="1">
        <v>8</v>
      </c>
      <c r="E98" s="1">
        <v>0</v>
      </c>
      <c r="F98" s="6">
        <f>E98/SUM(E97:E100)</f>
        <v>0</v>
      </c>
      <c r="G98" s="1">
        <f>D98*F98</f>
        <v>0</v>
      </c>
      <c r="H98" t="s">
        <v>130</v>
      </c>
    </row>
    <row r="99" spans="3:8" x14ac:dyDescent="0.25">
      <c r="C99" s="1" t="s">
        <v>110</v>
      </c>
      <c r="D99" s="1">
        <v>5</v>
      </c>
      <c r="E99" s="1">
        <v>37</v>
      </c>
      <c r="F99" s="6">
        <f>E99/SUM(E97:E100)</f>
        <v>0.92500000000000004</v>
      </c>
      <c r="G99" s="1">
        <f>D99*F99</f>
        <v>4.625</v>
      </c>
      <c r="H99" t="s">
        <v>131</v>
      </c>
    </row>
    <row r="100" spans="3:8" ht="45" x14ac:dyDescent="0.25">
      <c r="C100" s="2" t="s">
        <v>111</v>
      </c>
      <c r="D100" s="1">
        <v>0</v>
      </c>
      <c r="E100" s="1">
        <v>3</v>
      </c>
      <c r="F100" s="6">
        <f>E100/SUM(E97:E100)</f>
        <v>7.4999999999999997E-2</v>
      </c>
      <c r="G100" s="1">
        <f>D100*F100</f>
        <v>0</v>
      </c>
    </row>
    <row r="101" spans="3:8" x14ac:dyDescent="0.25">
      <c r="F101" s="7" t="s">
        <v>38</v>
      </c>
      <c r="G101" s="10">
        <f>SUM(G97:G100)</f>
        <v>4.625</v>
      </c>
    </row>
    <row r="104" spans="3:8" x14ac:dyDescent="0.25">
      <c r="C104" s="1" t="s">
        <v>112</v>
      </c>
      <c r="D104" s="1" t="s">
        <v>52</v>
      </c>
      <c r="E104" s="1" t="s">
        <v>44</v>
      </c>
      <c r="F104" s="1" t="s">
        <v>73</v>
      </c>
      <c r="G104" s="1" t="s">
        <v>31</v>
      </c>
    </row>
    <row r="105" spans="3:8" ht="60" x14ac:dyDescent="0.25">
      <c r="C105" s="2" t="s">
        <v>113</v>
      </c>
      <c r="D105" s="1">
        <v>3</v>
      </c>
      <c r="E105" s="6">
        <v>4</v>
      </c>
      <c r="F105" s="6">
        <f>E105/SUM(E105:E108)</f>
        <v>0.10256410256410256</v>
      </c>
      <c r="G105" s="1">
        <f>D105*F105</f>
        <v>0.30769230769230771</v>
      </c>
    </row>
    <row r="106" spans="3:8" ht="45" x14ac:dyDescent="0.25">
      <c r="C106" s="2" t="s">
        <v>114</v>
      </c>
      <c r="D106" s="1">
        <v>2</v>
      </c>
      <c r="E106" s="6">
        <v>10</v>
      </c>
      <c r="F106" s="6">
        <f>E106/SUM(E105:E108)</f>
        <v>0.25641025641025639</v>
      </c>
      <c r="G106" s="1">
        <f t="shared" ref="G106:G108" si="3">D106*F106</f>
        <v>0.51282051282051277</v>
      </c>
    </row>
    <row r="107" spans="3:8" ht="45" x14ac:dyDescent="0.25">
      <c r="C107" s="2" t="s">
        <v>115</v>
      </c>
      <c r="D107" s="1">
        <v>1</v>
      </c>
      <c r="E107" s="6">
        <v>16</v>
      </c>
      <c r="F107" s="6">
        <f>E107/SUM(E105:E108)</f>
        <v>0.41025641025641024</v>
      </c>
      <c r="G107" s="1">
        <f t="shared" si="3"/>
        <v>0.41025641025641024</v>
      </c>
    </row>
    <row r="108" spans="3:8" x14ac:dyDescent="0.25">
      <c r="C108" s="1" t="s">
        <v>116</v>
      </c>
      <c r="D108" s="1">
        <v>0</v>
      </c>
      <c r="E108" s="6">
        <v>9</v>
      </c>
      <c r="F108" s="6">
        <f>E108/SUM(E105:E108)</f>
        <v>0.23076923076923078</v>
      </c>
      <c r="G108" s="1">
        <f t="shared" si="3"/>
        <v>0</v>
      </c>
    </row>
    <row r="109" spans="3:8" x14ac:dyDescent="0.25">
      <c r="E109" s="7" t="s">
        <v>38</v>
      </c>
      <c r="F109" s="1">
        <f>SUM(F105:F108)</f>
        <v>1</v>
      </c>
      <c r="G109" s="10">
        <f>SUM(G105:G108)</f>
        <v>1.2307692307692308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6450-5474-48B5-AC59-8D973462AF0B}">
  <dimension ref="C4:G20"/>
  <sheetViews>
    <sheetView tabSelected="1" workbookViewId="0">
      <selection activeCell="P10" sqref="P10"/>
    </sheetView>
  </sheetViews>
  <sheetFormatPr defaultRowHeight="15" x14ac:dyDescent="0.25"/>
  <cols>
    <col min="3" max="3" width="51.7109375" customWidth="1"/>
    <col min="5" max="5" width="11.42578125" customWidth="1"/>
  </cols>
  <sheetData>
    <row r="4" spans="3:7" x14ac:dyDescent="0.25">
      <c r="C4" s="1" t="s">
        <v>65</v>
      </c>
      <c r="D4" s="1" t="s">
        <v>52</v>
      </c>
      <c r="E4" s="1" t="s">
        <v>32</v>
      </c>
      <c r="F4" s="1" t="s">
        <v>31</v>
      </c>
    </row>
    <row r="5" spans="3:7" ht="30" x14ac:dyDescent="0.25">
      <c r="C5" s="2" t="s">
        <v>63</v>
      </c>
      <c r="D5" s="1">
        <v>2</v>
      </c>
      <c r="E5" s="1">
        <v>1</v>
      </c>
      <c r="F5" s="1">
        <v>2</v>
      </c>
      <c r="G5" t="s">
        <v>200</v>
      </c>
    </row>
    <row r="6" spans="3:7" ht="60" x14ac:dyDescent="0.25">
      <c r="C6" s="2" t="s">
        <v>64</v>
      </c>
      <c r="D6" s="1">
        <v>2</v>
      </c>
      <c r="E6" s="1">
        <v>1</v>
      </c>
      <c r="F6" s="1">
        <v>0</v>
      </c>
      <c r="G6" t="s">
        <v>201</v>
      </c>
    </row>
    <row r="7" spans="3:7" x14ac:dyDescent="0.25">
      <c r="E7" s="1" t="s">
        <v>38</v>
      </c>
      <c r="F7" s="1">
        <f>SUM(F5:F6)</f>
        <v>2</v>
      </c>
    </row>
    <row r="9" spans="3:7" x14ac:dyDescent="0.25">
      <c r="C9" s="1" t="s">
        <v>10</v>
      </c>
      <c r="D9" s="1" t="s">
        <v>52</v>
      </c>
      <c r="E9" s="1" t="s">
        <v>44</v>
      </c>
      <c r="F9" s="1" t="s">
        <v>32</v>
      </c>
      <c r="G9" s="1" t="s">
        <v>31</v>
      </c>
    </row>
    <row r="10" spans="3:7" ht="30" x14ac:dyDescent="0.25">
      <c r="C10" s="2" t="s">
        <v>66</v>
      </c>
      <c r="D10" s="1">
        <v>2</v>
      </c>
      <c r="E10" s="1">
        <v>30</v>
      </c>
      <c r="F10" s="1">
        <f>E10/39</f>
        <v>0.76923076923076927</v>
      </c>
      <c r="G10" s="1">
        <f>D10*F10</f>
        <v>1.5384615384615385</v>
      </c>
    </row>
    <row r="11" spans="3:7" ht="30" x14ac:dyDescent="0.25">
      <c r="C11" s="2" t="s">
        <v>67</v>
      </c>
      <c r="D11" s="1">
        <v>2</v>
      </c>
      <c r="E11" s="1"/>
      <c r="F11" s="1" t="s">
        <v>68</v>
      </c>
      <c r="G11" s="1">
        <v>2</v>
      </c>
    </row>
    <row r="12" spans="3:7" x14ac:dyDescent="0.25">
      <c r="F12" s="1" t="s">
        <v>38</v>
      </c>
      <c r="G12" s="1">
        <f>SUM(G10:G11)</f>
        <v>3.5384615384615383</v>
      </c>
    </row>
    <row r="14" spans="3:7" x14ac:dyDescent="0.25">
      <c r="C14" s="1" t="s">
        <v>69</v>
      </c>
      <c r="D14" s="1" t="s">
        <v>52</v>
      </c>
      <c r="E14" s="1" t="s">
        <v>32</v>
      </c>
      <c r="F14" s="1" t="s">
        <v>31</v>
      </c>
    </row>
    <row r="15" spans="3:7" x14ac:dyDescent="0.25">
      <c r="C15" s="1" t="s">
        <v>70</v>
      </c>
      <c r="D15" s="1">
        <v>9</v>
      </c>
      <c r="E15" s="1" t="s">
        <v>68</v>
      </c>
      <c r="F15" s="1">
        <v>9</v>
      </c>
    </row>
    <row r="16" spans="3:7" x14ac:dyDescent="0.25">
      <c r="C16" s="1" t="s">
        <v>71</v>
      </c>
      <c r="D16" s="1">
        <v>1</v>
      </c>
      <c r="E16" s="1" t="s">
        <v>68</v>
      </c>
      <c r="F16" s="1">
        <v>0</v>
      </c>
    </row>
    <row r="17" spans="3:6" x14ac:dyDescent="0.25">
      <c r="E17" s="1" t="s">
        <v>38</v>
      </c>
      <c r="F17" s="1">
        <f>SUM(F15:F16)</f>
        <v>9</v>
      </c>
    </row>
    <row r="19" spans="3:6" x14ac:dyDescent="0.25">
      <c r="C19" s="3" t="s">
        <v>12</v>
      </c>
      <c r="D19" s="1" t="s">
        <v>52</v>
      </c>
      <c r="E19" s="1" t="s">
        <v>32</v>
      </c>
      <c r="F19" s="1" t="s">
        <v>31</v>
      </c>
    </row>
    <row r="20" spans="3:6" ht="30" x14ac:dyDescent="0.25">
      <c r="C20" s="2" t="s">
        <v>72</v>
      </c>
      <c r="D20" s="1">
        <v>2</v>
      </c>
      <c r="E20" s="1">
        <v>1</v>
      </c>
      <c r="F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04AF-4065-408B-9E87-D12417F6B070}">
  <dimension ref="C4:H29"/>
  <sheetViews>
    <sheetView workbookViewId="0">
      <selection activeCell="I27" sqref="I27"/>
    </sheetView>
  </sheetViews>
  <sheetFormatPr defaultRowHeight="15" x14ac:dyDescent="0.25"/>
  <cols>
    <col min="3" max="3" width="58" customWidth="1"/>
  </cols>
  <sheetData>
    <row r="4" spans="3:8" x14ac:dyDescent="0.25">
      <c r="C4" s="1" t="s">
        <v>149</v>
      </c>
      <c r="D4" s="1" t="s">
        <v>52</v>
      </c>
      <c r="E4" s="1" t="s">
        <v>32</v>
      </c>
      <c r="F4" s="1" t="s">
        <v>31</v>
      </c>
      <c r="H4" t="s">
        <v>161</v>
      </c>
    </row>
    <row r="5" spans="3:8" x14ac:dyDescent="0.25">
      <c r="C5" s="1" t="s">
        <v>117</v>
      </c>
      <c r="D5" s="1">
        <v>4</v>
      </c>
      <c r="E5" s="1">
        <v>0</v>
      </c>
      <c r="F5" s="1">
        <v>4</v>
      </c>
    </row>
    <row r="6" spans="3:8" x14ac:dyDescent="0.25">
      <c r="C6" s="1" t="s">
        <v>118</v>
      </c>
      <c r="D6" s="1">
        <v>3</v>
      </c>
      <c r="E6" s="1">
        <v>0</v>
      </c>
      <c r="F6" s="1">
        <f>D6*E6</f>
        <v>0</v>
      </c>
    </row>
    <row r="7" spans="3:8" x14ac:dyDescent="0.25">
      <c r="C7" s="1" t="s">
        <v>119</v>
      </c>
      <c r="D7" s="1">
        <v>0</v>
      </c>
      <c r="E7" s="1">
        <v>0</v>
      </c>
      <c r="F7" s="1">
        <v>0</v>
      </c>
    </row>
    <row r="8" spans="3:8" x14ac:dyDescent="0.25">
      <c r="E8" s="7" t="s">
        <v>38</v>
      </c>
      <c r="F8" s="7">
        <f>SUM(F5:F7)</f>
        <v>4</v>
      </c>
    </row>
    <row r="11" spans="3:8" x14ac:dyDescent="0.25">
      <c r="C11" s="1" t="s">
        <v>150</v>
      </c>
      <c r="D11" s="1" t="s">
        <v>52</v>
      </c>
      <c r="E11" s="1" t="s">
        <v>32</v>
      </c>
      <c r="F11" s="1" t="s">
        <v>31</v>
      </c>
    </row>
    <row r="12" spans="3:8" x14ac:dyDescent="0.25">
      <c r="C12" s="1" t="s">
        <v>120</v>
      </c>
      <c r="D12" s="1">
        <v>4</v>
      </c>
      <c r="E12" s="1">
        <v>0</v>
      </c>
      <c r="F12" s="1"/>
      <c r="H12" t="s">
        <v>162</v>
      </c>
    </row>
    <row r="13" spans="3:8" x14ac:dyDescent="0.25">
      <c r="C13" s="1" t="s">
        <v>121</v>
      </c>
      <c r="D13" s="1">
        <v>3</v>
      </c>
      <c r="E13" s="1">
        <v>0</v>
      </c>
      <c r="F13" s="1">
        <v>3</v>
      </c>
    </row>
    <row r="14" spans="3:8" x14ac:dyDescent="0.25">
      <c r="C14" s="1" t="s">
        <v>122</v>
      </c>
      <c r="D14" s="1">
        <v>0</v>
      </c>
      <c r="E14" s="1">
        <v>0</v>
      </c>
      <c r="F14" s="1">
        <v>0</v>
      </c>
    </row>
    <row r="15" spans="3:8" x14ac:dyDescent="0.25">
      <c r="E15" s="7" t="s">
        <v>38</v>
      </c>
      <c r="F15" s="7">
        <f>SUM(F12:F14)</f>
        <v>3</v>
      </c>
    </row>
    <row r="18" spans="3:6" x14ac:dyDescent="0.25">
      <c r="C18" s="1" t="s">
        <v>123</v>
      </c>
      <c r="D18" s="1" t="s">
        <v>52</v>
      </c>
      <c r="E18" s="1" t="s">
        <v>32</v>
      </c>
      <c r="F18" s="1" t="s">
        <v>31</v>
      </c>
    </row>
    <row r="19" spans="3:6" x14ac:dyDescent="0.25">
      <c r="C19" s="1" t="s">
        <v>124</v>
      </c>
      <c r="D19" s="1">
        <v>3</v>
      </c>
      <c r="E19" s="1">
        <v>0</v>
      </c>
      <c r="F19" s="1">
        <v>3</v>
      </c>
    </row>
    <row r="20" spans="3:6" x14ac:dyDescent="0.25">
      <c r="C20" s="1" t="s">
        <v>125</v>
      </c>
      <c r="D20" s="1">
        <v>2</v>
      </c>
      <c r="E20" s="1">
        <v>0</v>
      </c>
      <c r="F20" s="1">
        <v>0</v>
      </c>
    </row>
    <row r="21" spans="3:6" x14ac:dyDescent="0.25">
      <c r="C21" s="1" t="s">
        <v>126</v>
      </c>
      <c r="D21" s="1">
        <v>0</v>
      </c>
      <c r="E21" s="1">
        <v>0</v>
      </c>
      <c r="F21" s="1">
        <v>0</v>
      </c>
    </row>
    <row r="22" spans="3:6" x14ac:dyDescent="0.25">
      <c r="E22" s="7" t="s">
        <v>38</v>
      </c>
      <c r="F22" s="7">
        <f>SUM(F19:F21)</f>
        <v>3</v>
      </c>
    </row>
    <row r="25" spans="3:6" x14ac:dyDescent="0.25">
      <c r="C25" s="1" t="s">
        <v>127</v>
      </c>
      <c r="D25" s="1" t="s">
        <v>52</v>
      </c>
      <c r="E25" s="1" t="s">
        <v>32</v>
      </c>
      <c r="F25" s="1" t="s">
        <v>31</v>
      </c>
    </row>
    <row r="26" spans="3:6" x14ac:dyDescent="0.25">
      <c r="C26" s="1" t="s">
        <v>125</v>
      </c>
      <c r="D26" s="1">
        <v>3</v>
      </c>
      <c r="E26" s="1">
        <v>0</v>
      </c>
      <c r="F26" s="1">
        <v>3</v>
      </c>
    </row>
    <row r="27" spans="3:6" x14ac:dyDescent="0.25">
      <c r="C27" s="1" t="s">
        <v>128</v>
      </c>
      <c r="D27" s="1">
        <v>2</v>
      </c>
      <c r="E27" s="1">
        <v>0</v>
      </c>
      <c r="F27" s="1"/>
    </row>
    <row r="28" spans="3:6" x14ac:dyDescent="0.25">
      <c r="C28" s="1" t="s">
        <v>129</v>
      </c>
      <c r="D28" s="1">
        <v>0</v>
      </c>
      <c r="E28" s="1">
        <v>0</v>
      </c>
      <c r="F28" s="1">
        <v>0</v>
      </c>
    </row>
    <row r="29" spans="3:6" x14ac:dyDescent="0.25">
      <c r="E29" s="7" t="s">
        <v>38</v>
      </c>
      <c r="F29" s="7">
        <f>SUM(F26:F28)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Sammanfattning</vt:lpstr>
      <vt:lpstr>Stadens utformning</vt:lpstr>
      <vt:lpstr>Kollektivtrafikens infrastruktu</vt:lpstr>
      <vt:lpstr>Fordon och Stödsystem</vt:lpstr>
      <vt:lpstr>Trafikering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 Ramberg</dc:creator>
  <cp:lastModifiedBy>Edvin Ramberg</cp:lastModifiedBy>
  <dcterms:created xsi:type="dcterms:W3CDTF">2015-06-05T18:19:34Z</dcterms:created>
  <dcterms:modified xsi:type="dcterms:W3CDTF">2024-05-29T08:32:40Z</dcterms:modified>
</cp:coreProperties>
</file>