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505" documentId="11_AD4D7A0C205A6B9A452FA844A794D2E6693EDF1F" xr6:coauthVersionLast="47" xr6:coauthVersionMax="47" xr10:uidLastSave="{0C461217-41FD-4192-A4D5-26A3B19584DE}"/>
  <bookViews>
    <workbookView xWindow="-120" yWindow="-120" windowWidth="29040" windowHeight="15720" activeTab="1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E68" i="1" s="1"/>
  <c r="D68" i="1"/>
  <c r="F67" i="1"/>
  <c r="D67" i="1"/>
  <c r="E67" i="1" s="1"/>
  <c r="F66" i="1"/>
  <c r="E66" i="1"/>
  <c r="D66" i="1"/>
  <c r="F65" i="1"/>
  <c r="D65" i="1"/>
  <c r="E65" i="1" s="1"/>
  <c r="F64" i="1"/>
  <c r="D64" i="1"/>
  <c r="E64" i="1" s="1"/>
  <c r="F63" i="1"/>
  <c r="E63" i="1" s="1"/>
  <c r="D63" i="1"/>
  <c r="F62" i="1"/>
  <c r="D62" i="1"/>
  <c r="E62" i="1" s="1"/>
  <c r="F61" i="1"/>
  <c r="D61" i="1"/>
  <c r="E61" i="1" s="1"/>
  <c r="F60" i="1"/>
  <c r="E60" i="1" s="1"/>
  <c r="D60" i="1"/>
  <c r="F59" i="1"/>
  <c r="D59" i="1"/>
  <c r="E59" i="1" s="1"/>
  <c r="F58" i="1"/>
  <c r="E58" i="1"/>
  <c r="D58" i="1"/>
  <c r="F57" i="1"/>
  <c r="D57" i="1"/>
  <c r="E57" i="1" s="1"/>
  <c r="F56" i="1"/>
  <c r="D56" i="1"/>
  <c r="E56" i="1" s="1"/>
  <c r="F55" i="1"/>
  <c r="E55" i="1" s="1"/>
  <c r="D55" i="1"/>
  <c r="F54" i="1"/>
  <c r="D54" i="1"/>
  <c r="E54" i="1" s="1"/>
  <c r="F53" i="1"/>
  <c r="D53" i="1"/>
  <c r="E53" i="1" s="1"/>
  <c r="F52" i="1"/>
  <c r="E52" i="1" s="1"/>
  <c r="D52" i="1"/>
  <c r="F51" i="1"/>
  <c r="D51" i="1"/>
  <c r="E51" i="1" s="1"/>
  <c r="F50" i="1"/>
  <c r="E50" i="1"/>
  <c r="D50" i="1"/>
  <c r="F49" i="1"/>
  <c r="D49" i="1"/>
  <c r="E49" i="1" s="1"/>
  <c r="F48" i="1"/>
  <c r="D48" i="1"/>
  <c r="E48" i="1" s="1"/>
  <c r="F47" i="1"/>
  <c r="E47" i="1" s="1"/>
  <c r="D47" i="1"/>
  <c r="F46" i="1"/>
  <c r="D46" i="1"/>
  <c r="E46" i="1" s="1"/>
  <c r="F45" i="1"/>
  <c r="D45" i="1"/>
  <c r="E45" i="1" s="1"/>
  <c r="F44" i="1"/>
  <c r="E44" i="1" s="1"/>
  <c r="D44" i="1"/>
  <c r="X7" i="4"/>
  <c r="X16" i="4"/>
  <c r="W16" i="4"/>
  <c r="W15" i="4"/>
  <c r="W14" i="4"/>
  <c r="W7" i="4"/>
  <c r="W6" i="4"/>
  <c r="W5" i="4"/>
  <c r="F39" i="1" l="1"/>
  <c r="F32" i="1"/>
  <c r="F25" i="1"/>
  <c r="F12" i="1"/>
  <c r="F12" i="5"/>
  <c r="E12" i="5"/>
  <c r="F5" i="5"/>
  <c r="E5" i="5"/>
  <c r="P24" i="5"/>
  <c r="M15" i="5"/>
  <c r="P22" i="5"/>
  <c r="E55" i="4"/>
  <c r="S16" i="4"/>
  <c r="M17" i="4"/>
  <c r="S17" i="4"/>
  <c r="M16" i="4"/>
  <c r="S15" i="4"/>
  <c r="M15" i="4"/>
  <c r="F67" i="2"/>
  <c r="E67" i="2"/>
  <c r="G52" i="2"/>
  <c r="F48" i="2"/>
  <c r="R45" i="2"/>
  <c r="R44" i="2"/>
  <c r="E48" i="2"/>
  <c r="E22" i="2"/>
  <c r="E21" i="2"/>
  <c r="E20" i="2"/>
  <c r="E19" i="2"/>
  <c r="E25" i="2"/>
  <c r="W30" i="2"/>
  <c r="W29" i="2"/>
  <c r="W28" i="2"/>
  <c r="W20" i="2"/>
  <c r="W21" i="2"/>
  <c r="W22" i="2"/>
  <c r="W23" i="2"/>
  <c r="W24" i="2"/>
  <c r="W25" i="2"/>
  <c r="W26" i="2"/>
  <c r="W27" i="2"/>
  <c r="W19" i="2"/>
  <c r="W18" i="2"/>
  <c r="S23" i="2"/>
  <c r="S24" i="2"/>
  <c r="S25" i="2"/>
  <c r="S26" i="2"/>
  <c r="S27" i="2"/>
  <c r="S28" i="2"/>
  <c r="S29" i="2"/>
  <c r="S30" i="2"/>
  <c r="S22" i="2"/>
  <c r="S21" i="2"/>
  <c r="S20" i="2"/>
  <c r="S19" i="2"/>
  <c r="S18" i="2"/>
  <c r="V16" i="2"/>
  <c r="X14" i="2"/>
  <c r="S14" i="2"/>
  <c r="X12" i="2"/>
  <c r="X13" i="2" s="1"/>
  <c r="S12" i="2"/>
  <c r="S13" i="2" s="1"/>
  <c r="X15" i="2" l="1"/>
  <c r="S15" i="2"/>
  <c r="S9" i="4"/>
  <c r="S10" i="4"/>
  <c r="S11" i="4"/>
  <c r="S7" i="4"/>
  <c r="S8" i="4"/>
  <c r="M9" i="4"/>
  <c r="M10" i="4"/>
  <c r="M11" i="4"/>
  <c r="M7" i="4"/>
  <c r="M8" i="4"/>
  <c r="M5" i="4"/>
  <c r="M6" i="4"/>
  <c r="E8" i="4"/>
  <c r="G48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K33" i="2"/>
  <c r="K34" i="2"/>
  <c r="K35" i="2"/>
  <c r="K36" i="2"/>
  <c r="K37" i="2"/>
  <c r="K38" i="2"/>
  <c r="K39" i="2"/>
  <c r="K40" i="2"/>
  <c r="K41" i="2"/>
  <c r="K42" i="2"/>
  <c r="K43" i="2"/>
  <c r="K44" i="2"/>
  <c r="J12" i="2"/>
  <c r="G79" i="4"/>
  <c r="D21" i="1" s="1"/>
  <c r="E7" i="4"/>
  <c r="E6" i="4"/>
  <c r="S6" i="4"/>
  <c r="S5" i="4"/>
  <c r="E5" i="4"/>
  <c r="K32" i="2"/>
  <c r="O21" i="2"/>
  <c r="O20" i="2"/>
  <c r="O19" i="2"/>
  <c r="E7" i="2"/>
  <c r="D5" i="1" s="1"/>
  <c r="E39" i="1"/>
  <c r="E32" i="1"/>
  <c r="E25" i="1"/>
  <c r="E12" i="1"/>
  <c r="D17" i="1"/>
  <c r="F43" i="4"/>
  <c r="G43" i="4" s="1"/>
  <c r="E11" i="4"/>
  <c r="F55" i="4" l="1"/>
  <c r="G55" i="4" s="1"/>
  <c r="D18" i="1" s="1"/>
  <c r="F5" i="4"/>
  <c r="G5" i="4" s="1"/>
  <c r="F7" i="4"/>
  <c r="G7" i="4" s="1"/>
  <c r="F8" i="4"/>
  <c r="G8" i="4" s="1"/>
  <c r="F6" i="4"/>
  <c r="G6" i="4" s="1"/>
  <c r="F83" i="4"/>
  <c r="G83" i="4" s="1"/>
  <c r="E12" i="4"/>
  <c r="E9" i="4"/>
  <c r="E40" i="1"/>
  <c r="F42" i="4"/>
  <c r="G42" i="4" s="1"/>
  <c r="G106" i="4"/>
  <c r="F108" i="4"/>
  <c r="G108" i="4" s="1"/>
  <c r="F107" i="4"/>
  <c r="G107" i="4" s="1"/>
  <c r="F106" i="4"/>
  <c r="F105" i="4"/>
  <c r="G105" i="4" s="1"/>
  <c r="F100" i="4"/>
  <c r="F99" i="4"/>
  <c r="F98" i="4"/>
  <c r="F97" i="4"/>
  <c r="G67" i="2"/>
  <c r="G66" i="2"/>
  <c r="F56" i="2"/>
  <c r="G56" i="2" s="1"/>
  <c r="F55" i="2"/>
  <c r="G55" i="2" s="1"/>
  <c r="K48" i="2"/>
  <c r="G68" i="2" l="1"/>
  <c r="D11" i="1" s="1"/>
  <c r="F62" i="4"/>
  <c r="G62" i="4" s="1"/>
  <c r="F69" i="4"/>
  <c r="G69" i="4" s="1"/>
  <c r="G73" i="4" s="1"/>
  <c r="D20" i="1" s="1"/>
  <c r="K20" i="2"/>
  <c r="K21" i="2"/>
  <c r="K22" i="2"/>
  <c r="K23" i="2"/>
  <c r="K24" i="2"/>
  <c r="K25" i="2"/>
  <c r="K26" i="2"/>
  <c r="K27" i="2"/>
  <c r="K28" i="2"/>
  <c r="K29" i="2"/>
  <c r="K30" i="2"/>
  <c r="K31" i="2"/>
  <c r="K19" i="2"/>
  <c r="L7" i="2"/>
  <c r="O14" i="2" s="1"/>
  <c r="O12" i="2"/>
  <c r="O13" i="2" s="1"/>
  <c r="J13" i="2"/>
  <c r="G100" i="4"/>
  <c r="F29" i="5"/>
  <c r="D38" i="1" s="1"/>
  <c r="F22" i="5"/>
  <c r="D37" i="1" s="1"/>
  <c r="F15" i="5"/>
  <c r="D36" i="1" s="1"/>
  <c r="F6" i="5"/>
  <c r="F8" i="5"/>
  <c r="D35" i="1" s="1"/>
  <c r="F109" i="4"/>
  <c r="G98" i="4"/>
  <c r="G99" i="4"/>
  <c r="G97" i="4"/>
  <c r="G65" i="4"/>
  <c r="G64" i="4"/>
  <c r="G63" i="4"/>
  <c r="G56" i="4"/>
  <c r="D31" i="1"/>
  <c r="G12" i="3"/>
  <c r="D29" i="1" s="1"/>
  <c r="F17" i="3"/>
  <c r="D30" i="1" s="1"/>
  <c r="F7" i="3"/>
  <c r="D28" i="1" s="1"/>
  <c r="G63" i="2"/>
  <c r="D10" i="1" s="1"/>
  <c r="G57" i="2"/>
  <c r="D9" i="1" s="1"/>
  <c r="D8" i="1"/>
  <c r="F11" i="2"/>
  <c r="F12" i="2"/>
  <c r="F13" i="2"/>
  <c r="O15" i="2" l="1"/>
  <c r="J14" i="2"/>
  <c r="J15" i="2" s="1"/>
  <c r="L16" i="2"/>
  <c r="D39" i="1"/>
  <c r="D32" i="1"/>
  <c r="G101" i="4"/>
  <c r="D23" i="1" s="1"/>
  <c r="G66" i="4"/>
  <c r="D19" i="1" s="1"/>
  <c r="F10" i="2" l="1"/>
  <c r="D6" i="1" s="1"/>
  <c r="M14" i="1"/>
  <c r="M6" i="1"/>
  <c r="M15" i="1"/>
  <c r="M16" i="1"/>
  <c r="M7" i="1"/>
  <c r="M17" i="1"/>
  <c r="G109" i="4"/>
  <c r="D24" i="1" s="1"/>
  <c r="G44" i="4"/>
  <c r="D16" i="1" s="1"/>
  <c r="G87" i="4"/>
  <c r="D22" i="1" s="1"/>
  <c r="E23" i="2" l="1"/>
  <c r="G51" i="4"/>
  <c r="G9" i="4"/>
  <c r="F19" i="2" l="1"/>
  <c r="G19" i="2" s="1"/>
  <c r="F20" i="2"/>
  <c r="G20" i="2" s="1"/>
  <c r="F21" i="2"/>
  <c r="G21" i="2" s="1"/>
  <c r="F22" i="2"/>
  <c r="G22" i="2" s="1"/>
  <c r="D15" i="1"/>
  <c r="G23" i="2" l="1"/>
  <c r="D7" i="1" s="1"/>
  <c r="D40" i="1" s="1"/>
  <c r="D25" i="1"/>
  <c r="D12" i="1" l="1"/>
  <c r="M10" i="1" s="1"/>
  <c r="M11" i="1" s="1"/>
  <c r="M5" i="1"/>
  <c r="M13" i="1"/>
  <c r="M12" i="1"/>
  <c r="M4" i="1" l="1"/>
  <c r="N6" i="1" s="1"/>
  <c r="N7" i="1" l="1"/>
  <c r="N4" i="1"/>
  <c r="N5" i="1"/>
</calcChain>
</file>

<file path=xl/sharedStrings.xml><?xml version="1.0" encoding="utf-8"?>
<sst xmlns="http://schemas.openxmlformats.org/spreadsheetml/2006/main" count="435" uniqueCount="220">
  <si>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</si>
  <si>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</si>
  <si>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</si>
  <si>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</si>
  <si>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</si>
  <si>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</si>
  <si>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</si>
  <si>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</si>
  <si>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</si>
  <si>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</si>
  <si>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</si>
  <si>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</si>
  <si>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</si>
  <si>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</si>
  <si>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</si>
  <si>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</si>
  <si>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</si>
  <si>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</si>
  <si>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</si>
  <si>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</si>
  <si>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</si>
  <si>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</si>
  <si>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</si>
  <si>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</si>
  <si>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</si>
  <si>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</si>
  <si>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</si>
  <si>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</si>
  <si>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</si>
  <si>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</si>
  <si>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</si>
  <si>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</si>
  <si>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</si>
  <si>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</si>
  <si>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</si>
  <si>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</si>
  <si>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</si>
  <si>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</si>
  <si>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</si>
  <si>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</si>
  <si>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</si>
  <si>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</si>
  <si>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</si>
  <si>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</si>
  <si>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</si>
  <si>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</si>
  <si>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</si>
  <si>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</si>
  <si>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</si>
  <si>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</si>
  <si>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</si>
  <si>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</si>
  <si>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</si>
  <si>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</si>
  <si>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</si>
  <si>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</si>
  <si>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</si>
  <si>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</si>
  <si>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</si>
  <si>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</si>
  <si>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</si>
  <si>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</si>
  <si>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</si>
  <si>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</si>
  <si>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</si>
  <si>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</si>
  <si>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</si>
  <si>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</si>
  <si>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</si>
  <si>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</si>
  <si>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</si>
  <si>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</si>
  <si>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</si>
  <si>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</si>
  <si>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</si>
  <si>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</si>
  <si>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</si>
  <si>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</si>
  <si>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</si>
  <si>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</si>
  <si>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</si>
  <si>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</si>
  <si>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</si>
  <si>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</si>
  <si>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</si>
  <si>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</si>
  <si>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</si>
  <si>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</si>
  <si>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</si>
  <si>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</si>
  <si>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</si>
  <si>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</si>
  <si>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</si>
  <si>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</si>
  <si>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</si>
  <si>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</si>
  <si>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</si>
  <si>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</si>
  <si>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</si>
  <si>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</si>
  <si>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</si>
  <si>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</si>
  <si>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</si>
  <si>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</si>
  <si>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</si>
  <si>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</si>
  <si>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</si>
  <si>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</si>
  <si>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</si>
  <si>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</si>
  <si>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</si>
  <si>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</si>
  <si>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</si>
  <si>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</si>
  <si>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</si>
  <si>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</si>
  <si>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</si>
  <si>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</si>
  <si>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</si>
  <si>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</si>
  <si>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</si>
  <si>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</si>
  <si>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</si>
  <si>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</si>
  <si>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</si>
  <si>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</si>
  <si>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</si>
  <si>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</si>
  <si>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</si>
  <si>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</si>
  <si>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</si>
  <si>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</si>
  <si>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</si>
  <si>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</si>
  <si>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</si>
  <si>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</si>
  <si>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</si>
  <si>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</si>
  <si>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</si>
  <si>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</si>
  <si>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</si>
  <si>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</si>
  <si>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</si>
  <si>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</si>
  <si>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</si>
  <si>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</si>
  <si>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</si>
  <si>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</si>
  <si>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</si>
  <si>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</si>
  <si>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</si>
  <si>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Mittförlagd</t>
  </si>
  <si>
    <t>*Gäller endast där det är busskörfält, ej i blandtrafik. Så endast där valig trafik korsar ett busskörfält.</t>
  </si>
  <si>
    <t>BRT-satsningen medför oförändrat eller kortare avstånd för fotgängare som korsar något av korsningens ben.</t>
  </si>
  <si>
    <t>Annan användning</t>
  </si>
  <si>
    <t>Deux fontaines - Gare få</t>
  </si>
  <si>
    <t>Deux fontaines - Gare fa</t>
  </si>
  <si>
    <t>Jules Michelet - Gare få</t>
  </si>
  <si>
    <t>Jules Michelet - Gare fa</t>
  </si>
  <si>
    <t>Deux fontaines</t>
  </si>
  <si>
    <t>P+R Woippy</t>
  </si>
  <si>
    <t>Jules miche,</t>
  </si>
  <si>
    <t>Slutade räkna efter 25</t>
  </si>
  <si>
    <t>Start P+R Woippy</t>
  </si>
  <si>
    <t>x</t>
  </si>
  <si>
    <t>Start Jules Michelet</t>
  </si>
  <si>
    <t>Mettis a och B genererar tillammans en turtäthet mellan vissa sträckor på 6 min. Men själv kör den endast i 12 minuterstrafik.</t>
  </si>
  <si>
    <t>var 25 minut på kvällar.</t>
  </si>
  <si>
    <t>Cite U - Gare få</t>
  </si>
  <si>
    <t>Cite  U - Gare fa</t>
  </si>
  <si>
    <t>Hållplats (A)</t>
  </si>
  <si>
    <t>Hållplats (B)</t>
  </si>
  <si>
    <t>Cite U</t>
  </si>
  <si>
    <t>Saulcy</t>
  </si>
  <si>
    <t>Moyen pont</t>
  </si>
  <si>
    <t>Provence</t>
  </si>
  <si>
    <t>Guyenne</t>
  </si>
  <si>
    <t>Maternite</t>
  </si>
  <si>
    <t>Moyen-pont</t>
  </si>
  <si>
    <t>Start Cite U</t>
  </si>
  <si>
    <t>Start Maternite</t>
  </si>
  <si>
    <t>Vardag 6-18</t>
  </si>
  <si>
    <t xml:space="preserve">Totala avstånd för linje A&amp;B: </t>
  </si>
  <si>
    <t>m</t>
  </si>
  <si>
    <t>min</t>
  </si>
  <si>
    <t>andel grön</t>
  </si>
  <si>
    <t>Namn: Metz Linje A-B</t>
  </si>
  <si>
    <t>Bland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</si>
  <si>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</si>
  <si>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</si>
  <si>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</si>
  <si>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</si>
  <si>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</si>
  <si>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</si>
  <si>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</si>
  <si>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</si>
  <si>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</si>
  <si>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</si>
  <si>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</si>
  <si>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</si>
  <si>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</si>
  <si>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</si>
  <si>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</si>
  <si>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</si>
  <si>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</si>
  <si>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</si>
  <si>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</si>
  <si>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</si>
  <si>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</si>
  <si>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</si>
  <si>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</si>
  <si>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</si>
  <si>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</si>
  <si>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</si>
  <si>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</si>
  <si>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</si>
  <si>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Antas uppfylla båda kraven enligt BRTdata</t>
  </si>
  <si>
    <t>Helt unika fordon, spårvagnsliknande</t>
  </si>
  <si>
    <t>Unik skyltning och utformning, unikt namn</t>
  </si>
  <si>
    <t>Hög plattform, guidning genom annan utrustning (Röd markering i asfalten)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</si>
</sst>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1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58219993048747E-2"/>
          <c:y val="2.0833333333333332E-2"/>
          <c:w val="0.52168402522635982"/>
          <c:h val="0.9537037037037037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57F6-4526-98F1-B68BE6D1B894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7F6-4526-98F1-B68BE6D1B89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7F6-4526-98F1-B68BE6D1B894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57F6-4526-98F1-B68BE6D1B894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57F6-4526-98F1-B68BE6D1B894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57F6-4526-98F1-B68BE6D1B89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57F6-4526-98F1-B68BE6D1B894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57F6-4526-98F1-B68BE6D1B8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6.4523924511219173</c:v>
                </c:pt>
                <c:pt idx="1">
                  <c:v>13.547607548878084</c:v>
                </c:pt>
                <c:pt idx="2">
                  <c:v>41.825835590599311</c:v>
                </c:pt>
                <c:pt idx="3">
                  <c:v>4.1741644094006887</c:v>
                </c:pt>
                <c:pt idx="4">
                  <c:v>17</c:v>
                </c:pt>
                <c:pt idx="5">
                  <c:v>3</c:v>
                </c:pt>
                <c:pt idx="6">
                  <c:v>10.222700152629388</c:v>
                </c:pt>
                <c:pt idx="7">
                  <c:v>3.7772998473706121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7F6-4526-98F1-B68BE6D1B894}"/>
            </c:ext>
          </c:extLst>
        </c:ser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7F6-4526-98F1-B68BE6D1B89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57F6-4526-98F1-B68BE6D1B89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7F6-4526-98F1-B68BE6D1B89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57F6-4526-98F1-B68BE6D1B894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7F6-4526-98F1-B68BE6D1B894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57F6-4526-98F1-B68BE6D1B89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7F6-4526-98F1-B68BE6D1B894}"/>
              </c:ext>
            </c:extLst>
          </c:dPt>
          <c:dPt>
            <c:idx val="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57F6-4526-98F1-B68BE6D1B89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6.4523924511219173</c:v>
                </c:pt>
                <c:pt idx="1">
                  <c:v>13.547607548878084</c:v>
                </c:pt>
                <c:pt idx="2">
                  <c:v>41.825835590599311</c:v>
                </c:pt>
                <c:pt idx="3">
                  <c:v>4.1741644094006887</c:v>
                </c:pt>
                <c:pt idx="4">
                  <c:v>17</c:v>
                </c:pt>
                <c:pt idx="5">
                  <c:v>3</c:v>
                </c:pt>
                <c:pt idx="6">
                  <c:v>10.222700152629388</c:v>
                </c:pt>
                <c:pt idx="7">
                  <c:v>3.7772998473706121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7F6-4526-98F1-B68BE6D1B8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Alborg</a:t>
            </a:r>
            <a:r>
              <a:rPr lang="sv-SE" baseline="0"/>
              <a:t> Linje 2</a:t>
            </a:r>
            <a:endParaRPr lang="sv-S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55444444444446E-2"/>
          <c:y val="0.12710007610350077"/>
          <c:w val="0.84448999999999996"/>
          <c:h val="0.8676267123287670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7AA-4B96-94B7-7653EF6058A2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7AA-4B96-94B7-7653EF6058A2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7AA-4B96-94B7-7653EF6058A2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7AA-4B96-94B7-7653EF6058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7AA-4B96-94B7-7653EF6058A2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7AA-4B96-94B7-7653EF6058A2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7AA-4B96-94B7-7653EF6058A2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47AA-4B96-94B7-7653EF6058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6.4523924511219173</c:v>
                </c:pt>
                <c:pt idx="1">
                  <c:v>13.547607548878084</c:v>
                </c:pt>
                <c:pt idx="2">
                  <c:v>41.825835590599311</c:v>
                </c:pt>
                <c:pt idx="3">
                  <c:v>4.1741644094006887</c:v>
                </c:pt>
                <c:pt idx="4">
                  <c:v>17</c:v>
                </c:pt>
                <c:pt idx="5">
                  <c:v>3</c:v>
                </c:pt>
                <c:pt idx="6">
                  <c:v>10.222700152629388</c:v>
                </c:pt>
                <c:pt idx="7">
                  <c:v>3.7772998473706121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AA-4B96-94B7-7653EF6058A2}"/>
            </c:ext>
          </c:extLst>
        </c:ser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7AA-4B96-94B7-7653EF6058A2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47AA-4B96-94B7-7653EF6058A2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7AA-4B96-94B7-7653EF6058A2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47AA-4B96-94B7-7653EF6058A2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7AA-4B96-94B7-7653EF6058A2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47AA-4B96-94B7-7653EF6058A2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7AA-4B96-94B7-7653EF6058A2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47AA-4B96-94B7-7653EF6058A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6.4523924511219173</c:v>
                </c:pt>
                <c:pt idx="1">
                  <c:v>13.547607548878084</c:v>
                </c:pt>
                <c:pt idx="2">
                  <c:v>41.825835590599311</c:v>
                </c:pt>
                <c:pt idx="3">
                  <c:v>4.1741644094006887</c:v>
                </c:pt>
                <c:pt idx="4">
                  <c:v>17</c:v>
                </c:pt>
                <c:pt idx="5">
                  <c:v>3</c:v>
                </c:pt>
                <c:pt idx="6">
                  <c:v>10.222700152629388</c:v>
                </c:pt>
                <c:pt idx="7">
                  <c:v>3.7772998473706121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7AA-4B96-94B7-7653EF6058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E7-4E58-82E5-A3758C4EC1F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5E7-4E58-82E5-A3758C4EC1F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E7-4E58-82E5-A3758C4EC1F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5E7-4E58-82E5-A3758C4EC1FD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5E7-4E58-82E5-A3758C4EC1FD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5E7-4E58-82E5-A3758C4EC1FD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5E7-4E58-82E5-A3758C4EC1FD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5E7-4E58-82E5-A3758C4EC1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5E7-4E58-82E5-A3758C4EC1F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5E7-4E58-82E5-A3758C4EC1F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5E7-4E58-82E5-A3758C4EC1F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5E7-4E58-82E5-A3758C4EC1F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5E7-4E58-82E5-A3758C4EC1F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5E7-4E58-82E5-A3758C4EC1F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5E7-4E58-82E5-A3758C4EC1F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5E7-4E58-82E5-A3758C4EC1F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5E7-4E58-82E5-A3758C4EC1FD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E5E7-4E58-82E5-A3758C4EC1FD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E5E7-4E58-82E5-A3758C4EC1FD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5E7-4E58-82E5-A3758C4EC1FD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E5E7-4E58-82E5-A3758C4EC1FD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E5E7-4E58-82E5-A3758C4EC1FD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E5E7-4E58-82E5-A3758C4EC1FD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E5E7-4E58-82E5-A3758C4EC1FD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E5E7-4E58-82E5-A3758C4EC1FD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2.611350076314694</c:v>
                </c:pt>
                <c:pt idx="3">
                  <c:v>2.611350076314694</c:v>
                </c:pt>
                <c:pt idx="4">
                  <c:v>0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2.0579710144927539</c:v>
                </c:pt>
                <c:pt idx="9">
                  <c:v>10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2.0842236714305535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7.6836409046760092</c:v>
                </c:pt>
                <c:pt idx="18">
                  <c:v>0.39130434782608697</c:v>
                </c:pt>
                <c:pt idx="19">
                  <c:v>1</c:v>
                </c:pt>
                <c:pt idx="20">
                  <c:v>2.1509433962264151</c:v>
                </c:pt>
                <c:pt idx="21">
                  <c:v>0.30203659896130741</c:v>
                </c:pt>
                <c:pt idx="22">
                  <c:v>2.6081081081081083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5E7-4E58-82E5-A3758C4EC1FD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E5E7-4E58-82E5-A3758C4EC1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E5E7-4E58-82E5-A3758C4EC1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E5E7-4E58-82E5-A3758C4EC1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E5E7-4E58-82E5-A3758C4EC1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E5E7-4E58-82E5-A3758C4EC1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E5E7-4E58-82E5-A3758C4EC1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E5E7-4E58-82E5-A3758C4EC1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E5E7-4E58-82E5-A3758C4EC1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E5E7-4E58-82E5-A3758C4EC1F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E5E7-4E58-82E5-A3758C4EC1F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E5E7-4E58-82E5-A3758C4EC1F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E5E7-4E58-82E5-A3758C4EC1F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E5E7-4E58-82E5-A3758C4EC1F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E5E7-4E58-82E5-A3758C4EC1F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E5E7-4E58-82E5-A3758C4EC1F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E5E7-4E58-82E5-A3758C4EC1F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E5E7-4E58-82E5-A3758C4EC1F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E5E7-4E58-82E5-A3758C4EC1F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E5E7-4E58-82E5-A3758C4EC1F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E5E7-4E58-82E5-A3758C4EC1F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E5E7-4E58-82E5-A3758C4EC1F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E5E7-4E58-82E5-A3758C4EC1F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E5E7-4E58-82E5-A3758C4EC1F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E5E7-4E58-82E5-A3758C4EC1F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E5E7-4E58-82E5-A3758C4EC1FD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1.388649923685306</c:v>
                </c:pt>
                <c:pt idx="3">
                  <c:v>1.388649923685306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0.94202898550724612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0.91577632856944646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0.31635909532399076</c:v>
                </c:pt>
                <c:pt idx="18">
                  <c:v>1.6086956521739131</c:v>
                </c:pt>
                <c:pt idx="19">
                  <c:v>1</c:v>
                </c:pt>
                <c:pt idx="20">
                  <c:v>0.84905660377358494</c:v>
                </c:pt>
                <c:pt idx="21">
                  <c:v>2.6979634010386926</c:v>
                </c:pt>
                <c:pt idx="22">
                  <c:v>2.3918918918918917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E5E7-4E58-82E5-A3758C4E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23811</xdr:rowOff>
    </xdr:from>
    <xdr:to>
      <xdr:col>15</xdr:col>
      <xdr:colOff>180299</xdr:colOff>
      <xdr:row>12</xdr:row>
      <xdr:rowOff>88311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E8FC932-3ACE-4145-8002-AB1919474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12</xdr:col>
      <xdr:colOff>585450</xdr:colOff>
      <xdr:row>35</xdr:row>
      <xdr:rowOff>115500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1910E31-116F-47F7-B5AB-1A54CA0C5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42</xdr:row>
      <xdr:rowOff>85725</xdr:rowOff>
    </xdr:from>
    <xdr:to>
      <xdr:col>14</xdr:col>
      <xdr:colOff>190500</xdr:colOff>
      <xdr:row>68</xdr:row>
      <xdr:rowOff>161925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B16F812-4608-5F5B-5145-1BE686D5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8820</xdr:colOff>
      <xdr:row>41</xdr:row>
      <xdr:rowOff>44098</xdr:rowOff>
    </xdr:from>
    <xdr:to>
      <xdr:col>17</xdr:col>
      <xdr:colOff>385376</xdr:colOff>
      <xdr:row>57</xdr:row>
      <xdr:rowOff>3105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E124DA42-C991-C541-67F8-6460B3AD8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3889" y="8757709"/>
          <a:ext cx="8044464" cy="36865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topLeftCell="A35" workbookViewId="0">
      <selection activeCell="C43" sqref="C43:F68"/>
    </sheetView>
  </sheetViews>
  <sheetFormatPr defaultRowHeight="15" x14ac:dyDescent="0.25"/>
  <cols>
    <col min="3" max="3" width="39.28515625" customWidth="1"/>
    <col min="4" max="4" width="14.42578125" customWidth="1"/>
    <col min="12" max="12" width="31.7109375" customWidth="1"/>
  </cols>
  <sheetData>
    <row r="2" spans="2:14" x14ac:dyDescent="0.25">
      <c r="C2" t="s">
        <v>186</v>
      </c>
    </row>
    <row r="3" spans="2:14" x14ac:dyDescent="0.25">
      <c r="B3" s="31" t="s">
        <v>0</v>
      </c>
      <c r="C3" s="32"/>
      <c r="D3" s="32"/>
      <c r="E3" s="33"/>
    </row>
    <row r="4" spans="2:14" x14ac:dyDescent="0.25">
      <c r="B4" s="14"/>
      <c r="C4" s="12" t="s">
        <v>145</v>
      </c>
      <c r="D4" s="12" t="s">
        <v>31</v>
      </c>
      <c r="E4" s="12" t="s">
        <v>146</v>
      </c>
      <c r="L4" t="s">
        <v>0</v>
      </c>
      <c r="M4">
        <f>D12</f>
        <v>6.4523924511219173</v>
      </c>
      <c r="N4">
        <f>M4/SUM($M$4:$M$7)</f>
        <v>8.5461101014712021E-2</v>
      </c>
    </row>
    <row r="5" spans="2:14" x14ac:dyDescent="0.25">
      <c r="B5" s="15"/>
      <c r="C5" t="s">
        <v>1</v>
      </c>
      <c r="D5" s="1">
        <f>'Stadens utformning'!E7</f>
        <v>2</v>
      </c>
      <c r="E5" s="1">
        <v>2</v>
      </c>
      <c r="L5" t="s">
        <v>13</v>
      </c>
      <c r="M5">
        <f>D25</f>
        <v>41.825835590599311</v>
      </c>
      <c r="N5">
        <f>M5/SUM($M$4:$M$7)</f>
        <v>0.5539777667757062</v>
      </c>
    </row>
    <row r="6" spans="2:14" x14ac:dyDescent="0.25">
      <c r="B6" s="15"/>
      <c r="C6" s="1" t="s">
        <v>2</v>
      </c>
      <c r="D6" s="11">
        <f>'Stadens utformning'!F14</f>
        <v>0</v>
      </c>
      <c r="E6" s="1">
        <v>3</v>
      </c>
      <c r="L6" t="s">
        <v>8</v>
      </c>
      <c r="M6">
        <f>D32</f>
        <v>17</v>
      </c>
      <c r="N6">
        <f>M6/SUM($M$4:$M$7)</f>
        <v>0.2251627947704096</v>
      </c>
    </row>
    <row r="7" spans="2:14" x14ac:dyDescent="0.25">
      <c r="B7" s="15"/>
      <c r="C7" s="1" t="s">
        <v>3</v>
      </c>
      <c r="D7" s="11">
        <f>'Stadens utformning'!G23</f>
        <v>2.6081081081081083</v>
      </c>
      <c r="E7" s="1">
        <v>5</v>
      </c>
      <c r="L7" t="s">
        <v>24</v>
      </c>
      <c r="M7">
        <f>D39</f>
        <v>10.222700152629388</v>
      </c>
      <c r="N7">
        <f>M7/SUM($M$4:$M$7)</f>
        <v>0.1353983374391721</v>
      </c>
    </row>
    <row r="8" spans="2:14" x14ac:dyDescent="0.25">
      <c r="B8" s="15"/>
      <c r="C8" s="1" t="s">
        <v>4</v>
      </c>
      <c r="D8" s="11">
        <f>'Stadens utformning'!G52</f>
        <v>0.30203659896130741</v>
      </c>
      <c r="E8" s="1">
        <v>3</v>
      </c>
    </row>
    <row r="9" spans="2:14" x14ac:dyDescent="0.25">
      <c r="B9" s="15"/>
      <c r="C9" s="1" t="s">
        <v>5</v>
      </c>
      <c r="D9" s="11">
        <f>'Stadens utformning'!G57</f>
        <v>2.1509433962264151</v>
      </c>
      <c r="E9" s="1">
        <v>3</v>
      </c>
    </row>
    <row r="10" spans="2:14" x14ac:dyDescent="0.25">
      <c r="B10" s="15"/>
      <c r="C10" s="1" t="s">
        <v>6</v>
      </c>
      <c r="D10" s="11">
        <f>'Stadens utformning'!G63</f>
        <v>1</v>
      </c>
      <c r="E10" s="1">
        <v>2</v>
      </c>
      <c r="L10" t="s">
        <v>0</v>
      </c>
      <c r="M10" s="27">
        <f>D12</f>
        <v>6.4523924511219173</v>
      </c>
    </row>
    <row r="11" spans="2:14" x14ac:dyDescent="0.25">
      <c r="B11" s="15"/>
      <c r="C11" s="1" t="s">
        <v>7</v>
      </c>
      <c r="D11" s="11">
        <f>'Stadens utformning'!G68</f>
        <v>0.39130434782608697</v>
      </c>
      <c r="E11" s="1">
        <v>2</v>
      </c>
      <c r="L11" t="s">
        <v>147</v>
      </c>
      <c r="M11" s="27">
        <f>E12-M10</f>
        <v>13.547607548878084</v>
      </c>
    </row>
    <row r="12" spans="2:14" x14ac:dyDescent="0.25">
      <c r="B12" s="16"/>
      <c r="C12" s="1" t="s">
        <v>61</v>
      </c>
      <c r="D12" s="11">
        <f>SUM(D6:D11)</f>
        <v>6.4523924511219173</v>
      </c>
      <c r="E12" s="11">
        <f>SUM(E5:E11)</f>
        <v>20</v>
      </c>
      <c r="F12">
        <f>D12/E12</f>
        <v>0.32261962255609589</v>
      </c>
      <c r="L12" t="s">
        <v>13</v>
      </c>
      <c r="M12" s="27">
        <f>D25</f>
        <v>41.825835590599311</v>
      </c>
    </row>
    <row r="13" spans="2:14" x14ac:dyDescent="0.25">
      <c r="B13" s="31" t="s">
        <v>13</v>
      </c>
      <c r="C13" s="32"/>
      <c r="D13" s="32"/>
      <c r="E13" s="33"/>
      <c r="L13" t="s">
        <v>148</v>
      </c>
      <c r="M13" s="27">
        <f>E25-D25</f>
        <v>4.1741644094006887</v>
      </c>
    </row>
    <row r="14" spans="2:14" x14ac:dyDescent="0.25">
      <c r="B14" s="17"/>
      <c r="C14" s="12" t="s">
        <v>145</v>
      </c>
      <c r="D14" s="12" t="s">
        <v>31</v>
      </c>
      <c r="E14" s="12" t="s">
        <v>146</v>
      </c>
      <c r="L14" t="s">
        <v>8</v>
      </c>
      <c r="M14" s="27">
        <f>D32</f>
        <v>17</v>
      </c>
    </row>
    <row r="15" spans="2:14" x14ac:dyDescent="0.25">
      <c r="B15" s="18"/>
      <c r="C15" s="1" t="s">
        <v>14</v>
      </c>
      <c r="D15" s="11">
        <f>'Kollektivtrafikens infrastruktu'!G9</f>
        <v>7.6836409046760092</v>
      </c>
      <c r="E15" s="1">
        <v>8</v>
      </c>
      <c r="L15" t="s">
        <v>149</v>
      </c>
      <c r="M15" s="27">
        <f>E32-D32</f>
        <v>3</v>
      </c>
    </row>
    <row r="16" spans="2:14" x14ac:dyDescent="0.25">
      <c r="B16" s="18"/>
      <c r="C16" s="1" t="s">
        <v>15</v>
      </c>
      <c r="D16" s="11">
        <f>'Kollektivtrafikens infrastruktu'!G44</f>
        <v>4</v>
      </c>
      <c r="E16" s="1">
        <v>4</v>
      </c>
      <c r="L16" t="s">
        <v>24</v>
      </c>
      <c r="M16" s="27">
        <f>D39</f>
        <v>10.222700152629388</v>
      </c>
    </row>
    <row r="17" spans="2:13" x14ac:dyDescent="0.25">
      <c r="B17" s="18"/>
      <c r="C17" s="1" t="s">
        <v>16</v>
      </c>
      <c r="D17" s="11">
        <f>'Kollektivtrafikens infrastruktu'!G51</f>
        <v>3</v>
      </c>
      <c r="E17" s="1">
        <v>3</v>
      </c>
      <c r="L17" t="s">
        <v>150</v>
      </c>
      <c r="M17" s="27">
        <f>E39-D39</f>
        <v>3.7772998473706121</v>
      </c>
    </row>
    <row r="18" spans="2:13" x14ac:dyDescent="0.25">
      <c r="B18" s="18"/>
      <c r="C18" s="1" t="s">
        <v>17</v>
      </c>
      <c r="D18" s="11">
        <f>'Kollektivtrafikens infrastruktu'!G58</f>
        <v>0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2.0842236714305535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3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7</v>
      </c>
      <c r="E21" s="1">
        <v>7</v>
      </c>
    </row>
    <row r="22" spans="2:13" x14ac:dyDescent="0.25">
      <c r="B22" s="18"/>
      <c r="C22" s="1" t="s">
        <v>21</v>
      </c>
      <c r="D22" s="11">
        <f>'Kollektivtrafikens infrastruktu'!G87</f>
        <v>3</v>
      </c>
      <c r="E22" s="1">
        <v>3</v>
      </c>
    </row>
    <row r="23" spans="2:13" x14ac:dyDescent="0.25">
      <c r="B23" s="18"/>
      <c r="C23" s="1" t="s">
        <v>22</v>
      </c>
      <c r="D23" s="11">
        <f>'Kollektivtrafikens infrastruktu'!G101</f>
        <v>10</v>
      </c>
      <c r="E23" s="1">
        <v>10</v>
      </c>
    </row>
    <row r="24" spans="2:13" x14ac:dyDescent="0.25">
      <c r="B24" s="18"/>
      <c r="C24" s="1" t="s">
        <v>23</v>
      </c>
      <c r="D24" s="11">
        <f>'Kollektivtrafikens infrastruktu'!G109</f>
        <v>2.0579710144927539</v>
      </c>
      <c r="E24" s="1">
        <v>3</v>
      </c>
    </row>
    <row r="25" spans="2:13" x14ac:dyDescent="0.25">
      <c r="B25" s="19"/>
      <c r="C25" s="1" t="s">
        <v>61</v>
      </c>
      <c r="D25" s="11">
        <f>SUM(D15:D24)</f>
        <v>41.825835590599311</v>
      </c>
      <c r="E25" s="11">
        <f>SUM(E15:E24)</f>
        <v>46</v>
      </c>
      <c r="F25">
        <f>D25/E25</f>
        <v>0.90925729544781109</v>
      </c>
    </row>
    <row r="26" spans="2:13" x14ac:dyDescent="0.25">
      <c r="B26" s="31" t="s">
        <v>8</v>
      </c>
      <c r="C26" s="32"/>
      <c r="D26" s="32"/>
      <c r="E26" s="33"/>
    </row>
    <row r="27" spans="2:13" x14ac:dyDescent="0.25">
      <c r="B27" s="20"/>
      <c r="C27" s="12" t="s">
        <v>145</v>
      </c>
      <c r="D27" s="12" t="s">
        <v>31</v>
      </c>
      <c r="E27" s="12" t="s">
        <v>146</v>
      </c>
    </row>
    <row r="28" spans="2:13" x14ac:dyDescent="0.25">
      <c r="B28" s="21"/>
      <c r="C28" s="1" t="s">
        <v>9</v>
      </c>
      <c r="D28" s="11">
        <f>'Fordon och Stödsystem'!F7</f>
        <v>4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4</v>
      </c>
      <c r="E29" s="1">
        <v>4</v>
      </c>
    </row>
    <row r="30" spans="2:13" x14ac:dyDescent="0.25">
      <c r="B30" s="21"/>
      <c r="C30" t="s">
        <v>11</v>
      </c>
      <c r="D30" s="11">
        <f>'Fordon och Stödsystem'!F17</f>
        <v>9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61</v>
      </c>
      <c r="D32" s="11">
        <f>SUM(D28:D31)</f>
        <v>17</v>
      </c>
      <c r="E32" s="1">
        <f>SUM(E28:E31)</f>
        <v>20</v>
      </c>
      <c r="F32">
        <f>D32/E32</f>
        <v>0.85</v>
      </c>
    </row>
    <row r="33" spans="2:6" x14ac:dyDescent="0.25">
      <c r="B33" s="31" t="s">
        <v>24</v>
      </c>
      <c r="C33" s="32"/>
      <c r="D33" s="32"/>
      <c r="E33" s="33"/>
    </row>
    <row r="34" spans="2:6" x14ac:dyDescent="0.25">
      <c r="B34" s="23"/>
      <c r="C34" s="12" t="s">
        <v>145</v>
      </c>
      <c r="D34" s="12" t="s">
        <v>31</v>
      </c>
      <c r="E34" s="12" t="s">
        <v>146</v>
      </c>
    </row>
    <row r="35" spans="2:6" x14ac:dyDescent="0.25">
      <c r="B35" s="24"/>
      <c r="C35" s="1" t="s">
        <v>25</v>
      </c>
      <c r="D35" s="11">
        <f>Trafikering!F8</f>
        <v>2.611350076314694</v>
      </c>
      <c r="E35" s="1">
        <v>4</v>
      </c>
    </row>
    <row r="36" spans="2:6" x14ac:dyDescent="0.25">
      <c r="B36" s="24"/>
      <c r="C36" s="1" t="s">
        <v>26</v>
      </c>
      <c r="D36" s="11">
        <f>Trafikering!F15</f>
        <v>2.611350076314694</v>
      </c>
      <c r="E36" s="1">
        <v>4</v>
      </c>
    </row>
    <row r="37" spans="2:6" x14ac:dyDescent="0.25">
      <c r="B37" s="24"/>
      <c r="C37" s="1" t="s">
        <v>27</v>
      </c>
      <c r="D37" s="11">
        <f>Trafikering!F22</f>
        <v>3</v>
      </c>
      <c r="E37" s="1">
        <v>3</v>
      </c>
    </row>
    <row r="38" spans="2:6" x14ac:dyDescent="0.25">
      <c r="B38" s="24"/>
      <c r="C38" s="1" t="s">
        <v>28</v>
      </c>
      <c r="D38" s="11">
        <f>Trafikering!F29</f>
        <v>2</v>
      </c>
      <c r="E38" s="1">
        <v>3</v>
      </c>
    </row>
    <row r="39" spans="2:6" x14ac:dyDescent="0.25">
      <c r="B39" s="25"/>
      <c r="C39" s="1" t="s">
        <v>61</v>
      </c>
      <c r="D39" s="11">
        <f>SUM(D35:D38)</f>
        <v>10.222700152629388</v>
      </c>
      <c r="E39" s="1">
        <f>SUM(E35:E38)</f>
        <v>14</v>
      </c>
      <c r="F39">
        <f>D39/E39</f>
        <v>0.73019286804495631</v>
      </c>
    </row>
    <row r="40" spans="2:6" x14ac:dyDescent="0.25">
      <c r="B40" s="4"/>
      <c r="C40" s="26" t="s">
        <v>38</v>
      </c>
      <c r="D40" s="13">
        <f>SUM(D5:D11)+SUM(D28:D31)+SUM(D15:D24)+SUM(D35:D38)</f>
        <v>77.500928194350621</v>
      </c>
      <c r="E40" s="13">
        <f>SUM(E12+E25+E32+E39)</f>
        <v>100</v>
      </c>
    </row>
    <row r="43" spans="2:6" x14ac:dyDescent="0.25">
      <c r="C43" t="s">
        <v>188</v>
      </c>
      <c r="D43" t="s">
        <v>189</v>
      </c>
      <c r="E43" t="s">
        <v>139</v>
      </c>
      <c r="F43" t="s">
        <v>190</v>
      </c>
    </row>
    <row r="44" spans="2:6" x14ac:dyDescent="0.25">
      <c r="C44" t="s">
        <v>191</v>
      </c>
      <c r="D44">
        <f>D38</f>
        <v>2</v>
      </c>
      <c r="E44">
        <f>F44-D44</f>
        <v>1</v>
      </c>
      <c r="F44">
        <f>E38</f>
        <v>3</v>
      </c>
    </row>
    <row r="45" spans="2:6" x14ac:dyDescent="0.25">
      <c r="C45" t="s">
        <v>192</v>
      </c>
      <c r="D45">
        <f>D37</f>
        <v>3</v>
      </c>
      <c r="E45">
        <f t="shared" ref="E45:E68" si="0">F45-D45</f>
        <v>0</v>
      </c>
      <c r="F45">
        <f>E37</f>
        <v>3</v>
      </c>
    </row>
    <row r="46" spans="2:6" x14ac:dyDescent="0.25">
      <c r="C46" t="s">
        <v>193</v>
      </c>
      <c r="D46">
        <f>D36</f>
        <v>2.611350076314694</v>
      </c>
      <c r="E46">
        <f t="shared" si="0"/>
        <v>1.388649923685306</v>
      </c>
      <c r="F46">
        <f>E36</f>
        <v>4</v>
      </c>
    </row>
    <row r="47" spans="2:6" x14ac:dyDescent="0.25">
      <c r="C47" t="s">
        <v>194</v>
      </c>
      <c r="D47">
        <f>D35</f>
        <v>2.611350076314694</v>
      </c>
      <c r="E47">
        <f t="shared" si="0"/>
        <v>1.388649923685306</v>
      </c>
      <c r="F47">
        <f>E35</f>
        <v>4</v>
      </c>
    </row>
    <row r="48" spans="2:6" x14ac:dyDescent="0.25">
      <c r="C48" t="s">
        <v>195</v>
      </c>
      <c r="D48">
        <f>D31</f>
        <v>0</v>
      </c>
      <c r="E48">
        <f t="shared" si="0"/>
        <v>2</v>
      </c>
      <c r="F48">
        <f>E31</f>
        <v>2</v>
      </c>
    </row>
    <row r="49" spans="3:6" x14ac:dyDescent="0.25">
      <c r="C49" t="s">
        <v>196</v>
      </c>
      <c r="D49">
        <f>D30</f>
        <v>9</v>
      </c>
      <c r="E49">
        <f t="shared" si="0"/>
        <v>1</v>
      </c>
      <c r="F49">
        <f>E30</f>
        <v>10</v>
      </c>
    </row>
    <row r="50" spans="3:6" x14ac:dyDescent="0.25">
      <c r="C50" t="s">
        <v>197</v>
      </c>
      <c r="D50">
        <f>D29</f>
        <v>4</v>
      </c>
      <c r="E50">
        <f t="shared" si="0"/>
        <v>0</v>
      </c>
      <c r="F50">
        <f>E29</f>
        <v>4</v>
      </c>
    </row>
    <row r="51" spans="3:6" x14ac:dyDescent="0.25">
      <c r="C51" t="s">
        <v>198</v>
      </c>
      <c r="D51">
        <f>D28</f>
        <v>4</v>
      </c>
      <c r="E51">
        <f t="shared" si="0"/>
        <v>0</v>
      </c>
      <c r="F51">
        <f>E28</f>
        <v>4</v>
      </c>
    </row>
    <row r="52" spans="3:6" x14ac:dyDescent="0.25">
      <c r="C52" t="s">
        <v>199</v>
      </c>
      <c r="D52">
        <f>D24</f>
        <v>2.0579710144927539</v>
      </c>
      <c r="E52">
        <f t="shared" si="0"/>
        <v>0.94202898550724612</v>
      </c>
      <c r="F52">
        <f>E24</f>
        <v>3</v>
      </c>
    </row>
    <row r="53" spans="3:6" x14ac:dyDescent="0.25">
      <c r="C53" t="s">
        <v>200</v>
      </c>
      <c r="D53">
        <f>D23</f>
        <v>10</v>
      </c>
      <c r="E53">
        <f t="shared" si="0"/>
        <v>0</v>
      </c>
      <c r="F53">
        <f>E23</f>
        <v>10</v>
      </c>
    </row>
    <row r="54" spans="3:6" x14ac:dyDescent="0.25">
      <c r="C54" t="s">
        <v>201</v>
      </c>
      <c r="D54">
        <f>D22</f>
        <v>3</v>
      </c>
      <c r="E54">
        <f t="shared" si="0"/>
        <v>0</v>
      </c>
      <c r="F54">
        <f>E22</f>
        <v>3</v>
      </c>
    </row>
    <row r="55" spans="3:6" x14ac:dyDescent="0.25">
      <c r="C55" t="s">
        <v>202</v>
      </c>
      <c r="D55">
        <f>D21</f>
        <v>7</v>
      </c>
      <c r="E55">
        <f t="shared" si="0"/>
        <v>0</v>
      </c>
      <c r="F55">
        <f>E21</f>
        <v>7</v>
      </c>
    </row>
    <row r="56" spans="3:6" x14ac:dyDescent="0.25">
      <c r="C56" t="s">
        <v>203</v>
      </c>
      <c r="D56">
        <f>D20</f>
        <v>3</v>
      </c>
      <c r="E56">
        <f t="shared" si="0"/>
        <v>0</v>
      </c>
      <c r="F56">
        <f>E20</f>
        <v>3</v>
      </c>
    </row>
    <row r="57" spans="3:6" x14ac:dyDescent="0.25">
      <c r="C57" t="s">
        <v>204</v>
      </c>
      <c r="D57">
        <f>D19</f>
        <v>2.0842236714305535</v>
      </c>
      <c r="E57">
        <f t="shared" si="0"/>
        <v>0.91577632856944646</v>
      </c>
      <c r="F57">
        <f>E19</f>
        <v>3</v>
      </c>
    </row>
    <row r="58" spans="3:6" x14ac:dyDescent="0.25">
      <c r="C58" t="s">
        <v>205</v>
      </c>
      <c r="D58">
        <f>D18</f>
        <v>0</v>
      </c>
      <c r="E58">
        <f t="shared" si="0"/>
        <v>2</v>
      </c>
      <c r="F58">
        <f>E18</f>
        <v>2</v>
      </c>
    </row>
    <row r="59" spans="3:6" x14ac:dyDescent="0.25">
      <c r="C59" t="s">
        <v>206</v>
      </c>
      <c r="D59">
        <f>D17</f>
        <v>3</v>
      </c>
      <c r="E59">
        <f t="shared" si="0"/>
        <v>0</v>
      </c>
      <c r="F59">
        <f>E17</f>
        <v>3</v>
      </c>
    </row>
    <row r="60" spans="3:6" x14ac:dyDescent="0.25">
      <c r="C60" t="s">
        <v>207</v>
      </c>
      <c r="D60">
        <f>D16</f>
        <v>4</v>
      </c>
      <c r="E60">
        <f t="shared" si="0"/>
        <v>0</v>
      </c>
      <c r="F60">
        <f>E16</f>
        <v>4</v>
      </c>
    </row>
    <row r="61" spans="3:6" x14ac:dyDescent="0.25">
      <c r="C61" t="s">
        <v>208</v>
      </c>
      <c r="D61">
        <f>D15</f>
        <v>7.6836409046760092</v>
      </c>
      <c r="E61">
        <f t="shared" si="0"/>
        <v>0.31635909532399076</v>
      </c>
      <c r="F61">
        <f>E15</f>
        <v>8</v>
      </c>
    </row>
    <row r="62" spans="3:6" x14ac:dyDescent="0.25">
      <c r="C62" t="s">
        <v>209</v>
      </c>
      <c r="D62">
        <f>D11</f>
        <v>0.39130434782608697</v>
      </c>
      <c r="E62">
        <f t="shared" si="0"/>
        <v>1.6086956521739131</v>
      </c>
      <c r="F62">
        <f>E11</f>
        <v>2</v>
      </c>
    </row>
    <row r="63" spans="3:6" x14ac:dyDescent="0.25">
      <c r="C63" t="s">
        <v>210</v>
      </c>
      <c r="D63">
        <f>D10</f>
        <v>1</v>
      </c>
      <c r="E63">
        <f>F63-D63</f>
        <v>1</v>
      </c>
      <c r="F63">
        <f>E10</f>
        <v>2</v>
      </c>
    </row>
    <row r="64" spans="3:6" x14ac:dyDescent="0.25">
      <c r="C64" t="s">
        <v>211</v>
      </c>
      <c r="D64">
        <f>D9</f>
        <v>2.1509433962264151</v>
      </c>
      <c r="E64">
        <f t="shared" si="0"/>
        <v>0.84905660377358494</v>
      </c>
      <c r="F64">
        <f>E9</f>
        <v>3</v>
      </c>
    </row>
    <row r="65" spans="3:6" x14ac:dyDescent="0.25">
      <c r="C65" t="s">
        <v>212</v>
      </c>
      <c r="D65">
        <f>D8</f>
        <v>0.30203659896130741</v>
      </c>
      <c r="E65">
        <f t="shared" si="0"/>
        <v>2.6979634010386926</v>
      </c>
      <c r="F65">
        <f>E8</f>
        <v>3</v>
      </c>
    </row>
    <row r="66" spans="3:6" x14ac:dyDescent="0.25">
      <c r="C66" t="s">
        <v>213</v>
      </c>
      <c r="D66">
        <f>D7</f>
        <v>2.6081081081081083</v>
      </c>
      <c r="E66">
        <f t="shared" si="0"/>
        <v>2.3918918918918917</v>
      </c>
      <c r="F66">
        <f>E7</f>
        <v>5</v>
      </c>
    </row>
    <row r="67" spans="3:6" x14ac:dyDescent="0.25">
      <c r="C67" t="s">
        <v>214</v>
      </c>
      <c r="D67">
        <f>D6</f>
        <v>0</v>
      </c>
      <c r="E67">
        <f t="shared" si="0"/>
        <v>3</v>
      </c>
      <c r="F67">
        <f>E6</f>
        <v>3</v>
      </c>
    </row>
    <row r="68" spans="3:6" x14ac:dyDescent="0.25">
      <c r="C68" t="s">
        <v>215</v>
      </c>
      <c r="D68">
        <f>D5</f>
        <v>2</v>
      </c>
      <c r="E68">
        <f t="shared" si="0"/>
        <v>0</v>
      </c>
      <c r="F68">
        <f>E5</f>
        <v>2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X68"/>
  <sheetViews>
    <sheetView tabSelected="1" workbookViewId="0">
      <selection activeCell="D28" sqref="D28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5.140625" customWidth="1"/>
    <col min="10" max="10" width="12.28515625" bestFit="1" customWidth="1"/>
    <col min="13" max="13" width="11.5703125" customWidth="1"/>
    <col min="14" max="14" width="12.7109375" customWidth="1"/>
    <col min="17" max="17" width="11.7109375" customWidth="1"/>
    <col min="18" max="18" width="11.28515625" customWidth="1"/>
    <col min="21" max="21" width="11.7109375" customWidth="1"/>
    <col min="22" max="22" width="11.42578125" customWidth="1"/>
  </cols>
  <sheetData>
    <row r="4" spans="3:24" x14ac:dyDescent="0.25">
      <c r="C4" s="3" t="s">
        <v>1</v>
      </c>
      <c r="D4" s="1" t="s">
        <v>31</v>
      </c>
      <c r="E4" s="1" t="s">
        <v>32</v>
      </c>
    </row>
    <row r="5" spans="3:24" ht="30" x14ac:dyDescent="0.25">
      <c r="C5" s="2" t="s">
        <v>29</v>
      </c>
      <c r="D5" s="1">
        <v>1</v>
      </c>
      <c r="E5" s="1">
        <v>1</v>
      </c>
      <c r="F5" t="s">
        <v>216</v>
      </c>
    </row>
    <row r="6" spans="3:24" ht="30" x14ac:dyDescent="0.25">
      <c r="C6" s="2" t="s">
        <v>30</v>
      </c>
      <c r="D6" s="1">
        <v>1</v>
      </c>
      <c r="E6" s="1">
        <v>1</v>
      </c>
    </row>
    <row r="7" spans="3:24" x14ac:dyDescent="0.25">
      <c r="C7" s="9"/>
      <c r="D7" s="1" t="s">
        <v>38</v>
      </c>
      <c r="E7" s="1">
        <f>SUM(E5:E6)</f>
        <v>2</v>
      </c>
      <c r="K7" t="s">
        <v>129</v>
      </c>
      <c r="L7">
        <f>J11+O11</f>
        <v>12.309999999999999</v>
      </c>
    </row>
    <row r="9" spans="3:24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144</v>
      </c>
      <c r="K9" s="1"/>
      <c r="L9" s="1" t="s">
        <v>37</v>
      </c>
      <c r="M9" s="1"/>
      <c r="N9" s="1"/>
      <c r="O9" s="1" t="s">
        <v>144</v>
      </c>
      <c r="Q9" s="1" t="s">
        <v>37</v>
      </c>
      <c r="R9" s="1"/>
      <c r="S9" s="1" t="s">
        <v>144</v>
      </c>
      <c r="T9" s="1"/>
      <c r="U9" s="1" t="s">
        <v>37</v>
      </c>
      <c r="V9" s="1"/>
      <c r="W9" s="1"/>
      <c r="X9" s="1" t="s">
        <v>144</v>
      </c>
    </row>
    <row r="10" spans="3:24" x14ac:dyDescent="0.25">
      <c r="C10" s="1" t="s">
        <v>33</v>
      </c>
      <c r="D10" s="1">
        <v>3</v>
      </c>
      <c r="E10" s="1"/>
      <c r="F10" s="11">
        <f>J15+O15</f>
        <v>-1.0491159696122192</v>
      </c>
      <c r="H10" s="1" t="s">
        <v>155</v>
      </c>
      <c r="I10" s="1"/>
      <c r="J10" s="1">
        <v>4.45</v>
      </c>
      <c r="K10" s="1"/>
      <c r="L10" s="1" t="s">
        <v>157</v>
      </c>
      <c r="M10" s="1"/>
      <c r="N10" s="1"/>
      <c r="O10" s="1">
        <v>3.73</v>
      </c>
      <c r="Q10" s="1" t="s">
        <v>168</v>
      </c>
      <c r="R10" s="1"/>
      <c r="S10" s="1">
        <v>1.72</v>
      </c>
      <c r="T10" s="1"/>
      <c r="U10" s="1" t="s">
        <v>157</v>
      </c>
      <c r="V10" s="1"/>
      <c r="W10" s="1"/>
      <c r="X10" s="1">
        <v>5.46</v>
      </c>
    </row>
    <row r="11" spans="3:24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 t="s">
        <v>156</v>
      </c>
      <c r="I11" s="1"/>
      <c r="J11" s="1">
        <v>6.72</v>
      </c>
      <c r="K11" s="1"/>
      <c r="L11" s="1" t="s">
        <v>158</v>
      </c>
      <c r="M11" s="1"/>
      <c r="N11" s="1"/>
      <c r="O11" s="1">
        <v>5.59</v>
      </c>
      <c r="Q11" s="1" t="s">
        <v>169</v>
      </c>
      <c r="R11" s="1"/>
      <c r="S11" s="1">
        <v>2.69</v>
      </c>
      <c r="T11" s="1"/>
      <c r="U11" s="1" t="s">
        <v>158</v>
      </c>
      <c r="V11" s="1"/>
      <c r="W11" s="1"/>
      <c r="X11" s="1">
        <v>8.7799999999999994</v>
      </c>
    </row>
    <row r="12" spans="3:24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128</v>
      </c>
      <c r="J12" s="1">
        <f>J11/J10</f>
        <v>1.5101123595505617</v>
      </c>
      <c r="K12" s="1"/>
      <c r="L12" s="1"/>
      <c r="M12" s="1"/>
      <c r="N12" s="1" t="s">
        <v>128</v>
      </c>
      <c r="O12" s="1">
        <f>O11/O10</f>
        <v>1.4986595174262733</v>
      </c>
      <c r="Q12" s="1"/>
      <c r="R12" s="1" t="s">
        <v>128</v>
      </c>
      <c r="S12" s="1">
        <f>S11/S10</f>
        <v>1.5639534883720929</v>
      </c>
      <c r="T12" s="1"/>
      <c r="U12" s="1"/>
      <c r="V12" s="1"/>
      <c r="W12" s="1" t="s">
        <v>128</v>
      </c>
      <c r="X12" s="1">
        <f>X11/X10</f>
        <v>1.6080586080586079</v>
      </c>
    </row>
    <row r="13" spans="3:24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-1.1011235955056158</v>
      </c>
      <c r="K13" s="1"/>
      <c r="L13" s="1"/>
      <c r="M13" s="1"/>
      <c r="N13" s="1"/>
      <c r="O13" s="1">
        <f>14-10*O12</f>
        <v>-0.98659517426273347</v>
      </c>
      <c r="Q13" s="1"/>
      <c r="R13" s="1"/>
      <c r="S13" s="1">
        <f>14-10*S12</f>
        <v>-1.6395348837209287</v>
      </c>
      <c r="T13" s="1"/>
      <c r="U13" s="1"/>
      <c r="V13" s="1"/>
      <c r="W13" s="1"/>
      <c r="X13" s="1">
        <f>14-10*X12</f>
        <v>-2.0805860805860803</v>
      </c>
    </row>
    <row r="14" spans="3:24" x14ac:dyDescent="0.25">
      <c r="C14" s="1"/>
      <c r="D14" s="1"/>
      <c r="E14" s="1" t="s">
        <v>38</v>
      </c>
      <c r="F14" s="11">
        <v>0</v>
      </c>
      <c r="H14" s="1"/>
      <c r="I14" s="1" t="s">
        <v>130</v>
      </c>
      <c r="J14" s="1">
        <f>J11/L7</f>
        <v>0.54589764419171405</v>
      </c>
      <c r="K14" s="1"/>
      <c r="L14" s="1"/>
      <c r="M14" s="1"/>
      <c r="N14" s="1"/>
      <c r="O14" s="1">
        <f>O11/L7</f>
        <v>0.45410235580828601</v>
      </c>
      <c r="Q14" s="1"/>
      <c r="R14" s="1" t="s">
        <v>130</v>
      </c>
      <c r="S14" s="1">
        <f>S11/L7</f>
        <v>0.21852152721364745</v>
      </c>
      <c r="T14" s="1"/>
      <c r="U14" s="1"/>
      <c r="V14" s="1"/>
      <c r="W14" s="1"/>
      <c r="X14" s="1">
        <f>X11/L7</f>
        <v>0.71324126726238835</v>
      </c>
    </row>
    <row r="15" spans="3:24" x14ac:dyDescent="0.25">
      <c r="H15" s="1"/>
      <c r="I15" s="1"/>
      <c r="J15" s="1">
        <f>J13*J14</f>
        <v>-0.6011007767504255</v>
      </c>
      <c r="K15" s="1"/>
      <c r="L15" s="1"/>
      <c r="M15" s="1"/>
      <c r="N15" s="1"/>
      <c r="O15" s="1">
        <f>O13*O14</f>
        <v>-0.44801519286179375</v>
      </c>
      <c r="Q15" s="1"/>
      <c r="R15" s="1"/>
      <c r="S15" s="1">
        <f>S13*S14</f>
        <v>-0.35827366671074723</v>
      </c>
      <c r="T15" s="1"/>
      <c r="U15" s="1"/>
      <c r="V15" s="1"/>
      <c r="W15" s="1"/>
      <c r="X15" s="1">
        <f>X13*X14</f>
        <v>-1.4839598527657016</v>
      </c>
    </row>
    <row r="16" spans="3:24" x14ac:dyDescent="0.25">
      <c r="L16">
        <f>(J13+O13)/2</f>
        <v>-1.0438593848841746</v>
      </c>
      <c r="V16">
        <f>S15+X15/2</f>
        <v>-1.1002535930935982</v>
      </c>
    </row>
    <row r="17" spans="3:23" x14ac:dyDescent="0.25">
      <c r="I17" s="1" t="s">
        <v>170</v>
      </c>
      <c r="J17" s="1" t="s">
        <v>142</v>
      </c>
      <c r="K17" s="1" t="s">
        <v>139</v>
      </c>
      <c r="M17" s="1" t="s">
        <v>170</v>
      </c>
      <c r="N17" s="1" t="s">
        <v>142</v>
      </c>
      <c r="O17" s="1" t="s">
        <v>139</v>
      </c>
      <c r="Q17" t="s">
        <v>171</v>
      </c>
      <c r="R17" t="s">
        <v>142</v>
      </c>
      <c r="S17" t="s">
        <v>139</v>
      </c>
      <c r="U17" t="s">
        <v>171</v>
      </c>
      <c r="V17" t="s">
        <v>142</v>
      </c>
      <c r="W17" t="s">
        <v>139</v>
      </c>
    </row>
    <row r="18" spans="3:23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t="s">
        <v>160</v>
      </c>
      <c r="J18" s="1">
        <v>0</v>
      </c>
      <c r="K18" s="1">
        <v>0</v>
      </c>
      <c r="M18" s="1" t="s">
        <v>161</v>
      </c>
      <c r="N18" s="1">
        <v>0</v>
      </c>
      <c r="O18" s="1"/>
      <c r="Q18" t="s">
        <v>172</v>
      </c>
      <c r="R18">
        <v>0</v>
      </c>
      <c r="S18">
        <f>R18</f>
        <v>0</v>
      </c>
      <c r="U18" t="s">
        <v>177</v>
      </c>
      <c r="V18">
        <v>0</v>
      </c>
      <c r="W18">
        <f>V18</f>
        <v>0</v>
      </c>
    </row>
    <row r="19" spans="3:23" x14ac:dyDescent="0.25">
      <c r="C19" s="1" t="s">
        <v>39</v>
      </c>
      <c r="D19" s="1">
        <v>5</v>
      </c>
      <c r="E19" s="1">
        <f>COUNTIF(K19:K44,"&gt;600")+COUNTIF(O19:O44,"&gt;600")+COUNTIF(S18:S30,"&gt;600")+COUNTIF(W18:W30,"&gt;600")</f>
        <v>12</v>
      </c>
      <c r="F19" s="6">
        <f>E19/$E$23</f>
        <v>0.16216216216216217</v>
      </c>
      <c r="G19" s="6">
        <f>D19*F19</f>
        <v>0.81081081081081086</v>
      </c>
      <c r="I19" s="1" t="s">
        <v>159</v>
      </c>
      <c r="J19" s="1">
        <v>166</v>
      </c>
      <c r="K19" s="1">
        <f>J19-J18</f>
        <v>166</v>
      </c>
      <c r="M19" s="1"/>
      <c r="N19" s="1">
        <v>500</v>
      </c>
      <c r="O19" s="1">
        <f>N19-N18</f>
        <v>500</v>
      </c>
      <c r="Q19" t="s">
        <v>173</v>
      </c>
      <c r="R19">
        <v>380</v>
      </c>
      <c r="S19">
        <f>R19-R18</f>
        <v>380</v>
      </c>
      <c r="V19">
        <v>640</v>
      </c>
      <c r="W19">
        <f>V19-V18</f>
        <v>640</v>
      </c>
    </row>
    <row r="20" spans="3:23" x14ac:dyDescent="0.25">
      <c r="C20" s="1" t="s">
        <v>40</v>
      </c>
      <c r="D20" s="1">
        <v>4</v>
      </c>
      <c r="E20" s="1">
        <f>COUNTIF(K19:K44,"&gt;500")+COUNTIF(O19:O44,"&gt;500")-E19+COUNTIF(S18:S30,"&gt;500")+COUNTIF(W18:W30,"&gt;500")</f>
        <v>16</v>
      </c>
      <c r="F20" s="6">
        <f t="shared" ref="F20:F22" si="1">E20/$E$23</f>
        <v>0.21621621621621623</v>
      </c>
      <c r="G20" s="6">
        <f t="shared" ref="G20:G22" si="2">D20*F20</f>
        <v>0.86486486486486491</v>
      </c>
      <c r="I20" s="1"/>
      <c r="J20" s="1">
        <v>645</v>
      </c>
      <c r="K20" s="1">
        <f t="shared" ref="K20:K44" si="3">J20-J19</f>
        <v>479</v>
      </c>
      <c r="M20" s="1"/>
      <c r="N20" s="1">
        <v>857</v>
      </c>
      <c r="O20" s="1">
        <f t="shared" ref="O20:O44" si="4">N20-N19</f>
        <v>357</v>
      </c>
      <c r="Q20" t="s">
        <v>174</v>
      </c>
      <c r="R20">
        <v>967</v>
      </c>
      <c r="S20">
        <f>R20-R19</f>
        <v>587</v>
      </c>
      <c r="V20">
        <v>2030</v>
      </c>
      <c r="W20">
        <f t="shared" ref="W20:W27" si="5">V20-V19</f>
        <v>1390</v>
      </c>
    </row>
    <row r="21" spans="3:23" x14ac:dyDescent="0.25">
      <c r="C21" s="1" t="s">
        <v>41</v>
      </c>
      <c r="D21" s="1">
        <v>3</v>
      </c>
      <c r="E21" s="1">
        <f>COUNTIF(K19:K44,"&gt;400")+COUNTIF(O19:O44,"&gt;400")-E20-E19+COUNTIF(S18:S30,"&gt;400")+COUNTIF(W18:W30,"&gt;400")</f>
        <v>23</v>
      </c>
      <c r="F21" s="6">
        <f t="shared" si="1"/>
        <v>0.3108108108108108</v>
      </c>
      <c r="G21" s="6">
        <f t="shared" si="2"/>
        <v>0.93243243243243246</v>
      </c>
      <c r="I21" s="1"/>
      <c r="J21" s="1">
        <v>1140</v>
      </c>
      <c r="K21" s="1">
        <f t="shared" si="3"/>
        <v>495</v>
      </c>
      <c r="M21" s="1"/>
      <c r="N21" s="1">
        <v>1370</v>
      </c>
      <c r="O21" s="1">
        <f t="shared" si="4"/>
        <v>513</v>
      </c>
      <c r="Q21" t="s">
        <v>175</v>
      </c>
      <c r="R21">
        <v>0</v>
      </c>
      <c r="S21">
        <f>R21</f>
        <v>0</v>
      </c>
      <c r="V21">
        <v>2460</v>
      </c>
      <c r="W21">
        <f t="shared" si="5"/>
        <v>430</v>
      </c>
    </row>
    <row r="22" spans="3:23" x14ac:dyDescent="0.25">
      <c r="C22" s="1" t="s">
        <v>42</v>
      </c>
      <c r="D22" s="1">
        <v>0</v>
      </c>
      <c r="E22" s="1">
        <f>COUNTIF(K19:K44,"&gt;0")+COUNTIF(O19:O44,"&gt;0")-E20-E19-E21+COUNTIF(S18:S30,"&gt;0")+COUNTIF(W18:W30,"&gt;0")</f>
        <v>23</v>
      </c>
      <c r="F22" s="6">
        <f t="shared" si="1"/>
        <v>0.3108108108108108</v>
      </c>
      <c r="G22" s="6">
        <f t="shared" si="2"/>
        <v>0</v>
      </c>
      <c r="I22" s="1"/>
      <c r="J22" s="1">
        <v>1650</v>
      </c>
      <c r="K22" s="1">
        <f t="shared" si="3"/>
        <v>510</v>
      </c>
      <c r="M22" s="1"/>
      <c r="N22" s="1">
        <v>1750</v>
      </c>
      <c r="O22" s="1">
        <f t="shared" si="4"/>
        <v>380</v>
      </c>
      <c r="Q22" t="s">
        <v>176</v>
      </c>
      <c r="R22">
        <v>303</v>
      </c>
      <c r="S22">
        <f>R22-R21</f>
        <v>303</v>
      </c>
      <c r="V22">
        <v>3020</v>
      </c>
      <c r="W22">
        <f t="shared" si="5"/>
        <v>560</v>
      </c>
    </row>
    <row r="23" spans="3:23" x14ac:dyDescent="0.25">
      <c r="C23" s="1"/>
      <c r="D23" s="1" t="s">
        <v>45</v>
      </c>
      <c r="E23" s="1">
        <f>SUM(E19:E22)</f>
        <v>74</v>
      </c>
      <c r="F23" s="1"/>
      <c r="G23" s="6">
        <f>SUM(G19:G22)</f>
        <v>2.6081081081081083</v>
      </c>
      <c r="I23" s="1"/>
      <c r="J23" s="1">
        <v>2460</v>
      </c>
      <c r="K23" s="1">
        <f t="shared" si="3"/>
        <v>810</v>
      </c>
      <c r="M23" s="1"/>
      <c r="N23" s="1">
        <v>2080</v>
      </c>
      <c r="O23" s="1">
        <f t="shared" si="4"/>
        <v>330</v>
      </c>
      <c r="R23">
        <v>652</v>
      </c>
      <c r="S23">
        <f t="shared" ref="S23:S30" si="6">R23-R22</f>
        <v>349</v>
      </c>
      <c r="V23">
        <v>3680</v>
      </c>
      <c r="W23">
        <f t="shared" si="5"/>
        <v>660</v>
      </c>
    </row>
    <row r="24" spans="3:23" x14ac:dyDescent="0.25">
      <c r="I24" s="1"/>
      <c r="J24" s="1">
        <v>2840</v>
      </c>
      <c r="K24" s="1">
        <f t="shared" si="3"/>
        <v>380</v>
      </c>
      <c r="M24" s="1"/>
      <c r="N24" s="1">
        <v>2620</v>
      </c>
      <c r="O24" s="1">
        <f t="shared" si="4"/>
        <v>540</v>
      </c>
      <c r="R24">
        <v>1080</v>
      </c>
      <c r="S24">
        <f t="shared" si="6"/>
        <v>428</v>
      </c>
      <c r="V24">
        <v>4050</v>
      </c>
      <c r="W24">
        <f t="shared" si="5"/>
        <v>370</v>
      </c>
    </row>
    <row r="25" spans="3:23" x14ac:dyDescent="0.25">
      <c r="E25">
        <f>COUNTIF(K19:K44,"&gt;600")+COUNTIF(O19:O44,"&gt;600")</f>
        <v>6</v>
      </c>
      <c r="I25" s="1"/>
      <c r="J25" s="1">
        <v>3380</v>
      </c>
      <c r="K25" s="1">
        <f t="shared" si="3"/>
        <v>540</v>
      </c>
      <c r="M25" s="1"/>
      <c r="N25" s="1">
        <v>3170</v>
      </c>
      <c r="O25" s="1">
        <f t="shared" si="4"/>
        <v>550</v>
      </c>
      <c r="R25">
        <v>1450</v>
      </c>
      <c r="S25">
        <f t="shared" si="6"/>
        <v>370</v>
      </c>
      <c r="V25">
        <v>4480</v>
      </c>
      <c r="W25">
        <f t="shared" si="5"/>
        <v>430</v>
      </c>
    </row>
    <row r="26" spans="3:23" x14ac:dyDescent="0.25">
      <c r="I26" s="1"/>
      <c r="J26" s="1">
        <v>3850</v>
      </c>
      <c r="K26" s="1">
        <f t="shared" si="3"/>
        <v>470</v>
      </c>
      <c r="M26" s="1"/>
      <c r="N26" s="1">
        <v>3810</v>
      </c>
      <c r="O26" s="1">
        <f t="shared" si="4"/>
        <v>640</v>
      </c>
      <c r="R26">
        <v>2110</v>
      </c>
      <c r="S26">
        <f t="shared" si="6"/>
        <v>660</v>
      </c>
      <c r="V26">
        <v>4830</v>
      </c>
      <c r="W26">
        <f t="shared" si="5"/>
        <v>350</v>
      </c>
    </row>
    <row r="27" spans="3:23" x14ac:dyDescent="0.25">
      <c r="I27" s="1"/>
      <c r="J27" s="1">
        <v>4360</v>
      </c>
      <c r="K27" s="1">
        <f t="shared" si="3"/>
        <v>510</v>
      </c>
      <c r="M27" s="1"/>
      <c r="N27" s="1">
        <v>4180</v>
      </c>
      <c r="O27" s="1">
        <f t="shared" si="4"/>
        <v>370</v>
      </c>
      <c r="R27">
        <v>2680</v>
      </c>
      <c r="S27">
        <f t="shared" si="6"/>
        <v>570</v>
      </c>
      <c r="U27" t="s">
        <v>175</v>
      </c>
      <c r="V27">
        <v>5140</v>
      </c>
      <c r="W27">
        <f t="shared" si="5"/>
        <v>310</v>
      </c>
    </row>
    <row r="28" spans="3:23" x14ac:dyDescent="0.25">
      <c r="I28" s="1"/>
      <c r="J28" s="1">
        <v>4630</v>
      </c>
      <c r="K28" s="1">
        <f t="shared" si="3"/>
        <v>270</v>
      </c>
      <c r="M28" s="1"/>
      <c r="N28" s="1">
        <v>4720</v>
      </c>
      <c r="O28" s="1">
        <f t="shared" si="4"/>
        <v>540</v>
      </c>
      <c r="R28">
        <v>3100</v>
      </c>
      <c r="S28">
        <f t="shared" si="6"/>
        <v>420</v>
      </c>
      <c r="U28" t="s">
        <v>178</v>
      </c>
      <c r="V28">
        <v>0</v>
      </c>
      <c r="W28">
        <f>V28</f>
        <v>0</v>
      </c>
    </row>
    <row r="29" spans="3:23" x14ac:dyDescent="0.25">
      <c r="I29" s="1"/>
      <c r="J29" s="1">
        <v>5050</v>
      </c>
      <c r="K29" s="1">
        <f t="shared" si="3"/>
        <v>420</v>
      </c>
      <c r="M29" s="1"/>
      <c r="N29" s="1">
        <v>5180</v>
      </c>
      <c r="O29" s="1">
        <f t="shared" si="4"/>
        <v>460</v>
      </c>
      <c r="R29">
        <v>4510</v>
      </c>
      <c r="S29">
        <f t="shared" si="6"/>
        <v>1410</v>
      </c>
      <c r="U29" t="s">
        <v>173</v>
      </c>
      <c r="V29">
        <v>595</v>
      </c>
      <c r="W29">
        <f>V29-V28</f>
        <v>595</v>
      </c>
    </row>
    <row r="30" spans="3:23" x14ac:dyDescent="0.25">
      <c r="I30" s="1"/>
      <c r="J30" s="1">
        <v>5670</v>
      </c>
      <c r="K30" s="1">
        <f t="shared" si="3"/>
        <v>620</v>
      </c>
      <c r="M30" s="1"/>
      <c r="N30" s="1">
        <v>5570</v>
      </c>
      <c r="O30" s="1">
        <f t="shared" si="4"/>
        <v>390</v>
      </c>
      <c r="R30">
        <v>5150</v>
      </c>
      <c r="S30">
        <f t="shared" si="6"/>
        <v>640</v>
      </c>
      <c r="U30" t="s">
        <v>172</v>
      </c>
      <c r="V30">
        <v>960</v>
      </c>
      <c r="W30">
        <f>V30-V29</f>
        <v>365</v>
      </c>
    </row>
    <row r="31" spans="3:23" x14ac:dyDescent="0.25">
      <c r="I31" s="1"/>
      <c r="J31" s="1">
        <v>6250</v>
      </c>
      <c r="K31" s="1">
        <f t="shared" si="3"/>
        <v>580</v>
      </c>
      <c r="M31" s="1"/>
      <c r="N31" s="1">
        <v>6020</v>
      </c>
      <c r="O31" s="1">
        <f t="shared" si="4"/>
        <v>450</v>
      </c>
    </row>
    <row r="32" spans="3:23" x14ac:dyDescent="0.25">
      <c r="I32" s="1"/>
      <c r="J32" s="1">
        <v>6710</v>
      </c>
      <c r="K32" s="1">
        <f t="shared" si="3"/>
        <v>460</v>
      </c>
      <c r="M32" s="1"/>
      <c r="N32" s="1">
        <v>6730</v>
      </c>
      <c r="O32" s="1">
        <f t="shared" si="4"/>
        <v>710</v>
      </c>
    </row>
    <row r="33" spans="3:18" x14ac:dyDescent="0.25">
      <c r="I33" s="1"/>
      <c r="J33" s="1">
        <v>7110</v>
      </c>
      <c r="K33" s="1">
        <f t="shared" si="3"/>
        <v>400</v>
      </c>
      <c r="M33" s="1"/>
      <c r="N33" s="1">
        <v>7220</v>
      </c>
      <c r="O33" s="1">
        <f t="shared" si="4"/>
        <v>490</v>
      </c>
    </row>
    <row r="34" spans="3:18" x14ac:dyDescent="0.25">
      <c r="I34" s="1"/>
      <c r="J34" s="1">
        <v>7580</v>
      </c>
      <c r="K34" s="1">
        <f t="shared" si="3"/>
        <v>470</v>
      </c>
      <c r="M34" s="1"/>
      <c r="N34" s="1">
        <v>7640</v>
      </c>
      <c r="O34" s="1">
        <f t="shared" si="4"/>
        <v>420</v>
      </c>
    </row>
    <row r="35" spans="3:18" x14ac:dyDescent="0.25">
      <c r="I35" s="1"/>
      <c r="J35" s="1">
        <v>8050</v>
      </c>
      <c r="K35" s="1">
        <f t="shared" si="3"/>
        <v>470</v>
      </c>
      <c r="M35" s="1"/>
      <c r="N35" s="1">
        <v>7990</v>
      </c>
      <c r="O35" s="1">
        <f t="shared" si="4"/>
        <v>350</v>
      </c>
    </row>
    <row r="36" spans="3:18" x14ac:dyDescent="0.25">
      <c r="I36" s="1"/>
      <c r="J36" s="1">
        <v>8580</v>
      </c>
      <c r="K36" s="1">
        <f t="shared" si="3"/>
        <v>530</v>
      </c>
      <c r="M36" s="1"/>
      <c r="N36" s="1">
        <v>8420</v>
      </c>
      <c r="O36" s="1">
        <f t="shared" si="4"/>
        <v>430</v>
      </c>
    </row>
    <row r="37" spans="3:18" x14ac:dyDescent="0.25">
      <c r="I37" s="1"/>
      <c r="J37" s="1">
        <v>9030</v>
      </c>
      <c r="K37" s="1">
        <f t="shared" si="3"/>
        <v>450</v>
      </c>
      <c r="M37" s="1"/>
      <c r="N37" s="1">
        <v>8880</v>
      </c>
      <c r="O37" s="1">
        <f t="shared" si="4"/>
        <v>460</v>
      </c>
    </row>
    <row r="38" spans="3:18" x14ac:dyDescent="0.25">
      <c r="I38" s="1"/>
      <c r="J38" s="1">
        <v>9680</v>
      </c>
      <c r="K38" s="1">
        <f t="shared" si="3"/>
        <v>650</v>
      </c>
      <c r="M38" s="1"/>
      <c r="N38" s="1">
        <v>9440</v>
      </c>
      <c r="O38" s="1">
        <f t="shared" si="4"/>
        <v>560</v>
      </c>
    </row>
    <row r="39" spans="3:18" x14ac:dyDescent="0.25">
      <c r="I39" s="1"/>
      <c r="J39" s="1">
        <v>10210</v>
      </c>
      <c r="K39" s="1">
        <f t="shared" si="3"/>
        <v>530</v>
      </c>
      <c r="M39" s="1"/>
      <c r="N39" s="1">
        <v>9750</v>
      </c>
      <c r="O39" s="1">
        <f t="shared" si="4"/>
        <v>310</v>
      </c>
    </row>
    <row r="40" spans="3:18" x14ac:dyDescent="0.25">
      <c r="I40" s="1"/>
      <c r="J40" s="1">
        <v>10540</v>
      </c>
      <c r="K40" s="1">
        <f t="shared" si="3"/>
        <v>330</v>
      </c>
      <c r="M40" s="1"/>
      <c r="N40" s="1">
        <v>10570</v>
      </c>
      <c r="O40" s="1">
        <f t="shared" si="4"/>
        <v>820</v>
      </c>
    </row>
    <row r="41" spans="3:18" x14ac:dyDescent="0.25">
      <c r="I41" s="1"/>
      <c r="J41" s="1">
        <v>10920</v>
      </c>
      <c r="K41" s="1">
        <f t="shared" si="3"/>
        <v>380</v>
      </c>
      <c r="M41" s="1"/>
      <c r="N41" s="1">
        <v>11140</v>
      </c>
      <c r="O41" s="1">
        <f t="shared" si="4"/>
        <v>570</v>
      </c>
    </row>
    <row r="42" spans="3:18" x14ac:dyDescent="0.25">
      <c r="I42" s="1"/>
      <c r="J42" s="1">
        <v>11420</v>
      </c>
      <c r="K42" s="1">
        <f t="shared" si="3"/>
        <v>500</v>
      </c>
      <c r="M42" s="1"/>
      <c r="N42" s="1">
        <v>11640</v>
      </c>
      <c r="O42" s="1">
        <f t="shared" si="4"/>
        <v>500</v>
      </c>
    </row>
    <row r="43" spans="3:18" x14ac:dyDescent="0.25">
      <c r="I43" s="1"/>
      <c r="J43" s="1">
        <v>11780</v>
      </c>
      <c r="K43" s="1">
        <f t="shared" si="3"/>
        <v>360</v>
      </c>
      <c r="M43" s="1"/>
      <c r="N43" s="1">
        <v>12110</v>
      </c>
      <c r="O43" s="1">
        <f t="shared" si="4"/>
        <v>470</v>
      </c>
    </row>
    <row r="44" spans="3:18" x14ac:dyDescent="0.25">
      <c r="I44" s="1"/>
      <c r="J44" s="1">
        <v>12280</v>
      </c>
      <c r="K44" s="1">
        <f t="shared" si="3"/>
        <v>500</v>
      </c>
      <c r="M44" s="1"/>
      <c r="N44" s="1">
        <v>12280</v>
      </c>
      <c r="O44" s="1">
        <f t="shared" si="4"/>
        <v>170</v>
      </c>
      <c r="R44">
        <f>J44+N44+R30+R20+V27+V30</f>
        <v>36777</v>
      </c>
    </row>
    <row r="45" spans="3:18" x14ac:dyDescent="0.25">
      <c r="R45">
        <f>R44/1000</f>
        <v>36.777000000000001</v>
      </c>
    </row>
    <row r="47" spans="3:18" x14ac:dyDescent="0.25">
      <c r="C47" s="4" t="s">
        <v>4</v>
      </c>
      <c r="D47" s="1" t="s">
        <v>51</v>
      </c>
      <c r="E47" s="1" t="s">
        <v>44</v>
      </c>
      <c r="F47" s="1" t="s">
        <v>56</v>
      </c>
      <c r="G47" s="1" t="s">
        <v>31</v>
      </c>
      <c r="I47" t="s">
        <v>133</v>
      </c>
      <c r="J47" t="s">
        <v>131</v>
      </c>
      <c r="K47" t="s">
        <v>132</v>
      </c>
    </row>
    <row r="48" spans="3:18" x14ac:dyDescent="0.25">
      <c r="C48" s="1" t="s">
        <v>46</v>
      </c>
      <c r="D48" s="1">
        <v>3</v>
      </c>
      <c r="E48" s="1">
        <f>25+9</f>
        <v>34</v>
      </c>
      <c r="F48" s="1">
        <f>E48/R45</f>
        <v>0.92449085025967315</v>
      </c>
      <c r="G48" s="1">
        <f>-4*F48+4</f>
        <v>0.30203659896130741</v>
      </c>
      <c r="I48">
        <v>43</v>
      </c>
      <c r="J48">
        <v>14</v>
      </c>
      <c r="K48">
        <f>((I48/2)^2+J48^2)/(2*J48)</f>
        <v>23.508928571428573</v>
      </c>
    </row>
    <row r="49" spans="3:10" x14ac:dyDescent="0.25">
      <c r="C49" s="1" t="s">
        <v>47</v>
      </c>
      <c r="D49" s="1">
        <v>2</v>
      </c>
      <c r="F49" s="1"/>
      <c r="G49" s="1"/>
    </row>
    <row r="50" spans="3:10" x14ac:dyDescent="0.25">
      <c r="C50" s="1" t="s">
        <v>48</v>
      </c>
      <c r="D50" s="1">
        <v>1</v>
      </c>
      <c r="E50" s="1"/>
      <c r="F50" s="1"/>
      <c r="G50" s="1"/>
      <c r="I50" t="s">
        <v>162</v>
      </c>
    </row>
    <row r="51" spans="3:10" x14ac:dyDescent="0.25">
      <c r="C51" s="1" t="s">
        <v>49</v>
      </c>
      <c r="D51" s="1">
        <v>0</v>
      </c>
      <c r="E51" s="1"/>
      <c r="F51" s="1"/>
      <c r="G51" s="1"/>
    </row>
    <row r="52" spans="3:10" x14ac:dyDescent="0.25">
      <c r="F52" s="1" t="s">
        <v>52</v>
      </c>
      <c r="G52" s="1">
        <f>SUM(G48:G51)</f>
        <v>0.30203659896130741</v>
      </c>
      <c r="J52" s="5"/>
    </row>
    <row r="54" spans="3:10" x14ac:dyDescent="0.25">
      <c r="C54" s="8" t="s">
        <v>5</v>
      </c>
      <c r="D54" s="1" t="s">
        <v>51</v>
      </c>
      <c r="E54" s="1" t="s">
        <v>44</v>
      </c>
      <c r="F54" s="1" t="s">
        <v>32</v>
      </c>
      <c r="G54" s="1" t="s">
        <v>31</v>
      </c>
    </row>
    <row r="55" spans="3:10" ht="30" x14ac:dyDescent="0.25">
      <c r="C55" s="2" t="s">
        <v>153</v>
      </c>
      <c r="D55" s="1">
        <v>3</v>
      </c>
      <c r="E55" s="1">
        <v>38</v>
      </c>
      <c r="F55" s="1">
        <f>E55/SUM(E55:E56)</f>
        <v>0.71698113207547165</v>
      </c>
      <c r="G55" s="1">
        <f>D55*F55</f>
        <v>2.1509433962264151</v>
      </c>
    </row>
    <row r="56" spans="3:10" ht="30" x14ac:dyDescent="0.25">
      <c r="C56" s="2" t="s">
        <v>50</v>
      </c>
      <c r="D56" s="1">
        <v>0</v>
      </c>
      <c r="E56" s="1">
        <v>15</v>
      </c>
      <c r="F56" s="1">
        <f>E56/SUM(E55:E56)</f>
        <v>0.28301886792452829</v>
      </c>
      <c r="G56" s="1">
        <f>D56*F56</f>
        <v>0</v>
      </c>
    </row>
    <row r="57" spans="3:10" x14ac:dyDescent="0.25">
      <c r="F57" s="1" t="s">
        <v>45</v>
      </c>
      <c r="G57" s="1">
        <f>SUM(G55:G56)</f>
        <v>2.1509433962264151</v>
      </c>
    </row>
    <row r="59" spans="3:10" x14ac:dyDescent="0.25">
      <c r="C59" s="8" t="s">
        <v>6</v>
      </c>
      <c r="D59" s="1" t="s">
        <v>51</v>
      </c>
      <c r="E59" s="1" t="s">
        <v>44</v>
      </c>
      <c r="F59" s="1" t="s">
        <v>57</v>
      </c>
      <c r="G59" s="1" t="s">
        <v>31</v>
      </c>
    </row>
    <row r="60" spans="3:10" x14ac:dyDescent="0.25">
      <c r="C60" s="1" t="s">
        <v>53</v>
      </c>
      <c r="D60" s="1">
        <v>2</v>
      </c>
      <c r="E60" s="1"/>
      <c r="F60" s="1"/>
      <c r="G60" s="1">
        <v>0</v>
      </c>
    </row>
    <row r="61" spans="3:10" x14ac:dyDescent="0.25">
      <c r="C61" s="1" t="s">
        <v>54</v>
      </c>
      <c r="D61" s="1">
        <v>1</v>
      </c>
      <c r="E61" s="1"/>
      <c r="F61" s="1"/>
      <c r="G61" s="1">
        <v>1</v>
      </c>
    </row>
    <row r="62" spans="3:10" x14ac:dyDescent="0.25">
      <c r="C62" s="1" t="s">
        <v>55</v>
      </c>
      <c r="D62" s="1">
        <v>0</v>
      </c>
      <c r="E62" s="1"/>
      <c r="F62" s="1"/>
      <c r="G62" s="1">
        <v>0</v>
      </c>
    </row>
    <row r="63" spans="3:10" x14ac:dyDescent="0.25">
      <c r="F63" s="1" t="s">
        <v>52</v>
      </c>
      <c r="G63" s="1">
        <f>SUM(G60:G62)</f>
        <v>1</v>
      </c>
    </row>
    <row r="65" spans="3:7" x14ac:dyDescent="0.25">
      <c r="C65" s="1" t="s">
        <v>58</v>
      </c>
      <c r="D65" s="1" t="s">
        <v>51</v>
      </c>
      <c r="E65" s="1" t="s">
        <v>44</v>
      </c>
      <c r="F65" s="1" t="s">
        <v>57</v>
      </c>
      <c r="G65" s="1" t="s">
        <v>31</v>
      </c>
    </row>
    <row r="66" spans="3:7" x14ac:dyDescent="0.25">
      <c r="C66" s="1" t="s">
        <v>59</v>
      </c>
      <c r="D66" s="1">
        <v>1</v>
      </c>
      <c r="E66" s="1">
        <v>0</v>
      </c>
      <c r="F66" s="1"/>
      <c r="G66" s="1">
        <f>D66*F66</f>
        <v>0</v>
      </c>
    </row>
    <row r="67" spans="3:7" x14ac:dyDescent="0.25">
      <c r="C67" s="8" t="s">
        <v>60</v>
      </c>
      <c r="D67" s="1">
        <v>1</v>
      </c>
      <c r="E67" s="1">
        <f>15+12</f>
        <v>27</v>
      </c>
      <c r="F67" s="1">
        <f>E67/69</f>
        <v>0.39130434782608697</v>
      </c>
      <c r="G67" s="1">
        <f>D67*F67</f>
        <v>0.39130434782608697</v>
      </c>
    </row>
    <row r="68" spans="3:7" x14ac:dyDescent="0.25">
      <c r="F68" s="7" t="s">
        <v>52</v>
      </c>
      <c r="G68" s="7">
        <f>SUM(G66:G67)</f>
        <v>0.39130434782608697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X109"/>
  <sheetViews>
    <sheetView topLeftCell="A75" zoomScaleNormal="100" workbookViewId="0">
      <selection activeCell="J92" sqref="J92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7" max="7" width="12.7109375" bestFit="1" customWidth="1"/>
    <col min="9" max="9" width="18.28515625" customWidth="1"/>
    <col min="10" max="10" width="11.85546875" customWidth="1"/>
    <col min="11" max="11" width="13.7109375" customWidth="1"/>
    <col min="12" max="12" width="10" customWidth="1"/>
    <col min="14" max="14" width="10.5703125" customWidth="1"/>
    <col min="15" max="15" width="17" customWidth="1"/>
    <col min="16" max="16" width="11.140625" customWidth="1"/>
    <col min="17" max="17" width="13.140625" customWidth="1"/>
  </cols>
  <sheetData>
    <row r="3" spans="3:24" x14ac:dyDescent="0.25">
      <c r="I3" t="s">
        <v>163</v>
      </c>
      <c r="O3" t="s">
        <v>165</v>
      </c>
    </row>
    <row r="4" spans="3:24" x14ac:dyDescent="0.25">
      <c r="C4" s="1" t="s">
        <v>14</v>
      </c>
      <c r="D4" s="1" t="s">
        <v>51</v>
      </c>
      <c r="E4" s="1" t="s">
        <v>44</v>
      </c>
      <c r="F4" s="1" t="s">
        <v>72</v>
      </c>
      <c r="G4" s="1" t="s">
        <v>31</v>
      </c>
      <c r="I4" t="s">
        <v>154</v>
      </c>
      <c r="J4" t="s">
        <v>151</v>
      </c>
      <c r="K4" t="s">
        <v>134</v>
      </c>
      <c r="L4" t="s">
        <v>135</v>
      </c>
      <c r="M4" t="s">
        <v>139</v>
      </c>
      <c r="O4" t="s">
        <v>154</v>
      </c>
      <c r="P4" t="s">
        <v>151</v>
      </c>
      <c r="Q4" t="s">
        <v>134</v>
      </c>
      <c r="R4" t="s">
        <v>135</v>
      </c>
      <c r="S4" t="s">
        <v>139</v>
      </c>
    </row>
    <row r="5" spans="3:24" ht="45" x14ac:dyDescent="0.25">
      <c r="C5" s="2" t="s">
        <v>73</v>
      </c>
      <c r="D5" s="1">
        <v>8</v>
      </c>
      <c r="E5" s="1">
        <f>SUMIF(K5:K35,"*Fysisk*",M5:M35)+SUMIF(Q5:Q33,"*Fysisk*",S5:S33)</f>
        <v>34610</v>
      </c>
      <c r="F5" s="6">
        <f>E5/SUM(E5:E8)</f>
        <v>0.96045511308450116</v>
      </c>
      <c r="G5" s="1">
        <f>F5*D5</f>
        <v>7.6836409046760092</v>
      </c>
      <c r="J5" t="s">
        <v>164</v>
      </c>
      <c r="K5" t="s">
        <v>138</v>
      </c>
      <c r="L5">
        <v>2530</v>
      </c>
      <c r="M5">
        <f>L5</f>
        <v>2530</v>
      </c>
      <c r="P5" t="s">
        <v>164</v>
      </c>
      <c r="Q5" t="s">
        <v>138</v>
      </c>
      <c r="R5">
        <v>9490</v>
      </c>
      <c r="S5">
        <f>R5</f>
        <v>9490</v>
      </c>
      <c r="V5" t="s">
        <v>138</v>
      </c>
      <c r="W5">
        <f>SUM(M5,M7,M9,M11,S5,S7,S9,S11)</f>
        <v>23370</v>
      </c>
    </row>
    <row r="6" spans="3:24" ht="45" x14ac:dyDescent="0.25">
      <c r="C6" s="2" t="s">
        <v>74</v>
      </c>
      <c r="D6" s="1">
        <v>6</v>
      </c>
      <c r="E6" s="1">
        <f>SUMIF(K5:K35,"*Visuell*",M5:M35)+SUMIF(Q5:Q33,"*Visuell*",S5:S33)</f>
        <v>0</v>
      </c>
      <c r="F6" s="6">
        <f>E6/SUM(E5:E8)</f>
        <v>0</v>
      </c>
      <c r="G6" s="1">
        <f t="shared" ref="G6:G8" si="0">F6*D6</f>
        <v>0</v>
      </c>
      <c r="K6" t="s">
        <v>76</v>
      </c>
      <c r="L6">
        <v>2570</v>
      </c>
      <c r="M6">
        <f>L6-L5</f>
        <v>40</v>
      </c>
      <c r="Q6" t="s">
        <v>76</v>
      </c>
      <c r="R6">
        <v>9750</v>
      </c>
      <c r="S6">
        <f>R6-R5</f>
        <v>260</v>
      </c>
      <c r="V6" t="s">
        <v>187</v>
      </c>
      <c r="W6">
        <f>SUM(M6,M8,M10,S6,S8,S10)</f>
        <v>1230</v>
      </c>
    </row>
    <row r="7" spans="3:24" x14ac:dyDescent="0.25">
      <c r="C7" s="2" t="s">
        <v>75</v>
      </c>
      <c r="D7" s="1">
        <v>4</v>
      </c>
      <c r="E7" s="1">
        <f>SUMIF(K5:K35,"*linje*",M5:M35)+SUMIF(Q5:Q33,"*linje*",S5:S33)</f>
        <v>0</v>
      </c>
      <c r="F7" s="6">
        <f>E7/SUM(E5:E8)</f>
        <v>0</v>
      </c>
      <c r="G7" s="1">
        <f t="shared" si="0"/>
        <v>0</v>
      </c>
      <c r="J7" t="s">
        <v>164</v>
      </c>
      <c r="K7" t="s">
        <v>138</v>
      </c>
      <c r="L7">
        <v>2770</v>
      </c>
      <c r="M7">
        <f t="shared" ref="M7:M11" si="1">L7-L6</f>
        <v>200</v>
      </c>
      <c r="P7" t="s">
        <v>164</v>
      </c>
      <c r="Q7" t="s">
        <v>138</v>
      </c>
      <c r="R7">
        <v>9950</v>
      </c>
      <c r="S7">
        <f t="shared" ref="S7:S11" si="2">R7-R6</f>
        <v>200</v>
      </c>
      <c r="W7">
        <f>W6+W5</f>
        <v>24600</v>
      </c>
      <c r="X7">
        <f>W5/SUM(W5:W6)</f>
        <v>0.95</v>
      </c>
    </row>
    <row r="8" spans="3:24" x14ac:dyDescent="0.25">
      <c r="C8" s="1" t="s">
        <v>76</v>
      </c>
      <c r="D8" s="1">
        <v>0</v>
      </c>
      <c r="E8" s="1">
        <f>SUMIF(K5:K35,"*Blandtrafik*",M5:M35)+SUMIF(Q5:Q33,"*Blandtrafik*",S5:S33)</f>
        <v>1425</v>
      </c>
      <c r="F8" s="6">
        <f>E8/SUM(E5:E8)</f>
        <v>3.9544886915498824E-2</v>
      </c>
      <c r="G8" s="1">
        <f t="shared" si="0"/>
        <v>0</v>
      </c>
      <c r="K8" t="s">
        <v>76</v>
      </c>
      <c r="L8">
        <v>2810</v>
      </c>
      <c r="M8">
        <f t="shared" si="1"/>
        <v>40</v>
      </c>
      <c r="Q8" t="s">
        <v>76</v>
      </c>
      <c r="R8">
        <v>10030</v>
      </c>
      <c r="S8">
        <f t="shared" si="2"/>
        <v>80</v>
      </c>
    </row>
    <row r="9" spans="3:24" x14ac:dyDescent="0.25">
      <c r="D9" s="1" t="s">
        <v>143</v>
      </c>
      <c r="E9" s="1">
        <f>SUM(E5:E8)</f>
        <v>36035</v>
      </c>
      <c r="F9" s="7" t="s">
        <v>38</v>
      </c>
      <c r="G9" s="10">
        <f>SUM(G5:G8)</f>
        <v>7.6836409046760092</v>
      </c>
      <c r="J9" t="s">
        <v>164</v>
      </c>
      <c r="K9" t="s">
        <v>138</v>
      </c>
      <c r="L9">
        <v>8130</v>
      </c>
      <c r="M9">
        <f t="shared" si="1"/>
        <v>5320</v>
      </c>
      <c r="P9" t="s">
        <v>164</v>
      </c>
      <c r="Q9" t="s">
        <v>138</v>
      </c>
      <c r="R9">
        <v>10680</v>
      </c>
      <c r="S9">
        <f t="shared" si="2"/>
        <v>650</v>
      </c>
    </row>
    <row r="10" spans="3:24" x14ac:dyDescent="0.25">
      <c r="K10" t="s">
        <v>76</v>
      </c>
      <c r="L10">
        <v>8700</v>
      </c>
      <c r="M10">
        <f t="shared" si="1"/>
        <v>570</v>
      </c>
      <c r="Q10" t="s">
        <v>76</v>
      </c>
      <c r="R10">
        <v>10920</v>
      </c>
      <c r="S10">
        <f t="shared" si="2"/>
        <v>240</v>
      </c>
    </row>
    <row r="11" spans="3:24" x14ac:dyDescent="0.25">
      <c r="E11">
        <f>K35+P33</f>
        <v>0</v>
      </c>
      <c r="J11" t="s">
        <v>164</v>
      </c>
      <c r="K11" t="s">
        <v>138</v>
      </c>
      <c r="L11">
        <v>12300</v>
      </c>
      <c r="M11">
        <f t="shared" si="1"/>
        <v>3600</v>
      </c>
      <c r="P11" t="s">
        <v>164</v>
      </c>
      <c r="Q11" t="s">
        <v>138</v>
      </c>
      <c r="R11">
        <v>12300</v>
      </c>
      <c r="S11">
        <f t="shared" si="2"/>
        <v>1380</v>
      </c>
    </row>
    <row r="12" spans="3:24" x14ac:dyDescent="0.25">
      <c r="E12">
        <f>SUM(E5:E8)</f>
        <v>36035</v>
      </c>
    </row>
    <row r="13" spans="3:24" x14ac:dyDescent="0.25">
      <c r="I13" t="s">
        <v>179</v>
      </c>
      <c r="O13" t="s">
        <v>180</v>
      </c>
    </row>
    <row r="14" spans="3:24" x14ac:dyDescent="0.25">
      <c r="E14" t="s">
        <v>76</v>
      </c>
      <c r="I14" t="s">
        <v>154</v>
      </c>
      <c r="J14" t="s">
        <v>151</v>
      </c>
      <c r="K14" t="s">
        <v>134</v>
      </c>
      <c r="L14" t="s">
        <v>135</v>
      </c>
      <c r="M14" t="s">
        <v>139</v>
      </c>
      <c r="O14" t="s">
        <v>154</v>
      </c>
      <c r="P14" t="s">
        <v>151</v>
      </c>
      <c r="Q14" t="s">
        <v>134</v>
      </c>
      <c r="R14" t="s">
        <v>135</v>
      </c>
      <c r="S14" t="s">
        <v>139</v>
      </c>
      <c r="V14" t="s">
        <v>138</v>
      </c>
      <c r="W14">
        <f>SUM(M15,M17,S15,S17)</f>
        <v>11240</v>
      </c>
    </row>
    <row r="15" spans="3:24" x14ac:dyDescent="0.25">
      <c r="E15" s="9" t="s">
        <v>136</v>
      </c>
      <c r="J15" t="s">
        <v>164</v>
      </c>
      <c r="K15" t="s">
        <v>138</v>
      </c>
      <c r="L15">
        <v>590</v>
      </c>
      <c r="M15">
        <f>L15</f>
        <v>590</v>
      </c>
      <c r="P15" t="s">
        <v>164</v>
      </c>
      <c r="Q15" t="s">
        <v>138</v>
      </c>
      <c r="R15">
        <v>5040</v>
      </c>
      <c r="S15">
        <f>R15</f>
        <v>5040</v>
      </c>
      <c r="V15" t="s">
        <v>187</v>
      </c>
      <c r="W15">
        <f>SUM(M16,S16)</f>
        <v>195</v>
      </c>
    </row>
    <row r="16" spans="3:24" x14ac:dyDescent="0.25">
      <c r="E16" t="s">
        <v>137</v>
      </c>
      <c r="K16" t="s">
        <v>76</v>
      </c>
      <c r="L16">
        <v>685</v>
      </c>
      <c r="M16">
        <f>L16-L15</f>
        <v>95</v>
      </c>
      <c r="Q16" t="s">
        <v>76</v>
      </c>
      <c r="R16">
        <v>100</v>
      </c>
      <c r="S16">
        <f>R16</f>
        <v>100</v>
      </c>
      <c r="W16">
        <f>SUM(W14+W15)</f>
        <v>11435</v>
      </c>
      <c r="X16">
        <f>W14/SUM(W14:W15)</f>
        <v>0.98294709226060339</v>
      </c>
    </row>
    <row r="17" spans="5:19" x14ac:dyDescent="0.25">
      <c r="E17" t="s">
        <v>138</v>
      </c>
      <c r="J17" t="s">
        <v>164</v>
      </c>
      <c r="K17" t="s">
        <v>138</v>
      </c>
      <c r="L17">
        <v>5050</v>
      </c>
      <c r="M17">
        <f>L17</f>
        <v>5050</v>
      </c>
      <c r="P17" t="s">
        <v>164</v>
      </c>
      <c r="Q17" t="s">
        <v>138</v>
      </c>
      <c r="R17">
        <v>660</v>
      </c>
      <c r="S17">
        <f t="shared" ref="S17" si="3">R17-R16</f>
        <v>560</v>
      </c>
    </row>
    <row r="33" spans="3:20" x14ac:dyDescent="0.25">
      <c r="O33" s="5"/>
    </row>
    <row r="34" spans="3:20" x14ac:dyDescent="0.25"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51</v>
      </c>
      <c r="E41" s="1" t="s">
        <v>44</v>
      </c>
      <c r="F41" s="1" t="s">
        <v>32</v>
      </c>
      <c r="G41" s="1" t="s">
        <v>79</v>
      </c>
    </row>
    <row r="42" spans="3:20" ht="49.5" customHeight="1" x14ac:dyDescent="0.25">
      <c r="C42" s="2" t="s">
        <v>77</v>
      </c>
      <c r="D42" s="1">
        <v>4</v>
      </c>
      <c r="E42" s="1">
        <v>1</v>
      </c>
      <c r="F42" s="6">
        <f>E42/(E42+E43)</f>
        <v>1</v>
      </c>
      <c r="G42" s="1">
        <f>F42*D42</f>
        <v>4</v>
      </c>
    </row>
    <row r="43" spans="3:20" ht="30" x14ac:dyDescent="0.25">
      <c r="C43" s="2" t="s">
        <v>78</v>
      </c>
      <c r="D43" s="1">
        <v>0</v>
      </c>
      <c r="E43" s="1"/>
      <c r="F43" s="6">
        <f>E43/(E42+E43)</f>
        <v>0</v>
      </c>
      <c r="G43" s="1">
        <f>F43*D43</f>
        <v>0</v>
      </c>
    </row>
    <row r="44" spans="3:20" x14ac:dyDescent="0.25">
      <c r="F44" s="1" t="s">
        <v>38</v>
      </c>
      <c r="G44" s="1">
        <f>SUM(G42:G43)</f>
        <v>4</v>
      </c>
    </row>
    <row r="45" spans="3:20" x14ac:dyDescent="0.25">
      <c r="J45" s="5"/>
      <c r="K45" s="5"/>
    </row>
    <row r="48" spans="3:20" x14ac:dyDescent="0.25">
      <c r="C48" s="1" t="s">
        <v>80</v>
      </c>
      <c r="D48" s="1" t="s">
        <v>51</v>
      </c>
      <c r="E48" s="1" t="s">
        <v>44</v>
      </c>
      <c r="F48" s="1" t="s">
        <v>32</v>
      </c>
      <c r="G48" s="1" t="s">
        <v>31</v>
      </c>
    </row>
    <row r="49" spans="3:7" x14ac:dyDescent="0.25">
      <c r="C49" s="1" t="s">
        <v>81</v>
      </c>
      <c r="D49" s="1">
        <v>3</v>
      </c>
      <c r="E49" s="1">
        <v>1</v>
      </c>
      <c r="F49" s="1">
        <v>1</v>
      </c>
      <c r="G49" s="1">
        <v>3</v>
      </c>
    </row>
    <row r="50" spans="3:7" x14ac:dyDescent="0.25">
      <c r="C50" s="1" t="s">
        <v>82</v>
      </c>
      <c r="D50" s="1">
        <v>0</v>
      </c>
      <c r="E50" s="1"/>
      <c r="F50" s="1">
        <v>0</v>
      </c>
      <c r="G50" s="1"/>
    </row>
    <row r="51" spans="3:7" x14ac:dyDescent="0.25">
      <c r="F51" s="7" t="s">
        <v>38</v>
      </c>
      <c r="G51" s="7">
        <f>SUM(G49:G50)</f>
        <v>3</v>
      </c>
    </row>
    <row r="54" spans="3:7" x14ac:dyDescent="0.25">
      <c r="C54" s="8" t="s">
        <v>83</v>
      </c>
      <c r="D54" s="1" t="s">
        <v>51</v>
      </c>
      <c r="E54" s="1" t="s">
        <v>44</v>
      </c>
      <c r="F54" s="1" t="s">
        <v>32</v>
      </c>
      <c r="G54" s="1" t="s">
        <v>31</v>
      </c>
    </row>
    <row r="55" spans="3:7" x14ac:dyDescent="0.25">
      <c r="C55" s="1" t="s">
        <v>84</v>
      </c>
      <c r="D55" s="1">
        <v>2</v>
      </c>
      <c r="E55" s="1">
        <f>21+16</f>
        <v>37</v>
      </c>
      <c r="F55" s="1">
        <f>E55/(SUM(E5:E7)/1000)</f>
        <v>1.069055186362323</v>
      </c>
      <c r="G55" s="1">
        <f>2-4*F55</f>
        <v>-2.276220745449292</v>
      </c>
    </row>
    <row r="56" spans="3:7" x14ac:dyDescent="0.25">
      <c r="C56" s="1" t="s">
        <v>85</v>
      </c>
      <c r="D56" s="1">
        <v>1</v>
      </c>
      <c r="E56" s="1"/>
      <c r="F56" s="1"/>
      <c r="G56" s="1">
        <f>D56*F56</f>
        <v>0</v>
      </c>
    </row>
    <row r="57" spans="3:7" x14ac:dyDescent="0.25">
      <c r="C57" s="1" t="s">
        <v>86</v>
      </c>
      <c r="D57" s="1">
        <v>0</v>
      </c>
      <c r="E57" s="1"/>
      <c r="F57" s="1"/>
      <c r="G57" s="1">
        <v>0</v>
      </c>
    </row>
    <row r="58" spans="3:7" x14ac:dyDescent="0.25">
      <c r="F58" s="7" t="s">
        <v>38</v>
      </c>
      <c r="G58" s="7">
        <v>0</v>
      </c>
    </row>
    <row r="61" spans="3:7" x14ac:dyDescent="0.25">
      <c r="C61" s="1" t="s">
        <v>87</v>
      </c>
      <c r="D61" s="1" t="s">
        <v>51</v>
      </c>
      <c r="E61" s="1" t="s">
        <v>44</v>
      </c>
      <c r="F61" s="1" t="s">
        <v>72</v>
      </c>
      <c r="G61" s="1" t="s">
        <v>31</v>
      </c>
    </row>
    <row r="62" spans="3:7" x14ac:dyDescent="0.25">
      <c r="C62" s="1" t="s">
        <v>84</v>
      </c>
      <c r="D62" s="1">
        <v>3</v>
      </c>
      <c r="E62" s="1">
        <v>11</v>
      </c>
      <c r="F62" s="6">
        <f>E62/(E9/1000)</f>
        <v>0.30525877618981551</v>
      </c>
      <c r="G62" s="1">
        <f>3-(3*F62)</f>
        <v>2.0842236714305535</v>
      </c>
    </row>
    <row r="63" spans="3:7" x14ac:dyDescent="0.25">
      <c r="C63" s="1" t="s">
        <v>88</v>
      </c>
      <c r="D63" s="1">
        <v>2</v>
      </c>
      <c r="E63" s="1"/>
      <c r="F63" s="6"/>
      <c r="G63" s="1">
        <f>D63*F63</f>
        <v>0</v>
      </c>
    </row>
    <row r="64" spans="3:7" x14ac:dyDescent="0.25">
      <c r="C64" s="1" t="s">
        <v>89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f>SUM(G62:G65)</f>
        <v>2.0842236714305535</v>
      </c>
    </row>
    <row r="68" spans="3:7" x14ac:dyDescent="0.25">
      <c r="C68" s="1" t="s">
        <v>90</v>
      </c>
      <c r="D68" s="1" t="s">
        <v>51</v>
      </c>
      <c r="E68" s="1" t="s">
        <v>44</v>
      </c>
      <c r="F68" s="1" t="s">
        <v>72</v>
      </c>
      <c r="G68" s="1" t="s">
        <v>31</v>
      </c>
    </row>
    <row r="69" spans="3:7" x14ac:dyDescent="0.25">
      <c r="C69" s="1" t="s">
        <v>84</v>
      </c>
      <c r="D69" s="1">
        <v>3</v>
      </c>
      <c r="E69" s="1"/>
      <c r="F69" s="6">
        <f>E69/(E9/1000)</f>
        <v>0</v>
      </c>
      <c r="G69" s="1">
        <f>3-(6*F69)</f>
        <v>3</v>
      </c>
    </row>
    <row r="70" spans="3:7" x14ac:dyDescent="0.25">
      <c r="C70" s="1" t="s">
        <v>91</v>
      </c>
      <c r="D70" s="1">
        <v>2</v>
      </c>
      <c r="E70" s="1"/>
      <c r="F70" s="6"/>
      <c r="G70" s="1"/>
    </row>
    <row r="71" spans="3:7" x14ac:dyDescent="0.25">
      <c r="C71" s="1" t="s">
        <v>92</v>
      </c>
      <c r="D71" s="1">
        <v>1</v>
      </c>
      <c r="E71" s="1"/>
      <c r="F71" s="6"/>
      <c r="G71" s="1"/>
    </row>
    <row r="72" spans="3:7" x14ac:dyDescent="0.25">
      <c r="C72" s="1" t="s">
        <v>93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f>SUM(G69:G72)</f>
        <v>3</v>
      </c>
    </row>
    <row r="76" spans="3:7" x14ac:dyDescent="0.25">
      <c r="C76" s="3" t="s">
        <v>94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95</v>
      </c>
      <c r="D77" s="1">
        <v>7</v>
      </c>
      <c r="E77" s="1"/>
      <c r="F77" s="1"/>
      <c r="G77" s="1">
        <v>7</v>
      </c>
    </row>
    <row r="78" spans="3:7" ht="30" x14ac:dyDescent="0.25">
      <c r="C78" s="2" t="s">
        <v>96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f>SUM(G77:G78)</f>
        <v>7</v>
      </c>
    </row>
    <row r="82" spans="3:7" x14ac:dyDescent="0.25">
      <c r="C82" s="8" t="s">
        <v>97</v>
      </c>
      <c r="D82" s="1" t="s">
        <v>51</v>
      </c>
      <c r="E82" s="1" t="s">
        <v>44</v>
      </c>
      <c r="F82" s="1" t="s">
        <v>72</v>
      </c>
      <c r="G82" s="1" t="s">
        <v>31</v>
      </c>
    </row>
    <row r="83" spans="3:7" x14ac:dyDescent="0.25">
      <c r="C83" s="1" t="s">
        <v>98</v>
      </c>
      <c r="D83" s="1">
        <v>3</v>
      </c>
      <c r="E83" s="1"/>
      <c r="F83" s="6">
        <f>E83/(SUM(E5:E7)/1000)</f>
        <v>0</v>
      </c>
      <c r="G83" s="1">
        <f>3-1.5*F83</f>
        <v>3</v>
      </c>
    </row>
    <row r="84" spans="3:7" x14ac:dyDescent="0.25">
      <c r="C84" s="1" t="s">
        <v>99</v>
      </c>
      <c r="D84" s="1">
        <v>2</v>
      </c>
      <c r="E84" s="1"/>
      <c r="F84" s="6"/>
      <c r="G84" s="1"/>
    </row>
    <row r="85" spans="3:7" x14ac:dyDescent="0.25">
      <c r="C85" s="1" t="s">
        <v>100</v>
      </c>
      <c r="D85" s="1">
        <v>1</v>
      </c>
      <c r="E85" s="1"/>
      <c r="F85" s="6"/>
      <c r="G85" s="1"/>
    </row>
    <row r="86" spans="3:7" x14ac:dyDescent="0.25">
      <c r="C86" s="1" t="s">
        <v>101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>
        <f>SUM(G83:G86)</f>
        <v>3</v>
      </c>
    </row>
    <row r="88" spans="3:7" x14ac:dyDescent="0.25">
      <c r="C88" t="s">
        <v>152</v>
      </c>
    </row>
    <row r="96" spans="3:7" x14ac:dyDescent="0.25">
      <c r="C96" s="1" t="s">
        <v>102</v>
      </c>
      <c r="D96" s="1" t="s">
        <v>51</v>
      </c>
      <c r="E96" s="1" t="s">
        <v>44</v>
      </c>
      <c r="F96" s="1" t="s">
        <v>72</v>
      </c>
      <c r="G96" s="1" t="s">
        <v>31</v>
      </c>
    </row>
    <row r="97" spans="3:9" ht="90" x14ac:dyDescent="0.25">
      <c r="C97" s="2" t="s">
        <v>103</v>
      </c>
      <c r="D97" s="1">
        <v>10</v>
      </c>
      <c r="E97" s="1">
        <v>1</v>
      </c>
      <c r="F97" s="6">
        <f>E97/SUM(E97:E100)</f>
        <v>1</v>
      </c>
      <c r="G97" s="1">
        <f>D97*F97</f>
        <v>10</v>
      </c>
      <c r="H97" t="s">
        <v>127</v>
      </c>
      <c r="I97" t="s">
        <v>219</v>
      </c>
    </row>
    <row r="98" spans="3:9" ht="60" x14ac:dyDescent="0.25">
      <c r="C98" s="2" t="s">
        <v>104</v>
      </c>
      <c r="D98" s="1">
        <v>8</v>
      </c>
      <c r="E98" s="1">
        <v>0</v>
      </c>
      <c r="F98" s="6">
        <f>E98/SUM(E97:E100)</f>
        <v>0</v>
      </c>
      <c r="G98" s="1">
        <f>D98*F98</f>
        <v>0</v>
      </c>
      <c r="H98" t="s">
        <v>125</v>
      </c>
    </row>
    <row r="99" spans="3:9" x14ac:dyDescent="0.25">
      <c r="C99" s="1" t="s">
        <v>105</v>
      </c>
      <c r="D99" s="1">
        <v>5</v>
      </c>
      <c r="E99" s="1">
        <v>0</v>
      </c>
      <c r="F99" s="6">
        <f>E99/SUM(E97:E100)</f>
        <v>0</v>
      </c>
      <c r="G99" s="1">
        <f>D99*F99</f>
        <v>0</v>
      </c>
      <c r="H99" t="s">
        <v>126</v>
      </c>
    </row>
    <row r="100" spans="3:9" ht="45" x14ac:dyDescent="0.25">
      <c r="C100" s="2" t="s">
        <v>106</v>
      </c>
      <c r="D100" s="1">
        <v>0</v>
      </c>
      <c r="E100" s="1">
        <v>0</v>
      </c>
      <c r="F100" s="6">
        <f>E100/SUM(E97:E100)</f>
        <v>0</v>
      </c>
      <c r="G100" s="1">
        <f>D100*F100</f>
        <v>0</v>
      </c>
    </row>
    <row r="101" spans="3:9" x14ac:dyDescent="0.25">
      <c r="F101" s="7" t="s">
        <v>38</v>
      </c>
      <c r="G101" s="10">
        <f>SUM(G97:G100)</f>
        <v>10</v>
      </c>
    </row>
    <row r="104" spans="3:9" x14ac:dyDescent="0.25">
      <c r="C104" s="1" t="s">
        <v>107</v>
      </c>
      <c r="D104" s="1" t="s">
        <v>51</v>
      </c>
      <c r="E104" s="1" t="s">
        <v>44</v>
      </c>
      <c r="F104" s="1" t="s">
        <v>72</v>
      </c>
      <c r="G104" s="1" t="s">
        <v>31</v>
      </c>
    </row>
    <row r="105" spans="3:9" ht="60" x14ac:dyDescent="0.25">
      <c r="C105" s="2" t="s">
        <v>108</v>
      </c>
      <c r="D105" s="1">
        <v>3</v>
      </c>
      <c r="E105" s="6">
        <v>6</v>
      </c>
      <c r="F105" s="6">
        <f>E105/SUM(E105:E108)</f>
        <v>8.6956521739130432E-2</v>
      </c>
      <c r="G105" s="1">
        <f>D105*F105</f>
        <v>0.2608695652173913</v>
      </c>
    </row>
    <row r="106" spans="3:9" ht="45" x14ac:dyDescent="0.25">
      <c r="C106" s="2" t="s">
        <v>109</v>
      </c>
      <c r="D106" s="1">
        <v>2</v>
      </c>
      <c r="E106" s="6">
        <v>61</v>
      </c>
      <c r="F106" s="6">
        <f>E106/SUM(E105:E108)</f>
        <v>0.88405797101449279</v>
      </c>
      <c r="G106" s="1">
        <f t="shared" ref="G106:G108" si="4">D106*F106</f>
        <v>1.7681159420289856</v>
      </c>
    </row>
    <row r="107" spans="3:9" ht="45" x14ac:dyDescent="0.25">
      <c r="C107" s="2" t="s">
        <v>110</v>
      </c>
      <c r="D107" s="1">
        <v>1</v>
      </c>
      <c r="E107" s="6">
        <v>2</v>
      </c>
      <c r="F107" s="6">
        <f>E107/SUM(E105:E108)</f>
        <v>2.8985507246376812E-2</v>
      </c>
      <c r="G107" s="1">
        <f t="shared" si="4"/>
        <v>2.8985507246376812E-2</v>
      </c>
    </row>
    <row r="108" spans="3:9" x14ac:dyDescent="0.25">
      <c r="C108" s="1" t="s">
        <v>111</v>
      </c>
      <c r="D108" s="1">
        <v>0</v>
      </c>
      <c r="E108" s="6">
        <v>0</v>
      </c>
      <c r="F108" s="6">
        <f>E108/SUM(E105:E108)</f>
        <v>0</v>
      </c>
      <c r="G108" s="1">
        <f t="shared" si="4"/>
        <v>0</v>
      </c>
    </row>
    <row r="109" spans="3:9" x14ac:dyDescent="0.25">
      <c r="E109" s="7" t="s">
        <v>38</v>
      </c>
      <c r="F109" s="1">
        <f>SUM(F105:F108)</f>
        <v>1</v>
      </c>
      <c r="G109" s="10">
        <f>SUM(G105:G108)</f>
        <v>2.0579710144927539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workbookViewId="0">
      <selection activeCell="K9" sqref="K9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64</v>
      </c>
      <c r="D4" s="1" t="s">
        <v>51</v>
      </c>
      <c r="E4" s="1" t="s">
        <v>32</v>
      </c>
      <c r="F4" s="1" t="s">
        <v>31</v>
      </c>
    </row>
    <row r="5" spans="3:7" ht="30" x14ac:dyDescent="0.25">
      <c r="C5" s="2" t="s">
        <v>62</v>
      </c>
      <c r="D5" s="1">
        <v>2</v>
      </c>
      <c r="E5" s="1">
        <v>1</v>
      </c>
      <c r="F5" s="1">
        <v>2</v>
      </c>
      <c r="G5" t="s">
        <v>217</v>
      </c>
    </row>
    <row r="6" spans="3:7" ht="60" x14ac:dyDescent="0.25">
      <c r="C6" s="2" t="s">
        <v>63</v>
      </c>
      <c r="D6" s="1">
        <v>2</v>
      </c>
      <c r="E6" s="1">
        <v>1</v>
      </c>
      <c r="F6" s="1">
        <v>2</v>
      </c>
      <c r="G6" t="s">
        <v>218</v>
      </c>
    </row>
    <row r="7" spans="3:7" x14ac:dyDescent="0.25">
      <c r="E7" s="1" t="s">
        <v>38</v>
      </c>
      <c r="F7" s="1">
        <f>SUM(F5:F6)</f>
        <v>4</v>
      </c>
    </row>
    <row r="9" spans="3:7" x14ac:dyDescent="0.25">
      <c r="C9" s="1" t="s">
        <v>10</v>
      </c>
      <c r="D9" s="1" t="s">
        <v>51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65</v>
      </c>
      <c r="D10" s="1">
        <v>2</v>
      </c>
      <c r="E10" s="1"/>
      <c r="F10" s="1"/>
      <c r="G10" s="1">
        <v>2</v>
      </c>
    </row>
    <row r="11" spans="3:7" ht="30" x14ac:dyDescent="0.25">
      <c r="C11" s="2" t="s">
        <v>66</v>
      </c>
      <c r="D11" s="1">
        <v>2</v>
      </c>
      <c r="E11" s="1"/>
      <c r="F11" s="1" t="s">
        <v>67</v>
      </c>
      <c r="G11" s="1">
        <v>2</v>
      </c>
    </row>
    <row r="12" spans="3:7" x14ac:dyDescent="0.25">
      <c r="F12" s="1" t="s">
        <v>38</v>
      </c>
      <c r="G12" s="1">
        <f>SUM(G10:G11)</f>
        <v>4</v>
      </c>
    </row>
    <row r="14" spans="3:7" x14ac:dyDescent="0.25">
      <c r="C14" s="1" t="s">
        <v>68</v>
      </c>
      <c r="D14" s="1" t="s">
        <v>51</v>
      </c>
      <c r="E14" s="1" t="s">
        <v>32</v>
      </c>
      <c r="F14" s="1" t="s">
        <v>31</v>
      </c>
    </row>
    <row r="15" spans="3:7" x14ac:dyDescent="0.25">
      <c r="C15" s="1" t="s">
        <v>69</v>
      </c>
      <c r="D15" s="1">
        <v>9</v>
      </c>
      <c r="E15" s="1" t="s">
        <v>67</v>
      </c>
      <c r="F15" s="1">
        <v>9</v>
      </c>
    </row>
    <row r="16" spans="3:7" x14ac:dyDescent="0.25">
      <c r="C16" s="1" t="s">
        <v>70</v>
      </c>
      <c r="D16" s="1">
        <v>1</v>
      </c>
      <c r="E16" s="1" t="s">
        <v>67</v>
      </c>
      <c r="F16" s="1"/>
    </row>
    <row r="17" spans="3:6" x14ac:dyDescent="0.25">
      <c r="E17" s="1" t="s">
        <v>38</v>
      </c>
      <c r="F17" s="1">
        <f>SUM(F15:F16)</f>
        <v>9</v>
      </c>
    </row>
    <row r="19" spans="3:6" x14ac:dyDescent="0.25">
      <c r="C19" s="3" t="s">
        <v>12</v>
      </c>
      <c r="D19" s="1" t="s">
        <v>51</v>
      </c>
      <c r="E19" s="1" t="s">
        <v>32</v>
      </c>
      <c r="F19" s="1" t="s">
        <v>31</v>
      </c>
    </row>
    <row r="20" spans="3:6" ht="30" x14ac:dyDescent="0.25">
      <c r="C20" s="2" t="s">
        <v>71</v>
      </c>
      <c r="D20" s="1">
        <v>2</v>
      </c>
      <c r="E20" s="1">
        <v>1</v>
      </c>
      <c r="F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R29"/>
  <sheetViews>
    <sheetView workbookViewId="0">
      <selection activeCell="G34" sqref="G34"/>
    </sheetView>
  </sheetViews>
  <sheetFormatPr defaultRowHeight="15" x14ac:dyDescent="0.25"/>
  <cols>
    <col min="3" max="3" width="58" customWidth="1"/>
  </cols>
  <sheetData>
    <row r="4" spans="3:18" x14ac:dyDescent="0.25">
      <c r="C4" s="1" t="s">
        <v>140</v>
      </c>
      <c r="D4" s="1" t="s">
        <v>51</v>
      </c>
      <c r="E4" s="1" t="s">
        <v>32</v>
      </c>
      <c r="F4" s="1" t="s">
        <v>31</v>
      </c>
      <c r="H4" t="s">
        <v>166</v>
      </c>
    </row>
    <row r="5" spans="3:18" x14ac:dyDescent="0.25">
      <c r="C5" s="1" t="s">
        <v>112</v>
      </c>
      <c r="D5" s="1">
        <v>4</v>
      </c>
      <c r="E5" s="1">
        <f>P24</f>
        <v>0.65283751907867349</v>
      </c>
      <c r="F5" s="1">
        <f>D5*E5</f>
        <v>2.611350076314694</v>
      </c>
    </row>
    <row r="6" spans="3:18" x14ac:dyDescent="0.25">
      <c r="C6" s="1" t="s">
        <v>113</v>
      </c>
      <c r="D6" s="1">
        <v>3</v>
      </c>
      <c r="E6" s="1">
        <v>0</v>
      </c>
      <c r="F6" s="1">
        <f>D6*E6</f>
        <v>0</v>
      </c>
    </row>
    <row r="7" spans="3:18" x14ac:dyDescent="0.25">
      <c r="C7" s="1" t="s">
        <v>114</v>
      </c>
      <c r="D7" s="1">
        <v>0</v>
      </c>
      <c r="E7" s="1">
        <v>0</v>
      </c>
      <c r="F7" s="1">
        <v>0</v>
      </c>
    </row>
    <row r="8" spans="3:18" x14ac:dyDescent="0.25">
      <c r="E8" s="7" t="s">
        <v>38</v>
      </c>
      <c r="F8" s="7">
        <f>SUM(F5:F7)</f>
        <v>2.611350076314694</v>
      </c>
      <c r="M8" t="s">
        <v>181</v>
      </c>
    </row>
    <row r="9" spans="3:18" x14ac:dyDescent="0.25">
      <c r="M9" t="s">
        <v>183</v>
      </c>
      <c r="N9" t="s">
        <v>184</v>
      </c>
    </row>
    <row r="10" spans="3:18" x14ac:dyDescent="0.25">
      <c r="M10">
        <v>700</v>
      </c>
      <c r="N10">
        <v>12</v>
      </c>
      <c r="Q10">
        <v>4770</v>
      </c>
      <c r="R10">
        <v>12</v>
      </c>
    </row>
    <row r="11" spans="3:18" x14ac:dyDescent="0.25">
      <c r="C11" s="1" t="s">
        <v>141</v>
      </c>
      <c r="D11" s="1" t="s">
        <v>51</v>
      </c>
      <c r="E11" s="1" t="s">
        <v>32</v>
      </c>
      <c r="F11" s="1" t="s">
        <v>31</v>
      </c>
      <c r="M11" s="28"/>
      <c r="N11" s="28"/>
      <c r="O11" s="28"/>
      <c r="P11" s="30"/>
      <c r="Q11" s="30"/>
      <c r="R11" s="30"/>
    </row>
    <row r="12" spans="3:18" x14ac:dyDescent="0.25">
      <c r="C12" s="1" t="s">
        <v>115</v>
      </c>
      <c r="D12" s="1">
        <v>4</v>
      </c>
      <c r="E12" s="1">
        <f>P24</f>
        <v>0.65283751907867349</v>
      </c>
      <c r="F12" s="1">
        <f>E12*D12</f>
        <v>2.611350076314694</v>
      </c>
      <c r="H12" t="s">
        <v>167</v>
      </c>
      <c r="O12" s="29"/>
      <c r="P12" s="29"/>
    </row>
    <row r="13" spans="3:18" x14ac:dyDescent="0.25">
      <c r="C13" s="1" t="s">
        <v>116</v>
      </c>
      <c r="D13" s="1">
        <v>3</v>
      </c>
      <c r="E13" s="1">
        <v>0</v>
      </c>
      <c r="F13" s="1"/>
      <c r="O13" s="29"/>
      <c r="P13" s="29"/>
    </row>
    <row r="14" spans="3:18" x14ac:dyDescent="0.25">
      <c r="C14" s="1" t="s">
        <v>117</v>
      </c>
      <c r="D14" s="1">
        <v>0</v>
      </c>
      <c r="E14" s="1">
        <v>0</v>
      </c>
      <c r="F14" s="1">
        <v>0</v>
      </c>
      <c r="O14" s="29"/>
      <c r="P14" s="29"/>
    </row>
    <row r="15" spans="3:18" x14ac:dyDescent="0.25">
      <c r="E15" s="7" t="s">
        <v>38</v>
      </c>
      <c r="F15" s="7">
        <f>SUM(F12:F14)</f>
        <v>2.611350076314694</v>
      </c>
      <c r="M15">
        <f>P22-M10-Q10-Q20-M20</f>
        <v>23525</v>
      </c>
      <c r="N15">
        <v>6</v>
      </c>
      <c r="O15" s="29"/>
      <c r="P15" s="29"/>
    </row>
    <row r="16" spans="3:18" x14ac:dyDescent="0.25">
      <c r="O16" s="29"/>
      <c r="P16" s="29"/>
    </row>
    <row r="17" spans="3:18" x14ac:dyDescent="0.25">
      <c r="O17" s="29"/>
      <c r="P17" s="29"/>
    </row>
    <row r="18" spans="3:18" x14ac:dyDescent="0.25">
      <c r="C18" s="1" t="s">
        <v>118</v>
      </c>
      <c r="D18" s="1" t="s">
        <v>51</v>
      </c>
      <c r="E18" s="1" t="s">
        <v>32</v>
      </c>
      <c r="F18" s="1" t="s">
        <v>31</v>
      </c>
      <c r="O18" s="29"/>
      <c r="P18" s="29"/>
    </row>
    <row r="19" spans="3:18" x14ac:dyDescent="0.25">
      <c r="C19" s="1" t="s">
        <v>119</v>
      </c>
      <c r="D19" s="1">
        <v>3</v>
      </c>
      <c r="E19" s="1">
        <v>0</v>
      </c>
      <c r="F19" s="1">
        <v>3</v>
      </c>
      <c r="M19" s="28"/>
      <c r="N19" s="28"/>
      <c r="O19" s="28"/>
      <c r="P19" s="30"/>
      <c r="Q19" s="30"/>
      <c r="R19" s="30"/>
    </row>
    <row r="20" spans="3:18" x14ac:dyDescent="0.25">
      <c r="C20" s="1" t="s">
        <v>120</v>
      </c>
      <c r="D20" s="1">
        <v>2</v>
      </c>
      <c r="E20" s="1">
        <v>0</v>
      </c>
      <c r="F20" s="1">
        <v>0</v>
      </c>
      <c r="M20">
        <v>5040</v>
      </c>
      <c r="N20">
        <v>12</v>
      </c>
      <c r="Q20">
        <v>2000</v>
      </c>
      <c r="R20">
        <v>12</v>
      </c>
    </row>
    <row r="21" spans="3:18" x14ac:dyDescent="0.25">
      <c r="C21" s="1" t="s">
        <v>121</v>
      </c>
      <c r="D21" s="1">
        <v>0</v>
      </c>
      <c r="E21" s="1">
        <v>0</v>
      </c>
      <c r="F21" s="1">
        <v>0</v>
      </c>
    </row>
    <row r="22" spans="3:18" x14ac:dyDescent="0.25">
      <c r="E22" s="7" t="s">
        <v>38</v>
      </c>
      <c r="F22" s="7">
        <f>SUM(F19:F21)</f>
        <v>3</v>
      </c>
      <c r="M22" t="s">
        <v>182</v>
      </c>
      <c r="P22">
        <f>'Kollektivtrafikens infrastruktu'!E9</f>
        <v>36035</v>
      </c>
    </row>
    <row r="24" spans="3:18" x14ac:dyDescent="0.25">
      <c r="M24" t="s">
        <v>185</v>
      </c>
      <c r="P24">
        <f>M15/P22</f>
        <v>0.65283751907867349</v>
      </c>
    </row>
    <row r="25" spans="3:18" x14ac:dyDescent="0.25">
      <c r="C25" s="1" t="s">
        <v>122</v>
      </c>
      <c r="D25" s="1" t="s">
        <v>51</v>
      </c>
      <c r="E25" s="1" t="s">
        <v>32</v>
      </c>
      <c r="F25" s="1" t="s">
        <v>31</v>
      </c>
    </row>
    <row r="26" spans="3:18" x14ac:dyDescent="0.25">
      <c r="C26" s="1" t="s">
        <v>120</v>
      </c>
      <c r="D26" s="1">
        <v>3</v>
      </c>
      <c r="E26" s="1">
        <v>0</v>
      </c>
      <c r="F26" s="1"/>
    </row>
    <row r="27" spans="3:18" x14ac:dyDescent="0.25">
      <c r="C27" s="1" t="s">
        <v>123</v>
      </c>
      <c r="D27" s="1">
        <v>2</v>
      </c>
      <c r="E27" s="1">
        <v>0</v>
      </c>
      <c r="F27" s="1">
        <v>2</v>
      </c>
    </row>
    <row r="28" spans="3:18" x14ac:dyDescent="0.25">
      <c r="C28" s="1" t="s">
        <v>124</v>
      </c>
      <c r="D28" s="1">
        <v>0</v>
      </c>
      <c r="E28" s="1">
        <v>0</v>
      </c>
      <c r="F28" s="1">
        <v>0</v>
      </c>
    </row>
    <row r="29" spans="3:18" x14ac:dyDescent="0.25">
      <c r="E29" s="7" t="s">
        <v>38</v>
      </c>
      <c r="F29" s="7">
        <f>SUM(F26:F28)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2024-05-29T08:36:09Z</dcterms:modified>
</cp:coreProperties>
</file>