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023" documentId="11_AD4D7A0C205A6B9A452FA844A794D2E6693EDF1F" xr6:coauthVersionLast="47" xr6:coauthVersionMax="47" xr10:uidLastSave="{DA8FAC24-9343-4C24-8077-A4E0997B832C}"/>
  <bookViews>
    <workbookView xWindow="-120" yWindow="-120" windowWidth="29040" windowHeight="15720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E68" i="1" s="1"/>
  <c r="D68" i="1"/>
  <c r="F67" i="1"/>
  <c r="D67" i="1"/>
  <c r="E67" i="1" s="1"/>
  <c r="F66" i="1"/>
  <c r="E66" i="1"/>
  <c r="D66" i="1"/>
  <c r="F65" i="1"/>
  <c r="F64" i="1"/>
  <c r="E64" i="1"/>
  <c r="D64" i="1"/>
  <c r="F63" i="1"/>
  <c r="E63" i="1" s="1"/>
  <c r="D63" i="1"/>
  <c r="F62" i="1"/>
  <c r="E62" i="1" s="1"/>
  <c r="D62" i="1"/>
  <c r="F61" i="1"/>
  <c r="E61" i="1" s="1"/>
  <c r="D61" i="1"/>
  <c r="F60" i="1"/>
  <c r="E60" i="1"/>
  <c r="D60" i="1"/>
  <c r="F59" i="1"/>
  <c r="D59" i="1"/>
  <c r="E59" i="1" s="1"/>
  <c r="F58" i="1"/>
  <c r="E58" i="1"/>
  <c r="D58" i="1"/>
  <c r="F57" i="1"/>
  <c r="E57" i="1" s="1"/>
  <c r="D57" i="1"/>
  <c r="F56" i="1"/>
  <c r="E56" i="1"/>
  <c r="D56" i="1"/>
  <c r="F55" i="1"/>
  <c r="E55" i="1" s="1"/>
  <c r="D55" i="1"/>
  <c r="F54" i="1"/>
  <c r="E54" i="1" s="1"/>
  <c r="D54" i="1"/>
  <c r="F53" i="1"/>
  <c r="E53" i="1" s="1"/>
  <c r="D53" i="1"/>
  <c r="F52" i="1"/>
  <c r="E52" i="1"/>
  <c r="D52" i="1"/>
  <c r="F51" i="1"/>
  <c r="D51" i="1"/>
  <c r="E51" i="1" s="1"/>
  <c r="F50" i="1"/>
  <c r="E50" i="1"/>
  <c r="D50" i="1"/>
  <c r="F49" i="1"/>
  <c r="E49" i="1" s="1"/>
  <c r="D49" i="1"/>
  <c r="F48" i="1"/>
  <c r="E48" i="1"/>
  <c r="D48" i="1"/>
  <c r="F47" i="1"/>
  <c r="E47" i="1" s="1"/>
  <c r="D47" i="1"/>
  <c r="F46" i="1"/>
  <c r="E46" i="1" s="1"/>
  <c r="D46" i="1"/>
  <c r="F45" i="1"/>
  <c r="E45" i="1" s="1"/>
  <c r="D45" i="1"/>
  <c r="F44" i="1"/>
  <c r="E44" i="1"/>
  <c r="D44" i="1"/>
  <c r="F39" i="1"/>
  <c r="F32" i="1"/>
  <c r="F25" i="1"/>
  <c r="M12" i="1"/>
  <c r="M13" i="1"/>
  <c r="M14" i="1"/>
  <c r="M15" i="1"/>
  <c r="M16" i="1"/>
  <c r="M17" i="1"/>
  <c r="M7" i="1"/>
  <c r="M6" i="1"/>
  <c r="M5" i="1"/>
  <c r="E40" i="1"/>
  <c r="E39" i="1"/>
  <c r="E32" i="1"/>
  <c r="E25" i="1"/>
  <c r="E12" i="1"/>
  <c r="D5" i="1"/>
  <c r="D6" i="1"/>
  <c r="F7" i="2"/>
  <c r="K45" i="4"/>
  <c r="F83" i="4" s="1"/>
  <c r="J45" i="4"/>
  <c r="F55" i="4"/>
  <c r="D21" i="1"/>
  <c r="E58" i="2"/>
  <c r="F58" i="2" s="1"/>
  <c r="F59" i="2"/>
  <c r="G10" i="3"/>
  <c r="F43" i="4"/>
  <c r="G43" i="4" s="1"/>
  <c r="E11" i="4"/>
  <c r="G62" i="4" s="1"/>
  <c r="E8" i="4"/>
  <c r="E7" i="4"/>
  <c r="E6" i="4"/>
  <c r="E5" i="4"/>
  <c r="L45" i="4" l="1"/>
  <c r="F6" i="4"/>
  <c r="G6" i="4" s="1"/>
  <c r="F8" i="4"/>
  <c r="G8" i="4" s="1"/>
  <c r="F7" i="4"/>
  <c r="G7" i="4" s="1"/>
  <c r="G83" i="4"/>
  <c r="G69" i="4"/>
  <c r="E9" i="4"/>
  <c r="G55" i="4"/>
  <c r="G58" i="4" s="1"/>
  <c r="D18" i="1" s="1"/>
  <c r="E12" i="4"/>
  <c r="F5" i="4"/>
  <c r="G5" i="4" s="1"/>
  <c r="F42" i="4"/>
  <c r="G42" i="4" s="1"/>
  <c r="F108" i="4"/>
  <c r="G108" i="4" s="1"/>
  <c r="F107" i="4"/>
  <c r="G107" i="4" s="1"/>
  <c r="F106" i="4"/>
  <c r="G106" i="4" s="1"/>
  <c r="F105" i="4"/>
  <c r="G105" i="4" s="1"/>
  <c r="F100" i="4"/>
  <c r="F99" i="4"/>
  <c r="F98" i="4"/>
  <c r="F97" i="4"/>
  <c r="G59" i="2"/>
  <c r="G58" i="2"/>
  <c r="F48" i="2"/>
  <c r="G48" i="2" s="1"/>
  <c r="F47" i="2"/>
  <c r="G47" i="2" s="1"/>
  <c r="J42" i="2"/>
  <c r="K42" i="2" s="1"/>
  <c r="I42" i="2"/>
  <c r="K40" i="2"/>
  <c r="G60" i="2" l="1"/>
  <c r="D11" i="1" s="1"/>
  <c r="K20" i="2"/>
  <c r="K21" i="2"/>
  <c r="K22" i="2"/>
  <c r="K23" i="2"/>
  <c r="K24" i="2"/>
  <c r="K25" i="2"/>
  <c r="K26" i="2"/>
  <c r="K19" i="2"/>
  <c r="R11" i="2"/>
  <c r="J12" i="2"/>
  <c r="J13" i="2" s="1"/>
  <c r="G100" i="4"/>
  <c r="F29" i="5"/>
  <c r="D38" i="1" s="1"/>
  <c r="F22" i="5"/>
  <c r="D37" i="1" s="1"/>
  <c r="F15" i="5"/>
  <c r="D36" i="1" s="1"/>
  <c r="F8" i="5"/>
  <c r="D35" i="1" s="1"/>
  <c r="F109" i="4"/>
  <c r="G98" i="4"/>
  <c r="G99" i="4"/>
  <c r="G97" i="4"/>
  <c r="G73" i="4"/>
  <c r="D20" i="1" s="1"/>
  <c r="G65" i="4"/>
  <c r="G64" i="4"/>
  <c r="G63" i="4"/>
  <c r="G56" i="4"/>
  <c r="D31" i="1"/>
  <c r="G12" i="3"/>
  <c r="D29" i="1" s="1"/>
  <c r="F17" i="3"/>
  <c r="D30" i="1" s="1"/>
  <c r="F7" i="3"/>
  <c r="D28" i="1" s="1"/>
  <c r="G55" i="2"/>
  <c r="D10" i="1" s="1"/>
  <c r="G49" i="2"/>
  <c r="D9" i="1" s="1"/>
  <c r="G44" i="2"/>
  <c r="D8" i="1" s="1"/>
  <c r="D65" i="1" s="1"/>
  <c r="E65" i="1" s="1"/>
  <c r="F11" i="2"/>
  <c r="F12" i="2"/>
  <c r="F13" i="2"/>
  <c r="E19" i="2" l="1"/>
  <c r="E20" i="2" s="1"/>
  <c r="J14" i="2"/>
  <c r="J15" i="2" s="1"/>
  <c r="L16" i="2"/>
  <c r="D39" i="1"/>
  <c r="D32" i="1"/>
  <c r="G101" i="4"/>
  <c r="D23" i="1" s="1"/>
  <c r="G66" i="4"/>
  <c r="D19" i="1" s="1"/>
  <c r="F14" i="2" l="1"/>
  <c r="F10" i="2"/>
  <c r="E21" i="2"/>
  <c r="E22" i="2" s="1"/>
  <c r="G109" i="4"/>
  <c r="D24" i="1" s="1"/>
  <c r="G44" i="4"/>
  <c r="D16" i="1" s="1"/>
  <c r="G87" i="4"/>
  <c r="D22" i="1" s="1"/>
  <c r="E23" i="2" l="1"/>
  <c r="F21" i="2" s="1"/>
  <c r="G21" i="2" s="1"/>
  <c r="G51" i="4"/>
  <c r="D17" i="1" s="1"/>
  <c r="G9" i="4"/>
  <c r="D15" i="1" s="1"/>
  <c r="D25" i="1" s="1"/>
  <c r="F20" i="2" l="1"/>
  <c r="G20" i="2" s="1"/>
  <c r="F19" i="2"/>
  <c r="G19" i="2" s="1"/>
  <c r="F22" i="2"/>
  <c r="G22" i="2" s="1"/>
  <c r="G23" i="2" l="1"/>
  <c r="D7" i="1" s="1"/>
  <c r="D40" i="1" s="1"/>
  <c r="D12" i="1" l="1"/>
  <c r="M4" i="1" l="1"/>
  <c r="F12" i="1"/>
  <c r="M10" i="1"/>
  <c r="M11" i="1" s="1"/>
  <c r="N7" i="1" l="1"/>
  <c r="N5" i="1"/>
  <c r="N4" i="1"/>
  <c r="N6" i="1"/>
</calcChain>
</file>

<file path=xl/sharedStrings.xml><?xml version="1.0" encoding="utf-8"?>
<sst xmlns="http://schemas.openxmlformats.org/spreadsheetml/2006/main" count="351" uniqueCount="198">
  <si>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</si>
  <si>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</si>
  <si>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</si>
  <si>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</si>
  <si>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</si>
  <si>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</si>
  <si>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</si>
  <si>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</si>
  <si>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</si>
  <si>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</si>
  <si>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</si>
  <si>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</si>
  <si>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</si>
  <si>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</si>
  <si>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</si>
  <si>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</si>
  <si>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</si>
  <si>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</si>
  <si>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</si>
  <si>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</si>
  <si>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</si>
  <si>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</si>
  <si>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</si>
  <si>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</si>
  <si>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</si>
  <si>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</si>
  <si>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</si>
  <si>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</si>
  <si>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</si>
  <si>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</si>
  <si>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</si>
  <si>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</si>
  <si>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</si>
  <si>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</si>
  <si>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</si>
  <si>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</si>
  <si>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</si>
  <si>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</si>
  <si>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</si>
  <si>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</si>
  <si>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</si>
  <si>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</si>
  <si>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</si>
  <si>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</si>
  <si>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</si>
  <si>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</si>
  <si>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</si>
  <si>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</si>
  <si>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</si>
  <si>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</si>
  <si>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oförändrat eller kortare avstånd för fotgängare som kor-sar något av korsningens ben.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</si>
  <si>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</si>
  <si>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</si>
  <si>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</si>
  <si>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</si>
  <si>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</si>
  <si>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</si>
  <si>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</si>
  <si>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</si>
  <si>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</si>
  <si>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</si>
  <si>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</si>
  <si>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</si>
  <si>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</si>
  <si>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</si>
  <si>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</si>
  <si>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</si>
  <si>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</si>
  <si>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</si>
  <si>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</si>
  <si>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</si>
  <si>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</si>
  <si>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</si>
  <si>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</si>
  <si>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</si>
  <si>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</si>
  <si>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</si>
  <si>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</si>
  <si>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</si>
  <si>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</si>
  <si>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</si>
  <si>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</si>
  <si>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</si>
  <si>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</si>
  <si>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</si>
  <si>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</si>
  <si>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</si>
  <si>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</si>
  <si>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</si>
  <si>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</si>
  <si>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</si>
  <si>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</si>
  <si>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</si>
  <si>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</si>
  <si>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</si>
  <si>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</si>
  <si>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</si>
  <si>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</si>
  <si>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</si>
  <si>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</si>
  <si>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</si>
  <si>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</si>
  <si>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</si>
  <si>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Gäller endast där det är busskörfält, ej i blandtrafik. Så endast där valig trafik korsar ett busskörfält.</t>
  </si>
  <si>
    <t>Antal svängande trafik som körsar bussens väg</t>
  </si>
  <si>
    <t>Total längd busskörfält (km)</t>
  </si>
  <si>
    <t>per km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</si>
  <si>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</si>
  <si>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</si>
  <si>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</si>
  <si>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</si>
  <si>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</si>
  <si>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</si>
  <si>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</si>
  <si>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</si>
  <si>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</si>
  <si>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</si>
  <si>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</si>
  <si>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</si>
  <si>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</si>
  <si>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</si>
  <si>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</si>
  <si>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</si>
  <si>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</si>
  <si>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</si>
  <si>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</si>
  <si>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</si>
  <si>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</si>
  <si>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</si>
  <si>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</si>
  <si>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</si>
  <si>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</si>
  <si>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</si>
  <si>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</si>
  <si>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</si>
  <si>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</si>
  <si>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</si>
  <si>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</si>
  <si>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</si>
  <si>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</si>
  <si>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</si>
  <si>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Start Stenkällan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</si>
  <si>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</si>
  <si>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</si>
  <si>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</si>
  <si>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</si>
  <si>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</si>
  <si>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</si>
  <si>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Summering</t>
  </si>
  <si>
    <t>Avstånd tot</t>
  </si>
  <si>
    <t>Tot</t>
  </si>
  <si>
    <t>Enhet (km)</t>
  </si>
  <si>
    <t>Lund C - Lund Ess få</t>
  </si>
  <si>
    <t>Lund C - Lund Ess fa</t>
  </si>
  <si>
    <t>Lund C</t>
  </si>
  <si>
    <t>Univ.sjuk</t>
  </si>
  <si>
    <t>Korsningar utan signareglering, vad ska denna gå under</t>
  </si>
  <si>
    <t>Längd på sträckan</t>
  </si>
  <si>
    <t>10 minuters trafik</t>
  </si>
  <si>
    <t>20 minuters trafik</t>
  </si>
  <si>
    <t>Spårväg Lund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</si>
  <si>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</si>
  <si>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</si>
  <si>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</si>
  <si>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</si>
  <si>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</si>
  <si>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</si>
  <si>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</si>
  <si>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</si>
  <si>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</si>
  <si>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</si>
  <si>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</si>
  <si>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</si>
  <si>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</si>
  <si>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</si>
  <si>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</si>
  <si>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</si>
  <si>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</si>
  <si>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</si>
  <si>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</si>
  <si>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</si>
  <si>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</si>
  <si>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</si>
  <si>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</si>
  <si>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</si>
  <si>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</si>
  <si>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</si>
  <si>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</si>
  <si>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</si>
  <si>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</si>
  <si>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</si>
  <si>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</si>
  <si>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</si>
  <si>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</si>
  <si>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</si>
  <si>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Antas ha genomförts</t>
  </si>
  <si>
    <t>Är spårväg</t>
  </si>
  <si>
    <t>Urskiljer sig på linjekarta genom att spår är inritat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</si>
</sst>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0" fillId="0" borderId="2" xfId="0" applyBorder="1"/>
    <xf numFmtId="164" fontId="1" fillId="2" borderId="1" xfId="1" applyNumberFormat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4" fillId="0" borderId="1" xfId="0" applyFont="1" applyBorder="1"/>
    <xf numFmtId="0" fontId="1" fillId="2" borderId="1" xfId="1" applyBorder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C000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58219993048747E-2"/>
          <c:y val="2.0833333333333332E-2"/>
          <c:w val="0.52168402522635982"/>
          <c:h val="0.9537037037037037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2E-42B1-938A-407DF762B8B2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2E-42B1-938A-407DF762B8B2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2E-42B1-938A-407DF762B8B2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2E-42B1-938A-407DF762B8B2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2E-42B1-938A-407DF762B8B2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2E-42B1-938A-407DF762B8B2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2E-42B1-938A-407DF762B8B2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2E-42B1-938A-407DF762B8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15.193965517241377</c:v>
                </c:pt>
                <c:pt idx="1">
                  <c:v>4.8060344827586228</c:v>
                </c:pt>
                <c:pt idx="2">
                  <c:v>42.922297297297298</c:v>
                </c:pt>
                <c:pt idx="3">
                  <c:v>3.0777027027027017</c:v>
                </c:pt>
                <c:pt idx="4">
                  <c:v>17</c:v>
                </c:pt>
                <c:pt idx="5">
                  <c:v>3</c:v>
                </c:pt>
                <c:pt idx="6">
                  <c:v>12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42B1-938A-407DF762B8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Spårvägen</a:t>
            </a:r>
            <a:r>
              <a:rPr lang="sv-SE" baseline="0"/>
              <a:t> i Lund, 90,1 p</a:t>
            </a:r>
            <a:endParaRPr lang="sv-S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55444444444446E-2"/>
          <c:y val="0.12710007610350077"/>
          <c:w val="0.84448999999999996"/>
          <c:h val="0.8676267123287670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CAD-48F5-AD08-1943FB833BF3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CAD-48F5-AD08-1943FB833BF3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CAD-48F5-AD08-1943FB833BF3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CAD-48F5-AD08-1943FB833B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CAD-48F5-AD08-1943FB833BF3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CAD-48F5-AD08-1943FB833BF3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CAD-48F5-AD08-1943FB833BF3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CAD-48F5-AD08-1943FB833B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15.193965517241377</c:v>
                </c:pt>
                <c:pt idx="1">
                  <c:v>4.8060344827586228</c:v>
                </c:pt>
                <c:pt idx="2">
                  <c:v>42.922297297297298</c:v>
                </c:pt>
                <c:pt idx="3">
                  <c:v>3.0777027027027017</c:v>
                </c:pt>
                <c:pt idx="4">
                  <c:v>17</c:v>
                </c:pt>
                <c:pt idx="5">
                  <c:v>3</c:v>
                </c:pt>
                <c:pt idx="6">
                  <c:v>12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CAD-48F5-AD08-1943FB833B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0-4D40-99AE-82AC609F20C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630-4D40-99AE-82AC609F20C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630-4D40-99AE-82AC609F20C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630-4D40-99AE-82AC609F20CA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630-4D40-99AE-82AC609F20CA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630-4D40-99AE-82AC609F20CA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630-4D40-99AE-82AC609F20CA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630-4D40-99AE-82AC609F20C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630-4D40-99AE-82AC609F20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630-4D40-99AE-82AC609F20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630-4D40-99AE-82AC609F20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630-4D40-99AE-82AC609F20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630-4D40-99AE-82AC609F20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630-4D40-99AE-82AC609F20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630-4D40-99AE-82AC609F20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630-4D40-99AE-82AC609F20C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630-4D40-99AE-82AC609F20CA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630-4D40-99AE-82AC609F20CA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630-4D40-99AE-82AC609F20CA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630-4D40-99AE-82AC609F20CA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630-4D40-99AE-82AC609F20CA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630-4D40-99AE-82AC609F20CA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630-4D40-99AE-82AC609F20CA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630-4D40-99AE-82AC609F20CA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630-4D40-99AE-82AC609F20CA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2.625</c:v>
                </c:pt>
                <c:pt idx="9">
                  <c:v>10</c:v>
                </c:pt>
                <c:pt idx="10">
                  <c:v>1.8416988416988418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0.45559845559845558</c:v>
                </c:pt>
                <c:pt idx="15">
                  <c:v>3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4.125</c:v>
                </c:pt>
                <c:pt idx="23">
                  <c:v>2.0689655172413772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630-4D40-99AE-82AC609F20CA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A630-4D40-99AE-82AC609F20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A630-4D40-99AE-82AC609F20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A630-4D40-99AE-82AC609F20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A630-4D40-99AE-82AC609F20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A630-4D40-99AE-82AC609F20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A630-4D40-99AE-82AC609F20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A630-4D40-99AE-82AC609F20C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A630-4D40-99AE-82AC609F20C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A630-4D40-99AE-82AC609F20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A630-4D40-99AE-82AC609F20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A630-4D40-99AE-82AC609F20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A630-4D40-99AE-82AC609F20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A630-4D40-99AE-82AC609F20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A630-4D40-99AE-82AC609F20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A630-4D40-99AE-82AC609F20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A630-4D40-99AE-82AC609F20C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A630-4D40-99AE-82AC609F20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A630-4D40-99AE-82AC609F20C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A630-4D40-99AE-82AC609F20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A630-4D40-99AE-82AC609F20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A630-4D40-99AE-82AC609F20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A630-4D40-99AE-82AC609F20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A630-4D40-99AE-82AC609F20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A630-4D40-99AE-82AC609F20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A630-4D40-99AE-82AC609F20CA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0.375</c:v>
                </c:pt>
                <c:pt idx="9">
                  <c:v>0</c:v>
                </c:pt>
                <c:pt idx="10">
                  <c:v>1.1583011583011582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1.5444015444015444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0.875</c:v>
                </c:pt>
                <c:pt idx="23">
                  <c:v>0.93103448275862277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A630-4D40-99AE-82AC609F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185735</xdr:colOff>
      <xdr:row>5</xdr:row>
      <xdr:rowOff>147637</xdr:rowOff>
    </xdr:from>
    <xdr:to>
      <xdr:col>15</xdr:col>
      <xdr:colOff>394610</xdr:colOff>
      <xdr:row>17</xdr:row>
      <xdr:rowOff>21637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1D937DF-9B6D-CAD4-9D40-AF691A720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19</xdr:row>
      <xdr:rowOff>47625</xdr:rowOff>
    </xdr:from>
    <xdr:to>
      <xdr:col>11</xdr:col>
      <xdr:colOff>1595100</xdr:colOff>
      <xdr:row>32</xdr:row>
      <xdr:rowOff>163125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53C9B72-A1BC-4CF6-B21F-004D22354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42</xdr:row>
      <xdr:rowOff>28575</xdr:rowOff>
    </xdr:from>
    <xdr:to>
      <xdr:col>15</xdr:col>
      <xdr:colOff>238125</xdr:colOff>
      <xdr:row>68</xdr:row>
      <xdr:rowOff>47625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AA4154B-875F-CE38-C441-88403C9C2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26459</xdr:colOff>
      <xdr:row>46</xdr:row>
      <xdr:rowOff>61737</xdr:rowOff>
    </xdr:from>
    <xdr:to>
      <xdr:col>15</xdr:col>
      <xdr:colOff>564445</xdr:colOff>
      <xdr:row>62</xdr:row>
      <xdr:rowOff>157583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9A22EBE0-83EC-A0F5-6045-F51D26A21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4792" y="10362848"/>
          <a:ext cx="4250972" cy="320029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tabSelected="1" topLeftCell="B4" workbookViewId="0">
      <selection activeCell="H29" sqref="H29"/>
    </sheetView>
  </sheetViews>
  <sheetFormatPr defaultRowHeight="15" x14ac:dyDescent="0.25"/>
  <cols>
    <col min="3" max="3" width="39.28515625" customWidth="1"/>
    <col min="4" max="4" width="14.42578125" customWidth="1"/>
    <col min="12" max="12" width="32.140625" customWidth="1"/>
  </cols>
  <sheetData>
    <row r="2" spans="2:14" x14ac:dyDescent="0.25">
      <c r="C2" t="s">
        <v>160</v>
      </c>
    </row>
    <row r="3" spans="2:14" x14ac:dyDescent="0.25">
      <c r="B3" s="30" t="s">
        <v>0</v>
      </c>
      <c r="C3" s="31"/>
      <c r="D3" s="31"/>
      <c r="E3" s="32"/>
    </row>
    <row r="4" spans="2:14" x14ac:dyDescent="0.25">
      <c r="B4" s="14"/>
      <c r="C4" s="26" t="s">
        <v>161</v>
      </c>
      <c r="D4" s="26" t="s">
        <v>31</v>
      </c>
      <c r="E4" s="26" t="s">
        <v>162</v>
      </c>
      <c r="L4" t="s">
        <v>0</v>
      </c>
      <c r="M4" s="28">
        <f>D12</f>
        <v>15.193965517241377</v>
      </c>
      <c r="N4" s="5">
        <f>M4/SUM($M$4:$M$7)</f>
        <v>0.17441020799512172</v>
      </c>
    </row>
    <row r="5" spans="2:14" x14ac:dyDescent="0.25">
      <c r="B5" s="15"/>
      <c r="C5" t="s">
        <v>1</v>
      </c>
      <c r="D5" s="1">
        <f>'Stadens utformning'!F7</f>
        <v>2</v>
      </c>
      <c r="E5" s="1">
        <v>2</v>
      </c>
      <c r="L5" t="s">
        <v>13</v>
      </c>
      <c r="M5" s="28">
        <f>D25</f>
        <v>42.922297297297298</v>
      </c>
      <c r="N5" s="5">
        <f>M5/SUM($M$4:$M$7)</f>
        <v>0.49270131558184882</v>
      </c>
    </row>
    <row r="6" spans="2:14" x14ac:dyDescent="0.25">
      <c r="B6" s="15"/>
      <c r="C6" s="1" t="s">
        <v>2</v>
      </c>
      <c r="D6" s="11">
        <f>SUM('Stadens utformning'!F10:F13)</f>
        <v>2.0689655172413772</v>
      </c>
      <c r="E6" s="1">
        <v>3</v>
      </c>
      <c r="L6" t="s">
        <v>8</v>
      </c>
      <c r="M6">
        <f>D32</f>
        <v>17</v>
      </c>
      <c r="N6" s="5">
        <f>M6/SUM($M$4:$M$7)</f>
        <v>0.19514152066177592</v>
      </c>
    </row>
    <row r="7" spans="2:14" x14ac:dyDescent="0.25">
      <c r="B7" s="15"/>
      <c r="C7" s="1" t="s">
        <v>3</v>
      </c>
      <c r="D7" s="11">
        <f>'Stadens utformning'!G23</f>
        <v>4.125</v>
      </c>
      <c r="E7" s="1">
        <v>5</v>
      </c>
      <c r="L7" t="s">
        <v>24</v>
      </c>
      <c r="M7">
        <f>D39</f>
        <v>12</v>
      </c>
      <c r="N7" s="5">
        <f>M7/SUM($M$4:$M$7)</f>
        <v>0.13774695576125359</v>
      </c>
    </row>
    <row r="8" spans="2:14" x14ac:dyDescent="0.25">
      <c r="B8" s="15"/>
      <c r="C8" s="1" t="s">
        <v>4</v>
      </c>
      <c r="D8" s="11">
        <f>'Stadens utformning'!G44</f>
        <v>3</v>
      </c>
      <c r="E8" s="1">
        <v>3</v>
      </c>
    </row>
    <row r="9" spans="2:14" x14ac:dyDescent="0.25">
      <c r="B9" s="15"/>
      <c r="C9" s="1" t="s">
        <v>5</v>
      </c>
      <c r="D9" s="11">
        <f>'Stadens utformning'!G49</f>
        <v>3</v>
      </c>
      <c r="E9" s="1">
        <v>3</v>
      </c>
    </row>
    <row r="10" spans="2:14" x14ac:dyDescent="0.25">
      <c r="B10" s="15"/>
      <c r="C10" s="1" t="s">
        <v>6</v>
      </c>
      <c r="D10" s="11">
        <f>'Stadens utformning'!G55</f>
        <v>2</v>
      </c>
      <c r="E10" s="1">
        <v>2</v>
      </c>
      <c r="L10" t="s">
        <v>0</v>
      </c>
      <c r="M10" s="29">
        <f>D12</f>
        <v>15.193965517241377</v>
      </c>
    </row>
    <row r="11" spans="2:14" x14ac:dyDescent="0.25">
      <c r="B11" s="15"/>
      <c r="C11" s="1" t="s">
        <v>7</v>
      </c>
      <c r="D11" s="11">
        <f>'Stadens utformning'!G60</f>
        <v>1</v>
      </c>
      <c r="E11" s="1">
        <v>2</v>
      </c>
      <c r="L11" t="s">
        <v>163</v>
      </c>
      <c r="M11" s="29">
        <f>E12-M10</f>
        <v>4.8060344827586228</v>
      </c>
    </row>
    <row r="12" spans="2:14" x14ac:dyDescent="0.25">
      <c r="B12" s="16"/>
      <c r="C12" s="1" t="s">
        <v>62</v>
      </c>
      <c r="D12" s="11">
        <f>SUM(D6:D11)</f>
        <v>15.193965517241377</v>
      </c>
      <c r="E12" s="11">
        <f>SUM(E5:E11)</f>
        <v>20</v>
      </c>
      <c r="F12">
        <f>D12/E12</f>
        <v>0.75969827586206884</v>
      </c>
      <c r="L12" t="s">
        <v>13</v>
      </c>
      <c r="M12" s="29">
        <f>D25</f>
        <v>42.922297297297298</v>
      </c>
    </row>
    <row r="13" spans="2:14" x14ac:dyDescent="0.25">
      <c r="B13" s="30" t="s">
        <v>13</v>
      </c>
      <c r="C13" s="31"/>
      <c r="D13" s="31"/>
      <c r="E13" s="32"/>
      <c r="L13" t="s">
        <v>164</v>
      </c>
      <c r="M13" s="29">
        <f>E25-D25</f>
        <v>3.0777027027027017</v>
      </c>
    </row>
    <row r="14" spans="2:14" x14ac:dyDescent="0.25">
      <c r="B14" s="17"/>
      <c r="C14" s="26" t="s">
        <v>161</v>
      </c>
      <c r="D14" s="26" t="s">
        <v>31</v>
      </c>
      <c r="E14" s="26" t="s">
        <v>162</v>
      </c>
      <c r="L14" t="s">
        <v>8</v>
      </c>
      <c r="M14" s="29">
        <f>D32</f>
        <v>17</v>
      </c>
    </row>
    <row r="15" spans="2:14" x14ac:dyDescent="0.25">
      <c r="B15" s="18"/>
      <c r="C15" s="1" t="s">
        <v>14</v>
      </c>
      <c r="D15" s="11">
        <f>'Kollektivtrafikens infrastruktu'!G9</f>
        <v>8</v>
      </c>
      <c r="E15" s="1">
        <v>8</v>
      </c>
      <c r="L15" t="s">
        <v>165</v>
      </c>
      <c r="M15" s="29">
        <f>E32-D32</f>
        <v>3</v>
      </c>
    </row>
    <row r="16" spans="2:14" x14ac:dyDescent="0.25">
      <c r="B16" s="18"/>
      <c r="C16" s="1" t="s">
        <v>15</v>
      </c>
      <c r="D16" s="11">
        <f>'Kollektivtrafikens infrastruktu'!G44</f>
        <v>4</v>
      </c>
      <c r="E16" s="1">
        <v>4</v>
      </c>
      <c r="L16" t="s">
        <v>24</v>
      </c>
      <c r="M16" s="29">
        <f>D39</f>
        <v>12</v>
      </c>
    </row>
    <row r="17" spans="2:13" x14ac:dyDescent="0.25">
      <c r="B17" s="18"/>
      <c r="C17" s="1" t="s">
        <v>16</v>
      </c>
      <c r="D17" s="11">
        <f>'Kollektivtrafikens infrastruktu'!G51</f>
        <v>3</v>
      </c>
      <c r="E17" s="1">
        <v>3</v>
      </c>
      <c r="L17" t="s">
        <v>166</v>
      </c>
      <c r="M17" s="29">
        <f>E39-D39</f>
        <v>2</v>
      </c>
    </row>
    <row r="18" spans="2:13" x14ac:dyDescent="0.25">
      <c r="B18" s="18"/>
      <c r="C18" s="1" t="s">
        <v>17</v>
      </c>
      <c r="D18" s="11">
        <f>'Kollektivtrafikens infrastruktu'!G58</f>
        <v>0.45559845559845558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3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3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7</v>
      </c>
      <c r="E21" s="1">
        <v>7</v>
      </c>
    </row>
    <row r="22" spans="2:13" x14ac:dyDescent="0.25">
      <c r="B22" s="18"/>
      <c r="C22" s="1" t="s">
        <v>21</v>
      </c>
      <c r="D22" s="11">
        <f>'Kollektivtrafikens infrastruktu'!G87</f>
        <v>1.8416988416988418</v>
      </c>
      <c r="E22" s="1">
        <v>3</v>
      </c>
    </row>
    <row r="23" spans="2:13" x14ac:dyDescent="0.25">
      <c r="B23" s="18"/>
      <c r="C23" s="1" t="s">
        <v>22</v>
      </c>
      <c r="D23" s="11">
        <f>'Kollektivtrafikens infrastruktu'!G101</f>
        <v>10</v>
      </c>
      <c r="E23" s="1">
        <v>10</v>
      </c>
    </row>
    <row r="24" spans="2:13" x14ac:dyDescent="0.25">
      <c r="B24" s="18"/>
      <c r="C24" s="1" t="s">
        <v>23</v>
      </c>
      <c r="D24" s="11">
        <f>'Kollektivtrafikens infrastruktu'!G109</f>
        <v>2.625</v>
      </c>
      <c r="E24" s="1">
        <v>3</v>
      </c>
    </row>
    <row r="25" spans="2:13" x14ac:dyDescent="0.25">
      <c r="B25" s="19"/>
      <c r="C25" s="1" t="s">
        <v>62</v>
      </c>
      <c r="D25" s="11">
        <f>SUM(D15:D24)</f>
        <v>42.922297297297298</v>
      </c>
      <c r="E25" s="11">
        <f>SUM(E15:E24)</f>
        <v>46</v>
      </c>
      <c r="F25">
        <f>D25/E25</f>
        <v>0.93309341950646296</v>
      </c>
    </row>
    <row r="26" spans="2:13" x14ac:dyDescent="0.25">
      <c r="B26" s="30" t="s">
        <v>8</v>
      </c>
      <c r="C26" s="31"/>
      <c r="D26" s="31"/>
      <c r="E26" s="32"/>
    </row>
    <row r="27" spans="2:13" x14ac:dyDescent="0.25">
      <c r="B27" s="20"/>
      <c r="C27" s="26" t="s">
        <v>161</v>
      </c>
      <c r="D27" s="26" t="s">
        <v>31</v>
      </c>
      <c r="E27" s="26" t="s">
        <v>162</v>
      </c>
    </row>
    <row r="28" spans="2:13" x14ac:dyDescent="0.25">
      <c r="B28" s="21"/>
      <c r="C28" s="1" t="s">
        <v>9</v>
      </c>
      <c r="D28" s="11">
        <f>'Fordon och Stödsystem'!F7</f>
        <v>4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4</v>
      </c>
      <c r="E29" s="1">
        <v>4</v>
      </c>
    </row>
    <row r="30" spans="2:13" x14ac:dyDescent="0.25">
      <c r="B30" s="21"/>
      <c r="C30" s="1" t="s">
        <v>11</v>
      </c>
      <c r="D30" s="11">
        <f>'Fordon och Stödsystem'!F17</f>
        <v>9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62</v>
      </c>
      <c r="D32" s="11">
        <f>SUM(D28:D31)</f>
        <v>17</v>
      </c>
      <c r="E32" s="1">
        <f>SUM(E28:E31)</f>
        <v>20</v>
      </c>
      <c r="F32">
        <f>D32/E32</f>
        <v>0.85</v>
      </c>
    </row>
    <row r="33" spans="2:6" x14ac:dyDescent="0.25">
      <c r="B33" s="30" t="s">
        <v>24</v>
      </c>
      <c r="C33" s="31"/>
      <c r="D33" s="31"/>
      <c r="E33" s="32"/>
    </row>
    <row r="34" spans="2:6" x14ac:dyDescent="0.25">
      <c r="B34" s="23"/>
      <c r="C34" s="26" t="s">
        <v>161</v>
      </c>
      <c r="D34" s="26" t="s">
        <v>31</v>
      </c>
      <c r="E34" s="26" t="s">
        <v>162</v>
      </c>
    </row>
    <row r="35" spans="2:6" x14ac:dyDescent="0.25">
      <c r="B35" s="24"/>
      <c r="C35" s="1" t="s">
        <v>25</v>
      </c>
      <c r="D35" s="1">
        <f>Trafikering!F8</f>
        <v>3</v>
      </c>
      <c r="E35" s="1">
        <v>4</v>
      </c>
    </row>
    <row r="36" spans="2:6" x14ac:dyDescent="0.25">
      <c r="B36" s="24"/>
      <c r="C36" s="1" t="s">
        <v>26</v>
      </c>
      <c r="D36" s="1">
        <f>Trafikering!F15</f>
        <v>3</v>
      </c>
      <c r="E36" s="1">
        <v>4</v>
      </c>
    </row>
    <row r="37" spans="2:6" x14ac:dyDescent="0.25">
      <c r="B37" s="24"/>
      <c r="C37" s="1" t="s">
        <v>27</v>
      </c>
      <c r="D37" s="1">
        <f>Trafikering!F22</f>
        <v>3</v>
      </c>
      <c r="E37" s="1">
        <v>3</v>
      </c>
    </row>
    <row r="38" spans="2:6" x14ac:dyDescent="0.25">
      <c r="B38" s="24"/>
      <c r="C38" s="1" t="s">
        <v>28</v>
      </c>
      <c r="D38" s="1">
        <f>Trafikering!F29</f>
        <v>3</v>
      </c>
      <c r="E38" s="1">
        <v>3</v>
      </c>
    </row>
    <row r="39" spans="2:6" x14ac:dyDescent="0.25">
      <c r="B39" s="25"/>
      <c r="C39" s="1" t="s">
        <v>62</v>
      </c>
      <c r="D39" s="1">
        <f>SUM(D35:D38)</f>
        <v>12</v>
      </c>
      <c r="E39" s="1">
        <f>SUM(E35:E38)</f>
        <v>14</v>
      </c>
      <c r="F39">
        <f>D39/E39</f>
        <v>0.8571428571428571</v>
      </c>
    </row>
    <row r="40" spans="2:6" x14ac:dyDescent="0.25">
      <c r="B40" s="4"/>
      <c r="C40" s="27" t="s">
        <v>148</v>
      </c>
      <c r="D40" s="13">
        <f>SUM(D5:D11)+SUM(D28:D31)+SUM(D15:D24)+SUM(D35:D38)</f>
        <v>89.116262814538686</v>
      </c>
      <c r="E40" s="13">
        <f>SUM(E12+E25+E32+E39)</f>
        <v>100</v>
      </c>
    </row>
    <row r="43" spans="2:6" x14ac:dyDescent="0.25">
      <c r="C43" t="s">
        <v>167</v>
      </c>
      <c r="D43" t="s">
        <v>168</v>
      </c>
      <c r="E43" t="s">
        <v>145</v>
      </c>
      <c r="F43" t="s">
        <v>169</v>
      </c>
    </row>
    <row r="44" spans="2:6" x14ac:dyDescent="0.25">
      <c r="C44" t="s">
        <v>170</v>
      </c>
      <c r="D44">
        <f>D38</f>
        <v>3</v>
      </c>
      <c r="E44">
        <f>F44-D44</f>
        <v>0</v>
      </c>
      <c r="F44">
        <f>E38</f>
        <v>3</v>
      </c>
    </row>
    <row r="45" spans="2:6" x14ac:dyDescent="0.25">
      <c r="C45" t="s">
        <v>171</v>
      </c>
      <c r="D45">
        <f>D37</f>
        <v>3</v>
      </c>
      <c r="E45">
        <f t="shared" ref="E45:E68" si="0">F45-D45</f>
        <v>0</v>
      </c>
      <c r="F45">
        <f>E37</f>
        <v>3</v>
      </c>
    </row>
    <row r="46" spans="2:6" x14ac:dyDescent="0.25">
      <c r="C46" t="s">
        <v>172</v>
      </c>
      <c r="D46">
        <f>D36</f>
        <v>3</v>
      </c>
      <c r="E46">
        <f t="shared" si="0"/>
        <v>1</v>
      </c>
      <c r="F46">
        <f>E36</f>
        <v>4</v>
      </c>
    </row>
    <row r="47" spans="2:6" x14ac:dyDescent="0.25">
      <c r="C47" t="s">
        <v>173</v>
      </c>
      <c r="D47">
        <f>D35</f>
        <v>3</v>
      </c>
      <c r="E47">
        <f t="shared" si="0"/>
        <v>1</v>
      </c>
      <c r="F47">
        <f>E35</f>
        <v>4</v>
      </c>
    </row>
    <row r="48" spans="2:6" x14ac:dyDescent="0.25">
      <c r="C48" t="s">
        <v>174</v>
      </c>
      <c r="D48">
        <f>D31</f>
        <v>0</v>
      </c>
      <c r="E48">
        <f t="shared" si="0"/>
        <v>2</v>
      </c>
      <c r="F48">
        <f>E31</f>
        <v>2</v>
      </c>
    </row>
    <row r="49" spans="3:6" x14ac:dyDescent="0.25">
      <c r="C49" t="s">
        <v>175</v>
      </c>
      <c r="D49">
        <f>D30</f>
        <v>9</v>
      </c>
      <c r="E49">
        <f t="shared" si="0"/>
        <v>1</v>
      </c>
      <c r="F49">
        <f>E30</f>
        <v>10</v>
      </c>
    </row>
    <row r="50" spans="3:6" x14ac:dyDescent="0.25">
      <c r="C50" t="s">
        <v>176</v>
      </c>
      <c r="D50">
        <f>D29</f>
        <v>4</v>
      </c>
      <c r="E50">
        <f t="shared" si="0"/>
        <v>0</v>
      </c>
      <c r="F50">
        <f>E29</f>
        <v>4</v>
      </c>
    </row>
    <row r="51" spans="3:6" x14ac:dyDescent="0.25">
      <c r="C51" t="s">
        <v>177</v>
      </c>
      <c r="D51">
        <f>D28</f>
        <v>4</v>
      </c>
      <c r="E51">
        <f t="shared" si="0"/>
        <v>0</v>
      </c>
      <c r="F51">
        <f>E28</f>
        <v>4</v>
      </c>
    </row>
    <row r="52" spans="3:6" x14ac:dyDescent="0.25">
      <c r="C52" t="s">
        <v>178</v>
      </c>
      <c r="D52">
        <f>D24</f>
        <v>2.625</v>
      </c>
      <c r="E52">
        <f t="shared" si="0"/>
        <v>0.375</v>
      </c>
      <c r="F52">
        <f>E24</f>
        <v>3</v>
      </c>
    </row>
    <row r="53" spans="3:6" x14ac:dyDescent="0.25">
      <c r="C53" t="s">
        <v>179</v>
      </c>
      <c r="D53">
        <f>D23</f>
        <v>10</v>
      </c>
      <c r="E53">
        <f t="shared" si="0"/>
        <v>0</v>
      </c>
      <c r="F53">
        <f>E23</f>
        <v>10</v>
      </c>
    </row>
    <row r="54" spans="3:6" x14ac:dyDescent="0.25">
      <c r="C54" t="s">
        <v>180</v>
      </c>
      <c r="D54">
        <f>D22</f>
        <v>1.8416988416988418</v>
      </c>
      <c r="E54">
        <f t="shared" si="0"/>
        <v>1.1583011583011582</v>
      </c>
      <c r="F54">
        <f>E22</f>
        <v>3</v>
      </c>
    </row>
    <row r="55" spans="3:6" x14ac:dyDescent="0.25">
      <c r="C55" t="s">
        <v>181</v>
      </c>
      <c r="D55">
        <f>D21</f>
        <v>7</v>
      </c>
      <c r="E55">
        <f t="shared" si="0"/>
        <v>0</v>
      </c>
      <c r="F55">
        <f>E21</f>
        <v>7</v>
      </c>
    </row>
    <row r="56" spans="3:6" x14ac:dyDescent="0.25">
      <c r="C56" t="s">
        <v>182</v>
      </c>
      <c r="D56">
        <f>D20</f>
        <v>3</v>
      </c>
      <c r="E56">
        <f t="shared" si="0"/>
        <v>0</v>
      </c>
      <c r="F56">
        <f>E20</f>
        <v>3</v>
      </c>
    </row>
    <row r="57" spans="3:6" x14ac:dyDescent="0.25">
      <c r="C57" t="s">
        <v>183</v>
      </c>
      <c r="D57">
        <f>D19</f>
        <v>3</v>
      </c>
      <c r="E57">
        <f t="shared" si="0"/>
        <v>0</v>
      </c>
      <c r="F57">
        <f>E19</f>
        <v>3</v>
      </c>
    </row>
    <row r="58" spans="3:6" x14ac:dyDescent="0.25">
      <c r="C58" t="s">
        <v>184</v>
      </c>
      <c r="D58">
        <f>D18</f>
        <v>0.45559845559845558</v>
      </c>
      <c r="E58">
        <f t="shared" si="0"/>
        <v>1.5444015444015444</v>
      </c>
      <c r="F58">
        <f>E18</f>
        <v>2</v>
      </c>
    </row>
    <row r="59" spans="3:6" x14ac:dyDescent="0.25">
      <c r="C59" t="s">
        <v>185</v>
      </c>
      <c r="D59">
        <f>D17</f>
        <v>3</v>
      </c>
      <c r="E59">
        <f t="shared" si="0"/>
        <v>0</v>
      </c>
      <c r="F59">
        <f>E17</f>
        <v>3</v>
      </c>
    </row>
    <row r="60" spans="3:6" x14ac:dyDescent="0.25">
      <c r="C60" t="s">
        <v>186</v>
      </c>
      <c r="D60">
        <f>D16</f>
        <v>4</v>
      </c>
      <c r="E60">
        <f t="shared" si="0"/>
        <v>0</v>
      </c>
      <c r="F60">
        <f>E16</f>
        <v>4</v>
      </c>
    </row>
    <row r="61" spans="3:6" x14ac:dyDescent="0.25">
      <c r="C61" t="s">
        <v>187</v>
      </c>
      <c r="D61">
        <f>D15</f>
        <v>8</v>
      </c>
      <c r="E61">
        <f t="shared" si="0"/>
        <v>0</v>
      </c>
      <c r="F61">
        <f>E15</f>
        <v>8</v>
      </c>
    </row>
    <row r="62" spans="3:6" x14ac:dyDescent="0.25">
      <c r="C62" t="s">
        <v>188</v>
      </c>
      <c r="D62">
        <f>D11</f>
        <v>1</v>
      </c>
      <c r="E62">
        <f t="shared" si="0"/>
        <v>1</v>
      </c>
      <c r="F62">
        <f>E11</f>
        <v>2</v>
      </c>
    </row>
    <row r="63" spans="3:6" x14ac:dyDescent="0.25">
      <c r="C63" t="s">
        <v>189</v>
      </c>
      <c r="D63">
        <f>D10</f>
        <v>2</v>
      </c>
      <c r="E63">
        <f>F63-D63</f>
        <v>0</v>
      </c>
      <c r="F63">
        <f>E10</f>
        <v>2</v>
      </c>
    </row>
    <row r="64" spans="3:6" x14ac:dyDescent="0.25">
      <c r="C64" t="s">
        <v>190</v>
      </c>
      <c r="D64">
        <f>D9</f>
        <v>3</v>
      </c>
      <c r="E64">
        <f t="shared" si="0"/>
        <v>0</v>
      </c>
      <c r="F64">
        <f>E9</f>
        <v>3</v>
      </c>
    </row>
    <row r="65" spans="3:6" x14ac:dyDescent="0.25">
      <c r="C65" t="s">
        <v>191</v>
      </c>
      <c r="D65">
        <f>D8</f>
        <v>3</v>
      </c>
      <c r="E65">
        <f t="shared" si="0"/>
        <v>0</v>
      </c>
      <c r="F65">
        <f>E8</f>
        <v>3</v>
      </c>
    </row>
    <row r="66" spans="3:6" x14ac:dyDescent="0.25">
      <c r="C66" t="s">
        <v>192</v>
      </c>
      <c r="D66">
        <f>D7</f>
        <v>4.125</v>
      </c>
      <c r="E66">
        <f t="shared" si="0"/>
        <v>0.875</v>
      </c>
      <c r="F66">
        <f>E7</f>
        <v>5</v>
      </c>
    </row>
    <row r="67" spans="3:6" x14ac:dyDescent="0.25">
      <c r="C67" t="s">
        <v>193</v>
      </c>
      <c r="D67">
        <f>D6</f>
        <v>2.0689655172413772</v>
      </c>
      <c r="E67">
        <f t="shared" si="0"/>
        <v>0.93103448275862277</v>
      </c>
      <c r="F67">
        <f>E6</f>
        <v>3</v>
      </c>
    </row>
    <row r="68" spans="3:6" x14ac:dyDescent="0.25">
      <c r="C68" t="s">
        <v>194</v>
      </c>
      <c r="D68">
        <f>D5</f>
        <v>2</v>
      </c>
      <c r="E68">
        <f t="shared" si="0"/>
        <v>0</v>
      </c>
      <c r="F68">
        <f>E5</f>
        <v>2</v>
      </c>
    </row>
  </sheetData>
  <mergeCells count="4">
    <mergeCell ref="B26:E26"/>
    <mergeCell ref="B33:E33"/>
    <mergeCell ref="B3:E3"/>
    <mergeCell ref="B13:E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60"/>
  <sheetViews>
    <sheetView topLeftCell="B1" workbookViewId="0">
      <selection activeCell="G6" sqref="G6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5.140625" customWidth="1"/>
    <col min="10" max="10" width="12.28515625" bestFit="1" customWidth="1"/>
  </cols>
  <sheetData>
    <row r="4" spans="3:18" x14ac:dyDescent="0.25">
      <c r="C4" s="3" t="s">
        <v>1</v>
      </c>
      <c r="D4" s="12" t="s">
        <v>31</v>
      </c>
      <c r="E4" s="1" t="s">
        <v>32</v>
      </c>
      <c r="F4" s="1" t="s">
        <v>31</v>
      </c>
    </row>
    <row r="5" spans="3:18" ht="30" x14ac:dyDescent="0.25">
      <c r="C5" s="2" t="s">
        <v>29</v>
      </c>
      <c r="D5" s="12">
        <v>1</v>
      </c>
      <c r="E5" s="1">
        <v>1</v>
      </c>
      <c r="F5" s="1">
        <v>1</v>
      </c>
    </row>
    <row r="6" spans="3:18" ht="30" x14ac:dyDescent="0.25">
      <c r="C6" s="2" t="s">
        <v>30</v>
      </c>
      <c r="D6" s="12">
        <v>1</v>
      </c>
      <c r="E6" s="1">
        <v>1</v>
      </c>
      <c r="F6" s="1">
        <v>1</v>
      </c>
      <c r="G6" t="s">
        <v>195</v>
      </c>
    </row>
    <row r="7" spans="3:18" x14ac:dyDescent="0.25">
      <c r="E7" s="1" t="s">
        <v>38</v>
      </c>
      <c r="F7" s="1">
        <f>SUM(F5:F6)</f>
        <v>2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151</v>
      </c>
      <c r="K9" s="1"/>
      <c r="L9" s="1" t="s">
        <v>37</v>
      </c>
      <c r="M9" s="1"/>
      <c r="N9" s="1"/>
      <c r="O9" s="1" t="s">
        <v>151</v>
      </c>
    </row>
    <row r="10" spans="3:18" x14ac:dyDescent="0.25">
      <c r="C10" s="1" t="s">
        <v>33</v>
      </c>
      <c r="D10" s="1">
        <v>3</v>
      </c>
      <c r="E10" s="1"/>
      <c r="F10" s="11">
        <f>J15+O15</f>
        <v>2.0689655172413772</v>
      </c>
      <c r="H10" s="1" t="s">
        <v>152</v>
      </c>
      <c r="I10" s="1"/>
      <c r="J10" s="1">
        <v>4.3499999999999996</v>
      </c>
      <c r="K10" s="1"/>
      <c r="L10" s="1"/>
      <c r="M10" s="1"/>
      <c r="N10" s="1"/>
      <c r="O10" s="1"/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 t="s">
        <v>153</v>
      </c>
      <c r="I11" s="1"/>
      <c r="J11" s="1">
        <v>5.19</v>
      </c>
      <c r="K11" s="1"/>
      <c r="L11" s="1"/>
      <c r="M11" s="1"/>
      <c r="N11" s="1"/>
      <c r="O11" s="1"/>
      <c r="Q11" t="s">
        <v>134</v>
      </c>
      <c r="R11">
        <f>J11+O11</f>
        <v>5.19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133</v>
      </c>
      <c r="J12" s="1">
        <f>J11/J10</f>
        <v>1.1931034482758622</v>
      </c>
      <c r="K12" s="1"/>
      <c r="L12" s="1"/>
      <c r="M12" s="1"/>
      <c r="N12" s="1" t="s">
        <v>133</v>
      </c>
      <c r="O12" s="1"/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2.0689655172413772</v>
      </c>
      <c r="K13" s="1"/>
      <c r="L13" s="1"/>
      <c r="M13" s="1"/>
      <c r="N13" s="1"/>
      <c r="O13" s="1"/>
    </row>
    <row r="14" spans="3:18" x14ac:dyDescent="0.25">
      <c r="C14" s="1"/>
      <c r="D14" s="1"/>
      <c r="E14" s="1" t="s">
        <v>38</v>
      </c>
      <c r="F14" s="11">
        <f>SUM(F10:F13)</f>
        <v>2.0689655172413772</v>
      </c>
      <c r="H14" s="1"/>
      <c r="I14" s="1" t="s">
        <v>135</v>
      </c>
      <c r="J14" s="1">
        <f>J11/R11</f>
        <v>1</v>
      </c>
      <c r="K14" s="1"/>
      <c r="L14" s="1"/>
      <c r="M14" s="1"/>
      <c r="N14" s="1"/>
      <c r="O14" s="1"/>
    </row>
    <row r="15" spans="3:18" x14ac:dyDescent="0.25">
      <c r="H15" s="1"/>
      <c r="I15" s="1"/>
      <c r="J15" s="1">
        <f>J13*J14</f>
        <v>2.0689655172413772</v>
      </c>
      <c r="K15" s="1"/>
      <c r="L15" s="1"/>
      <c r="M15" s="1"/>
      <c r="N15" s="1"/>
      <c r="O15" s="1"/>
    </row>
    <row r="16" spans="3:18" x14ac:dyDescent="0.25">
      <c r="L16">
        <f>(J13+O13)/2</f>
        <v>1.0344827586206886</v>
      </c>
    </row>
    <row r="17" spans="3:11" x14ac:dyDescent="0.25">
      <c r="I17" s="1" t="s">
        <v>37</v>
      </c>
      <c r="J17" s="1" t="s">
        <v>149</v>
      </c>
      <c r="K17" s="1" t="s">
        <v>145</v>
      </c>
    </row>
    <row r="18" spans="3:11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154</v>
      </c>
      <c r="J18" s="1">
        <v>0</v>
      </c>
      <c r="K18" s="1">
        <v>0</v>
      </c>
    </row>
    <row r="19" spans="3:11" x14ac:dyDescent="0.25">
      <c r="C19" s="1" t="s">
        <v>39</v>
      </c>
      <c r="D19" s="1">
        <v>5</v>
      </c>
      <c r="E19" s="1">
        <f>COUNTIF(K19:K36,"&gt;600")</f>
        <v>5</v>
      </c>
      <c r="F19" s="6">
        <f>E19/$E$23</f>
        <v>0.625</v>
      </c>
      <c r="G19" s="6">
        <f>D19*F19</f>
        <v>3.125</v>
      </c>
      <c r="I19" s="1" t="s">
        <v>155</v>
      </c>
      <c r="J19" s="1">
        <v>864</v>
      </c>
      <c r="K19" s="1">
        <f t="shared" ref="K19:K26" si="1">J19-J18</f>
        <v>864</v>
      </c>
    </row>
    <row r="20" spans="3:11" x14ac:dyDescent="0.25">
      <c r="C20" s="1" t="s">
        <v>40</v>
      </c>
      <c r="D20" s="1">
        <v>4</v>
      </c>
      <c r="E20" s="1">
        <f>COUNTIF(K19:K36,"&gt;500")-E19</f>
        <v>2</v>
      </c>
      <c r="F20" s="6">
        <f>E20/$E$23</f>
        <v>0.25</v>
      </c>
      <c r="G20" s="6">
        <f t="shared" ref="G20:G22" si="2">D20*F20</f>
        <v>1</v>
      </c>
      <c r="I20" s="1"/>
      <c r="J20" s="1">
        <v>1590</v>
      </c>
      <c r="K20" s="1">
        <f t="shared" si="1"/>
        <v>726</v>
      </c>
    </row>
    <row r="21" spans="3:11" x14ac:dyDescent="0.25">
      <c r="C21" s="1" t="s">
        <v>41</v>
      </c>
      <c r="D21" s="1">
        <v>3</v>
      </c>
      <c r="E21" s="1">
        <f>COUNTIF(K19:K36,"&gt;400")-E20-E19</f>
        <v>0</v>
      </c>
      <c r="F21" s="6">
        <f>E21/$E$23</f>
        <v>0</v>
      </c>
      <c r="G21" s="6">
        <f t="shared" si="2"/>
        <v>0</v>
      </c>
      <c r="I21" s="1"/>
      <c r="J21" s="1">
        <v>2210</v>
      </c>
      <c r="K21" s="1">
        <f t="shared" si="1"/>
        <v>620</v>
      </c>
    </row>
    <row r="22" spans="3:11" x14ac:dyDescent="0.25">
      <c r="C22" s="1" t="s">
        <v>42</v>
      </c>
      <c r="D22" s="1">
        <v>0</v>
      </c>
      <c r="E22" s="1">
        <f>COUNTIF(K19:K36,"&gt;0")-E20-E19-E21</f>
        <v>1</v>
      </c>
      <c r="F22" s="6">
        <f>E22/$E$23</f>
        <v>0.125</v>
      </c>
      <c r="G22" s="6">
        <f t="shared" si="2"/>
        <v>0</v>
      </c>
      <c r="I22" s="1"/>
      <c r="J22" s="1">
        <v>2900</v>
      </c>
      <c r="K22" s="1">
        <f t="shared" si="1"/>
        <v>690</v>
      </c>
    </row>
    <row r="23" spans="3:11" x14ac:dyDescent="0.25">
      <c r="C23" s="1"/>
      <c r="D23" s="1" t="s">
        <v>45</v>
      </c>
      <c r="E23" s="1">
        <f>SUM(E19:E22)</f>
        <v>8</v>
      </c>
      <c r="F23" s="1"/>
      <c r="G23" s="6">
        <f>SUM(G19:G22)</f>
        <v>4.125</v>
      </c>
      <c r="I23" s="1"/>
      <c r="J23" s="1">
        <v>3500</v>
      </c>
      <c r="K23" s="1">
        <f t="shared" si="1"/>
        <v>600</v>
      </c>
    </row>
    <row r="24" spans="3:11" x14ac:dyDescent="0.25">
      <c r="I24" s="1"/>
      <c r="J24" s="1">
        <v>3840</v>
      </c>
      <c r="K24" s="1">
        <f t="shared" si="1"/>
        <v>340</v>
      </c>
    </row>
    <row r="25" spans="3:11" x14ac:dyDescent="0.25">
      <c r="I25" s="1"/>
      <c r="J25" s="1">
        <v>4350</v>
      </c>
      <c r="K25" s="1">
        <f t="shared" si="1"/>
        <v>510</v>
      </c>
    </row>
    <row r="26" spans="3:11" x14ac:dyDescent="0.25">
      <c r="I26" s="1"/>
      <c r="J26" s="1">
        <v>5180</v>
      </c>
      <c r="K26" s="1">
        <f t="shared" si="1"/>
        <v>830</v>
      </c>
    </row>
    <row r="27" spans="3:11" x14ac:dyDescent="0.25">
      <c r="I27" s="1"/>
      <c r="J27" s="1"/>
      <c r="K27" s="1"/>
    </row>
    <row r="28" spans="3:11" x14ac:dyDescent="0.25">
      <c r="I28" s="1"/>
      <c r="J28" s="1"/>
      <c r="K28" s="1"/>
    </row>
    <row r="29" spans="3:11" x14ac:dyDescent="0.25">
      <c r="I29" s="1"/>
      <c r="J29" s="1"/>
      <c r="K29" s="1"/>
    </row>
    <row r="30" spans="3:11" x14ac:dyDescent="0.25">
      <c r="I30" s="1"/>
      <c r="J30" s="1"/>
      <c r="K30" s="1"/>
    </row>
    <row r="31" spans="3:11" x14ac:dyDescent="0.25">
      <c r="I31" s="1"/>
      <c r="J31" s="1"/>
      <c r="K31" s="1"/>
    </row>
    <row r="32" spans="3:11" x14ac:dyDescent="0.25">
      <c r="I32" s="1"/>
      <c r="J32" s="1"/>
      <c r="K32" s="1"/>
    </row>
    <row r="33" spans="3:11" x14ac:dyDescent="0.25">
      <c r="I33" s="1"/>
      <c r="J33" s="1"/>
      <c r="K33" s="1"/>
    </row>
    <row r="34" spans="3:11" x14ac:dyDescent="0.25">
      <c r="I34" s="1"/>
      <c r="J34" s="1"/>
      <c r="K34" s="1"/>
    </row>
    <row r="35" spans="3:11" x14ac:dyDescent="0.25">
      <c r="I35" s="1"/>
      <c r="J35" s="1"/>
      <c r="K35" s="1"/>
    </row>
    <row r="36" spans="3:11" x14ac:dyDescent="0.25">
      <c r="I36" s="1"/>
      <c r="J36" s="1"/>
      <c r="K36" s="1"/>
    </row>
    <row r="39" spans="3:11" x14ac:dyDescent="0.25">
      <c r="C39" s="4" t="s">
        <v>4</v>
      </c>
      <c r="D39" s="1" t="s">
        <v>52</v>
      </c>
      <c r="E39" s="1" t="s">
        <v>44</v>
      </c>
      <c r="F39" s="1" t="s">
        <v>57</v>
      </c>
      <c r="G39" s="1" t="s">
        <v>31</v>
      </c>
      <c r="I39" t="s">
        <v>138</v>
      </c>
      <c r="J39" t="s">
        <v>136</v>
      </c>
      <c r="K39" t="s">
        <v>137</v>
      </c>
    </row>
    <row r="40" spans="3:11" x14ac:dyDescent="0.25">
      <c r="C40" s="1" t="s">
        <v>46</v>
      </c>
      <c r="D40" s="1">
        <v>3</v>
      </c>
      <c r="E40" s="1">
        <v>0</v>
      </c>
      <c r="F40" s="1"/>
      <c r="G40" s="1">
        <v>3</v>
      </c>
      <c r="I40">
        <v>56</v>
      </c>
      <c r="J40">
        <v>7</v>
      </c>
      <c r="K40">
        <f>((I40/2)^2+J40^2)/(2*J40)</f>
        <v>59.5</v>
      </c>
    </row>
    <row r="41" spans="3:11" x14ac:dyDescent="0.25">
      <c r="C41" s="1" t="s">
        <v>47</v>
      </c>
      <c r="D41" s="1">
        <v>2</v>
      </c>
      <c r="F41" s="1"/>
      <c r="G41" s="1"/>
    </row>
    <row r="42" spans="3:11" x14ac:dyDescent="0.25">
      <c r="C42" s="1" t="s">
        <v>48</v>
      </c>
      <c r="D42" s="1">
        <v>1</v>
      </c>
      <c r="E42" s="1"/>
      <c r="F42" s="1"/>
      <c r="G42" s="1"/>
      <c r="I42">
        <f>6/8.3</f>
        <v>0.72289156626506013</v>
      </c>
      <c r="J42">
        <f>8/8.3</f>
        <v>0.96385542168674687</v>
      </c>
      <c r="K42">
        <f>(I42+J42)/2</f>
        <v>0.84337349397590344</v>
      </c>
    </row>
    <row r="43" spans="3:11" x14ac:dyDescent="0.25">
      <c r="C43" s="1" t="s">
        <v>49</v>
      </c>
      <c r="D43" s="1">
        <v>0</v>
      </c>
      <c r="E43" s="1"/>
      <c r="F43" s="1"/>
      <c r="G43" s="1"/>
    </row>
    <row r="44" spans="3:11" x14ac:dyDescent="0.25">
      <c r="F44" s="1" t="s">
        <v>53</v>
      </c>
      <c r="G44" s="1">
        <f>SUM(G40:G43)</f>
        <v>3</v>
      </c>
      <c r="J44" s="5"/>
    </row>
    <row r="46" spans="3:11" x14ac:dyDescent="0.25">
      <c r="C46" s="8" t="s">
        <v>5</v>
      </c>
      <c r="D46" s="1" t="s">
        <v>52</v>
      </c>
      <c r="E46" s="1" t="s">
        <v>44</v>
      </c>
      <c r="F46" s="1" t="s">
        <v>32</v>
      </c>
      <c r="G46" s="1" t="s">
        <v>31</v>
      </c>
    </row>
    <row r="47" spans="3:11" ht="30" x14ac:dyDescent="0.25">
      <c r="C47" s="2" t="s">
        <v>50</v>
      </c>
      <c r="D47" s="1">
        <v>3</v>
      </c>
      <c r="E47" s="1">
        <v>16</v>
      </c>
      <c r="F47" s="1">
        <f>E47/SUM(E47:E48)</f>
        <v>1</v>
      </c>
      <c r="G47" s="1">
        <f>D47*F47</f>
        <v>3</v>
      </c>
    </row>
    <row r="48" spans="3:11" ht="30" x14ac:dyDescent="0.25">
      <c r="C48" s="2" t="s">
        <v>51</v>
      </c>
      <c r="D48" s="1">
        <v>0</v>
      </c>
      <c r="E48" s="1">
        <v>0</v>
      </c>
      <c r="F48" s="1">
        <f>E48/SUM(E47:E48)</f>
        <v>0</v>
      </c>
      <c r="G48" s="1">
        <f>D48*F48</f>
        <v>0</v>
      </c>
    </row>
    <row r="49" spans="3:7" x14ac:dyDescent="0.25">
      <c r="F49" s="1" t="s">
        <v>45</v>
      </c>
      <c r="G49" s="1">
        <f>SUM(G47:G48)</f>
        <v>3</v>
      </c>
    </row>
    <row r="51" spans="3:7" x14ac:dyDescent="0.25">
      <c r="C51" s="8" t="s">
        <v>6</v>
      </c>
      <c r="D51" s="1" t="s">
        <v>52</v>
      </c>
      <c r="E51" s="1" t="s">
        <v>44</v>
      </c>
      <c r="F51" s="1" t="s">
        <v>58</v>
      </c>
      <c r="G51" s="1" t="s">
        <v>31</v>
      </c>
    </row>
    <row r="52" spans="3:7" x14ac:dyDescent="0.25">
      <c r="C52" s="1" t="s">
        <v>54</v>
      </c>
      <c r="D52" s="1">
        <v>2</v>
      </c>
      <c r="E52" s="1"/>
      <c r="F52" s="1"/>
      <c r="G52" s="1">
        <v>2</v>
      </c>
    </row>
    <row r="53" spans="3:7" x14ac:dyDescent="0.25">
      <c r="C53" s="1" t="s">
        <v>55</v>
      </c>
      <c r="D53" s="1">
        <v>1</v>
      </c>
      <c r="E53" s="1"/>
      <c r="F53" s="1"/>
      <c r="G53" s="1">
        <v>0</v>
      </c>
    </row>
    <row r="54" spans="3:7" x14ac:dyDescent="0.25">
      <c r="C54" s="1" t="s">
        <v>56</v>
      </c>
      <c r="D54" s="1">
        <v>0</v>
      </c>
      <c r="E54" s="1"/>
      <c r="F54" s="1"/>
      <c r="G54" s="1">
        <v>0</v>
      </c>
    </row>
    <row r="55" spans="3:7" x14ac:dyDescent="0.25">
      <c r="F55" s="1" t="s">
        <v>53</v>
      </c>
      <c r="G55" s="1">
        <f>SUM(G52:G54)</f>
        <v>2</v>
      </c>
    </row>
    <row r="57" spans="3:7" x14ac:dyDescent="0.25">
      <c r="C57" s="1" t="s">
        <v>59</v>
      </c>
      <c r="D57" s="1" t="s">
        <v>52</v>
      </c>
      <c r="E57" s="1" t="s">
        <v>44</v>
      </c>
      <c r="F57" s="1" t="s">
        <v>58</v>
      </c>
      <c r="G57" s="1" t="s">
        <v>31</v>
      </c>
    </row>
    <row r="58" spans="3:7" x14ac:dyDescent="0.25">
      <c r="C58" s="1" t="s">
        <v>60</v>
      </c>
      <c r="D58" s="1">
        <v>1</v>
      </c>
      <c r="E58" s="1">
        <f>2</f>
        <v>2</v>
      </c>
      <c r="F58" s="1">
        <f>E58/16</f>
        <v>0.125</v>
      </c>
      <c r="G58" s="1">
        <f>D58*F58</f>
        <v>0.125</v>
      </c>
    </row>
    <row r="59" spans="3:7" x14ac:dyDescent="0.25">
      <c r="C59" s="8" t="s">
        <v>61</v>
      </c>
      <c r="D59" s="1">
        <v>1</v>
      </c>
      <c r="E59" s="1">
        <v>14</v>
      </c>
      <c r="F59" s="1">
        <f>E59/16</f>
        <v>0.875</v>
      </c>
      <c r="G59" s="1">
        <f>D59*F59</f>
        <v>0.875</v>
      </c>
    </row>
    <row r="60" spans="3:7" x14ac:dyDescent="0.25">
      <c r="F60" s="7" t="s">
        <v>53</v>
      </c>
      <c r="G60" s="7">
        <f>SUM(G58:G59)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T109"/>
  <sheetViews>
    <sheetView topLeftCell="B1" zoomScale="108" workbookViewId="0">
      <selection activeCell="P5" sqref="P5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9" max="9" width="12.140625" customWidth="1"/>
    <col min="12" max="12" width="10" customWidth="1"/>
  </cols>
  <sheetData>
    <row r="3" spans="3:16" x14ac:dyDescent="0.25">
      <c r="I3" t="s">
        <v>154</v>
      </c>
      <c r="N3" t="s">
        <v>141</v>
      </c>
    </row>
    <row r="4" spans="3:16" x14ac:dyDescent="0.25">
      <c r="C4" s="1" t="s">
        <v>14</v>
      </c>
      <c r="D4" s="1" t="s">
        <v>52</v>
      </c>
      <c r="E4" s="1" t="s">
        <v>44</v>
      </c>
      <c r="F4" s="1" t="s">
        <v>73</v>
      </c>
      <c r="G4" s="1" t="s">
        <v>31</v>
      </c>
      <c r="I4" t="s">
        <v>139</v>
      </c>
      <c r="J4" t="s">
        <v>140</v>
      </c>
      <c r="K4" t="s">
        <v>145</v>
      </c>
      <c r="N4" t="s">
        <v>139</v>
      </c>
      <c r="O4" t="s">
        <v>140</v>
      </c>
      <c r="P4" t="s">
        <v>145</v>
      </c>
    </row>
    <row r="5" spans="3:16" ht="45" x14ac:dyDescent="0.25">
      <c r="C5" s="2" t="s">
        <v>74</v>
      </c>
      <c r="D5" s="1">
        <v>8</v>
      </c>
      <c r="E5" s="1">
        <f>SUMIF(I5:I35,"*Fysisk*",K5:K35)+SUMIF(N5:N33,"*Fysisk*",P5:P33)</f>
        <v>1</v>
      </c>
      <c r="F5" s="6">
        <f>E5/SUM(E5:E8)</f>
        <v>1</v>
      </c>
      <c r="G5" s="1">
        <f>F5*D5</f>
        <v>8</v>
      </c>
      <c r="I5" t="s">
        <v>144</v>
      </c>
      <c r="J5">
        <v>5240</v>
      </c>
      <c r="K5">
        <v>1</v>
      </c>
    </row>
    <row r="6" spans="3:16" ht="45" x14ac:dyDescent="0.25">
      <c r="C6" s="2" t="s">
        <v>75</v>
      </c>
      <c r="D6" s="1">
        <v>6</v>
      </c>
      <c r="E6" s="1">
        <f>SUMIF(I5:I35,"*Visuell*",K5:K35)+SUMIF(N5:N33,"*Visuell*",P5:P33)</f>
        <v>0</v>
      </c>
      <c r="F6" s="6">
        <f>E6/SUM(E5:E8)</f>
        <v>0</v>
      </c>
      <c r="G6" s="1">
        <f t="shared" ref="G6:G8" si="0">F6*D6</f>
        <v>0</v>
      </c>
      <c r="I6" s="9"/>
    </row>
    <row r="7" spans="3:16" x14ac:dyDescent="0.25">
      <c r="C7" s="2" t="s">
        <v>76</v>
      </c>
      <c r="D7" s="1">
        <v>4</v>
      </c>
      <c r="E7" s="1">
        <f>SUMIF(I5:I35,"*linje*",K5:K35)+SUMIF(N5:N33,"*linje*",P5:P33)</f>
        <v>0</v>
      </c>
      <c r="F7" s="6">
        <f>E7/SUM(E5:E8)</f>
        <v>0</v>
      </c>
      <c r="G7" s="1">
        <f t="shared" si="0"/>
        <v>0</v>
      </c>
      <c r="I7" s="9"/>
    </row>
    <row r="8" spans="3:16" x14ac:dyDescent="0.25">
      <c r="C8" s="1" t="s">
        <v>77</v>
      </c>
      <c r="D8" s="1">
        <v>0</v>
      </c>
      <c r="E8" s="1">
        <f>SUMIF(I5:I35,"*Blandtrafik*",K5:K35)+SUMIF(N5:N33,"*Blandtrafik*",P5:P33)</f>
        <v>0</v>
      </c>
      <c r="F8" s="6">
        <f>E8/SUM(E5:E8)</f>
        <v>0</v>
      </c>
      <c r="G8" s="1">
        <f t="shared" si="0"/>
        <v>0</v>
      </c>
    </row>
    <row r="9" spans="3:16" x14ac:dyDescent="0.25">
      <c r="D9" t="s">
        <v>150</v>
      </c>
      <c r="E9">
        <f>SUM(E5:E8)</f>
        <v>1</v>
      </c>
      <c r="F9" s="7" t="s">
        <v>38</v>
      </c>
      <c r="G9" s="10">
        <f>SUM(G5:G8)</f>
        <v>8</v>
      </c>
    </row>
    <row r="11" spans="3:16" x14ac:dyDescent="0.25">
      <c r="E11">
        <f>J35+O33</f>
        <v>0</v>
      </c>
    </row>
    <row r="12" spans="3:16" x14ac:dyDescent="0.25">
      <c r="E12">
        <f>SUM(E5:E8)</f>
        <v>1</v>
      </c>
    </row>
    <row r="14" spans="3:16" x14ac:dyDescent="0.25">
      <c r="E14" t="s">
        <v>77</v>
      </c>
    </row>
    <row r="15" spans="3:16" x14ac:dyDescent="0.25">
      <c r="E15" s="9" t="s">
        <v>142</v>
      </c>
    </row>
    <row r="16" spans="3:16" x14ac:dyDescent="0.25">
      <c r="E16" t="s">
        <v>143</v>
      </c>
    </row>
    <row r="17" spans="5:5" x14ac:dyDescent="0.25">
      <c r="E17" t="s">
        <v>144</v>
      </c>
    </row>
    <row r="33" spans="3:20" x14ac:dyDescent="0.25">
      <c r="N33" s="5"/>
    </row>
    <row r="34" spans="3:20" x14ac:dyDescent="0.25">
      <c r="L34" s="5"/>
    </row>
    <row r="35" spans="3:20" x14ac:dyDescent="0.25">
      <c r="L35" s="5"/>
      <c r="T35" s="5"/>
    </row>
    <row r="36" spans="3:20" x14ac:dyDescent="0.25">
      <c r="L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52</v>
      </c>
      <c r="E41" s="1" t="s">
        <v>44</v>
      </c>
      <c r="F41" s="1" t="s">
        <v>32</v>
      </c>
      <c r="G41" s="1" t="s">
        <v>80</v>
      </c>
    </row>
    <row r="42" spans="3:20" ht="49.5" customHeight="1" x14ac:dyDescent="0.25">
      <c r="C42" s="2" t="s">
        <v>78</v>
      </c>
      <c r="D42" s="1">
        <v>4</v>
      </c>
      <c r="E42" s="1">
        <v>1</v>
      </c>
      <c r="F42" s="6">
        <f>E42/(E42+E43)</f>
        <v>1</v>
      </c>
      <c r="G42" s="1">
        <f>F42*D42</f>
        <v>4</v>
      </c>
    </row>
    <row r="43" spans="3:20" ht="30" x14ac:dyDescent="0.25">
      <c r="C43" s="2" t="s">
        <v>79</v>
      </c>
      <c r="D43" s="1">
        <v>0</v>
      </c>
      <c r="E43" s="1"/>
      <c r="F43" s="6">
        <f>E43/(E42+E43)</f>
        <v>0</v>
      </c>
      <c r="G43" s="1">
        <f>F43*D43</f>
        <v>0</v>
      </c>
    </row>
    <row r="44" spans="3:20" x14ac:dyDescent="0.25">
      <c r="F44" s="1" t="s">
        <v>38</v>
      </c>
      <c r="G44" s="1">
        <f>SUM(G42:G43)</f>
        <v>4</v>
      </c>
      <c r="J44" t="s">
        <v>157</v>
      </c>
    </row>
    <row r="45" spans="3:20" x14ac:dyDescent="0.25">
      <c r="J45" s="5">
        <f>'Stadens utformning'!J26</f>
        <v>5180</v>
      </c>
      <c r="K45" s="5">
        <f>J45/1000</f>
        <v>5.18</v>
      </c>
      <c r="L45">
        <f>E55/K45</f>
        <v>0.38610038610038611</v>
      </c>
    </row>
    <row r="48" spans="3:20" x14ac:dyDescent="0.25">
      <c r="C48" s="1" t="s">
        <v>81</v>
      </c>
      <c r="D48" s="1" t="s">
        <v>52</v>
      </c>
      <c r="E48" s="1" t="s">
        <v>44</v>
      </c>
      <c r="F48" s="1" t="s">
        <v>32</v>
      </c>
      <c r="G48" s="1" t="s">
        <v>31</v>
      </c>
    </row>
    <row r="49" spans="3:10" x14ac:dyDescent="0.25">
      <c r="C49" s="1" t="s">
        <v>82</v>
      </c>
      <c r="D49" s="1">
        <v>3</v>
      </c>
      <c r="E49" s="1"/>
      <c r="F49" s="1">
        <v>1</v>
      </c>
      <c r="G49" s="1">
        <v>3</v>
      </c>
    </row>
    <row r="50" spans="3:10" x14ac:dyDescent="0.25">
      <c r="C50" s="1" t="s">
        <v>83</v>
      </c>
      <c r="D50" s="1">
        <v>0</v>
      </c>
      <c r="E50" s="1"/>
      <c r="F50" s="1">
        <v>0</v>
      </c>
      <c r="G50" s="1"/>
    </row>
    <row r="51" spans="3:10" x14ac:dyDescent="0.25">
      <c r="F51" s="7" t="s">
        <v>38</v>
      </c>
      <c r="G51" s="7">
        <f>SUM(G49:G50)</f>
        <v>3</v>
      </c>
    </row>
    <row r="54" spans="3:10" x14ac:dyDescent="0.25">
      <c r="C54" s="8" t="s">
        <v>84</v>
      </c>
      <c r="D54" s="1" t="s">
        <v>52</v>
      </c>
      <c r="E54" s="1" t="s">
        <v>44</v>
      </c>
      <c r="F54" s="1" t="s">
        <v>32</v>
      </c>
      <c r="G54" s="1" t="s">
        <v>31</v>
      </c>
    </row>
    <row r="55" spans="3:10" x14ac:dyDescent="0.25">
      <c r="C55" s="1" t="s">
        <v>85</v>
      </c>
      <c r="D55" s="1">
        <v>2</v>
      </c>
      <c r="E55" s="1">
        <v>2</v>
      </c>
      <c r="F55" s="1">
        <f>E55/(('Stadens utformning'!J26/1000))</f>
        <v>0.38610038610038611</v>
      </c>
      <c r="G55" s="1">
        <f>2-4*F55</f>
        <v>0.45559845559845558</v>
      </c>
    </row>
    <row r="56" spans="3:10" x14ac:dyDescent="0.25">
      <c r="C56" s="1" t="s">
        <v>86</v>
      </c>
      <c r="D56" s="1">
        <v>1</v>
      </c>
      <c r="E56" s="1"/>
      <c r="F56" s="1"/>
      <c r="G56" s="1">
        <f>D56*F56</f>
        <v>0</v>
      </c>
    </row>
    <row r="57" spans="3:10" x14ac:dyDescent="0.25">
      <c r="C57" s="1" t="s">
        <v>87</v>
      </c>
      <c r="D57" s="1">
        <v>0</v>
      </c>
      <c r="E57" s="1"/>
      <c r="F57" s="1"/>
      <c r="G57" s="1">
        <v>0</v>
      </c>
    </row>
    <row r="58" spans="3:10" x14ac:dyDescent="0.25">
      <c r="F58" s="7" t="s">
        <v>38</v>
      </c>
      <c r="G58" s="7">
        <f>SUM(G55:G57)</f>
        <v>0.45559845559845558</v>
      </c>
    </row>
    <row r="61" spans="3:10" x14ac:dyDescent="0.25">
      <c r="C61" s="1" t="s">
        <v>88</v>
      </c>
      <c r="D61" s="1" t="s">
        <v>52</v>
      </c>
      <c r="E61" s="1" t="s">
        <v>44</v>
      </c>
      <c r="F61" s="1" t="s">
        <v>73</v>
      </c>
      <c r="G61" s="1" t="s">
        <v>31</v>
      </c>
    </row>
    <row r="62" spans="3:10" x14ac:dyDescent="0.25">
      <c r="C62" s="1" t="s">
        <v>85</v>
      </c>
      <c r="D62" s="1">
        <v>3</v>
      </c>
      <c r="E62" s="1">
        <v>0</v>
      </c>
      <c r="F62" s="6"/>
      <c r="G62" s="1">
        <f>3-(3*F62)</f>
        <v>3</v>
      </c>
    </row>
    <row r="63" spans="3:10" x14ac:dyDescent="0.25">
      <c r="C63" s="1" t="s">
        <v>89</v>
      </c>
      <c r="D63" s="1">
        <v>2</v>
      </c>
      <c r="E63" s="1"/>
      <c r="F63" s="6"/>
      <c r="G63" s="1">
        <f>D63*F63</f>
        <v>0</v>
      </c>
    </row>
    <row r="64" spans="3:10" x14ac:dyDescent="0.25">
      <c r="C64" s="1" t="s">
        <v>90</v>
      </c>
      <c r="D64" s="1">
        <v>1</v>
      </c>
      <c r="E64" s="1"/>
      <c r="F64" s="6"/>
      <c r="G64" s="1">
        <f>D64*F64</f>
        <v>0</v>
      </c>
      <c r="J64" t="s">
        <v>156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f>SUM(G62:G65)</f>
        <v>3</v>
      </c>
    </row>
    <row r="68" spans="3:7" x14ac:dyDescent="0.25">
      <c r="C68" s="1" t="s">
        <v>91</v>
      </c>
      <c r="D68" s="1" t="s">
        <v>52</v>
      </c>
      <c r="E68" s="1" t="s">
        <v>44</v>
      </c>
      <c r="F68" s="1" t="s">
        <v>73</v>
      </c>
      <c r="G68" s="1" t="s">
        <v>31</v>
      </c>
    </row>
    <row r="69" spans="3:7" x14ac:dyDescent="0.25">
      <c r="C69" s="1" t="s">
        <v>85</v>
      </c>
      <c r="D69" s="1">
        <v>3</v>
      </c>
      <c r="E69" s="1">
        <v>0</v>
      </c>
      <c r="F69" s="6"/>
      <c r="G69" s="1">
        <f>3-(6*F69)</f>
        <v>3</v>
      </c>
    </row>
    <row r="70" spans="3:7" x14ac:dyDescent="0.25">
      <c r="C70" s="1" t="s">
        <v>92</v>
      </c>
      <c r="D70" s="1">
        <v>2</v>
      </c>
      <c r="E70" s="1"/>
      <c r="F70" s="6"/>
      <c r="G70" s="1"/>
    </row>
    <row r="71" spans="3:7" x14ac:dyDescent="0.25">
      <c r="C71" s="1" t="s">
        <v>93</v>
      </c>
      <c r="D71" s="1">
        <v>1</v>
      </c>
      <c r="E71" s="1"/>
      <c r="F71" s="6"/>
      <c r="G71" s="1"/>
    </row>
    <row r="72" spans="3:7" x14ac:dyDescent="0.25">
      <c r="C72" s="1" t="s">
        <v>94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f>SUM(G69:G72)</f>
        <v>3</v>
      </c>
    </row>
    <row r="76" spans="3:7" x14ac:dyDescent="0.25">
      <c r="C76" s="3" t="s">
        <v>95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96</v>
      </c>
      <c r="D77" s="1">
        <v>7</v>
      </c>
      <c r="E77" s="1"/>
      <c r="F77" s="1"/>
      <c r="G77" s="1">
        <v>7</v>
      </c>
    </row>
    <row r="78" spans="3:7" ht="30" x14ac:dyDescent="0.25">
      <c r="C78" s="2" t="s">
        <v>97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v>7</v>
      </c>
    </row>
    <row r="82" spans="3:10" x14ac:dyDescent="0.25">
      <c r="C82" s="8" t="s">
        <v>98</v>
      </c>
      <c r="D82" s="1" t="s">
        <v>52</v>
      </c>
      <c r="E82" s="1" t="s">
        <v>44</v>
      </c>
      <c r="F82" s="1" t="s">
        <v>73</v>
      </c>
      <c r="G82" s="1" t="s">
        <v>31</v>
      </c>
    </row>
    <row r="83" spans="3:10" x14ac:dyDescent="0.25">
      <c r="C83" s="1" t="s">
        <v>99</v>
      </c>
      <c r="D83" s="1">
        <v>3</v>
      </c>
      <c r="E83" s="1">
        <v>4</v>
      </c>
      <c r="F83" s="6">
        <f>E83/(K45)</f>
        <v>0.77220077220077221</v>
      </c>
      <c r="G83" s="1">
        <f>3-1.5*F83</f>
        <v>1.8416988416988418</v>
      </c>
    </row>
    <row r="84" spans="3:10" x14ac:dyDescent="0.25">
      <c r="C84" s="1" t="s">
        <v>100</v>
      </c>
      <c r="D84" s="1">
        <v>2</v>
      </c>
      <c r="E84" s="1"/>
      <c r="F84" s="6"/>
      <c r="G84" s="1"/>
    </row>
    <row r="85" spans="3:10" x14ac:dyDescent="0.25">
      <c r="C85" s="1" t="s">
        <v>101</v>
      </c>
      <c r="D85" s="1">
        <v>1</v>
      </c>
      <c r="E85" s="1"/>
      <c r="F85" s="6"/>
      <c r="G85" s="1"/>
    </row>
    <row r="86" spans="3:10" x14ac:dyDescent="0.25">
      <c r="C86" s="1" t="s">
        <v>102</v>
      </c>
      <c r="D86" s="1">
        <v>0</v>
      </c>
      <c r="E86" s="1"/>
      <c r="F86" s="6"/>
      <c r="G86" s="1"/>
    </row>
    <row r="87" spans="3:10" x14ac:dyDescent="0.25">
      <c r="F87" s="7" t="s">
        <v>38</v>
      </c>
      <c r="G87" s="10">
        <f>SUM(G83:G86)</f>
        <v>1.8416988416988418</v>
      </c>
    </row>
    <row r="89" spans="3:10" x14ac:dyDescent="0.25">
      <c r="J89" t="s">
        <v>103</v>
      </c>
    </row>
    <row r="91" spans="3:10" x14ac:dyDescent="0.25">
      <c r="J91" t="s">
        <v>104</v>
      </c>
    </row>
    <row r="92" spans="3:10" x14ac:dyDescent="0.25">
      <c r="J92" t="s">
        <v>105</v>
      </c>
    </row>
    <row r="93" spans="3:10" x14ac:dyDescent="0.25">
      <c r="J93" t="s">
        <v>106</v>
      </c>
    </row>
    <row r="94" spans="3:10" x14ac:dyDescent="0.25">
      <c r="J94" t="s">
        <v>80</v>
      </c>
    </row>
    <row r="96" spans="3:10" x14ac:dyDescent="0.25">
      <c r="C96" s="1" t="s">
        <v>107</v>
      </c>
      <c r="D96" s="1" t="s">
        <v>52</v>
      </c>
      <c r="E96" s="1" t="s">
        <v>44</v>
      </c>
      <c r="F96" s="1" t="s">
        <v>73</v>
      </c>
      <c r="G96" s="1" t="s">
        <v>31</v>
      </c>
    </row>
    <row r="97" spans="3:8" ht="90" x14ac:dyDescent="0.25">
      <c r="C97" s="2" t="s">
        <v>108</v>
      </c>
      <c r="D97" s="1">
        <v>10</v>
      </c>
      <c r="E97" s="1">
        <v>16</v>
      </c>
      <c r="F97" s="6">
        <f>E97/SUM(E97:E100)</f>
        <v>1</v>
      </c>
      <c r="G97" s="1">
        <f>D97*F97</f>
        <v>10</v>
      </c>
      <c r="H97" t="s">
        <v>132</v>
      </c>
    </row>
    <row r="98" spans="3:8" ht="60" x14ac:dyDescent="0.25">
      <c r="C98" s="2" t="s">
        <v>109</v>
      </c>
      <c r="D98" s="1">
        <v>8</v>
      </c>
      <c r="E98" s="1">
        <v>0</v>
      </c>
      <c r="F98" s="6">
        <f>E98/SUM(E97:E100)</f>
        <v>0</v>
      </c>
      <c r="G98" s="1">
        <f>D98*F98</f>
        <v>0</v>
      </c>
      <c r="H98" t="s">
        <v>130</v>
      </c>
    </row>
    <row r="99" spans="3:8" x14ac:dyDescent="0.25">
      <c r="C99" s="1" t="s">
        <v>110</v>
      </c>
      <c r="D99" s="1">
        <v>5</v>
      </c>
      <c r="E99" s="1">
        <v>0</v>
      </c>
      <c r="F99" s="6">
        <f>E99/SUM(E97:E100)</f>
        <v>0</v>
      </c>
      <c r="G99" s="1">
        <f>D99*F99</f>
        <v>0</v>
      </c>
      <c r="H99" t="s">
        <v>131</v>
      </c>
    </row>
    <row r="100" spans="3:8" ht="45" x14ac:dyDescent="0.25">
      <c r="C100" s="2" t="s">
        <v>111</v>
      </c>
      <c r="D100" s="1">
        <v>0</v>
      </c>
      <c r="E100" s="1">
        <v>0</v>
      </c>
      <c r="F100" s="6">
        <f>E100/SUM(E97:E100)</f>
        <v>0</v>
      </c>
      <c r="G100" s="1">
        <f>D100*F100</f>
        <v>0</v>
      </c>
    </row>
    <row r="101" spans="3:8" x14ac:dyDescent="0.25">
      <c r="F101" s="7" t="s">
        <v>38</v>
      </c>
      <c r="G101" s="10">
        <f>SUM(G97:G100)</f>
        <v>10</v>
      </c>
    </row>
    <row r="104" spans="3:8" x14ac:dyDescent="0.25">
      <c r="C104" s="1" t="s">
        <v>112</v>
      </c>
      <c r="D104" s="1" t="s">
        <v>52</v>
      </c>
      <c r="E104" s="1" t="s">
        <v>44</v>
      </c>
      <c r="F104" s="1" t="s">
        <v>73</v>
      </c>
      <c r="G104" s="1" t="s">
        <v>31</v>
      </c>
    </row>
    <row r="105" spans="3:8" ht="60" x14ac:dyDescent="0.25">
      <c r="C105" s="2" t="s">
        <v>113</v>
      </c>
      <c r="D105" s="1">
        <v>3</v>
      </c>
      <c r="E105" s="6">
        <v>10</v>
      </c>
      <c r="F105" s="6">
        <f>E105/SUM(E105:E108)</f>
        <v>0.625</v>
      </c>
      <c r="G105" s="1">
        <f>D105*F105</f>
        <v>1.875</v>
      </c>
    </row>
    <row r="106" spans="3:8" ht="45" x14ac:dyDescent="0.25">
      <c r="C106" s="2" t="s">
        <v>114</v>
      </c>
      <c r="D106" s="1">
        <v>2</v>
      </c>
      <c r="E106" s="6">
        <v>6</v>
      </c>
      <c r="F106" s="6">
        <f>E106/SUM(E105:E108)</f>
        <v>0.375</v>
      </c>
      <c r="G106" s="1">
        <f t="shared" ref="G106:G108" si="1">D106*F106</f>
        <v>0.75</v>
      </c>
    </row>
    <row r="107" spans="3:8" ht="45" x14ac:dyDescent="0.25">
      <c r="C107" s="2" t="s">
        <v>115</v>
      </c>
      <c r="D107" s="1">
        <v>1</v>
      </c>
      <c r="E107" s="6">
        <v>0</v>
      </c>
      <c r="F107" s="6">
        <f>E107/SUM(E105:E108)</f>
        <v>0</v>
      </c>
      <c r="G107" s="1">
        <f t="shared" si="1"/>
        <v>0</v>
      </c>
    </row>
    <row r="108" spans="3:8" x14ac:dyDescent="0.25">
      <c r="C108" s="1" t="s">
        <v>116</v>
      </c>
      <c r="D108" s="1">
        <v>0</v>
      </c>
      <c r="E108" s="6">
        <v>0</v>
      </c>
      <c r="F108" s="6">
        <f>E108/SUM(E105:E108)</f>
        <v>0</v>
      </c>
      <c r="G108" s="1">
        <f t="shared" si="1"/>
        <v>0</v>
      </c>
    </row>
    <row r="109" spans="3:8" x14ac:dyDescent="0.25">
      <c r="E109" s="7" t="s">
        <v>38</v>
      </c>
      <c r="F109" s="1">
        <f>SUM(F105:F108)</f>
        <v>1</v>
      </c>
      <c r="G109" s="10">
        <f>SUM(G105:G108)</f>
        <v>2.625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workbookViewId="0">
      <selection activeCell="L11" sqref="L11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65</v>
      </c>
      <c r="D4" s="1" t="s">
        <v>52</v>
      </c>
      <c r="E4" s="1" t="s">
        <v>32</v>
      </c>
      <c r="F4" s="1" t="s">
        <v>31</v>
      </c>
    </row>
    <row r="5" spans="3:7" ht="30" x14ac:dyDescent="0.25">
      <c r="C5" s="2" t="s">
        <v>63</v>
      </c>
      <c r="D5" s="1">
        <v>2</v>
      </c>
      <c r="E5" s="1">
        <v>1</v>
      </c>
      <c r="F5" s="1">
        <v>2</v>
      </c>
      <c r="G5" t="s">
        <v>196</v>
      </c>
    </row>
    <row r="6" spans="3:7" ht="60" x14ac:dyDescent="0.25">
      <c r="C6" s="2" t="s">
        <v>64</v>
      </c>
      <c r="D6" s="1">
        <v>2</v>
      </c>
      <c r="E6" s="1">
        <v>1</v>
      </c>
      <c r="F6" s="1">
        <v>2</v>
      </c>
      <c r="G6" t="s">
        <v>197</v>
      </c>
    </row>
    <row r="7" spans="3:7" x14ac:dyDescent="0.25">
      <c r="E7" s="1" t="s">
        <v>38</v>
      </c>
      <c r="F7" s="1">
        <f>SUM(F5:F6)</f>
        <v>4</v>
      </c>
    </row>
    <row r="9" spans="3:7" x14ac:dyDescent="0.25">
      <c r="C9" s="1" t="s">
        <v>10</v>
      </c>
      <c r="D9" s="1" t="s">
        <v>52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66</v>
      </c>
      <c r="D10" s="1">
        <v>2</v>
      </c>
      <c r="E10" s="1">
        <v>16</v>
      </c>
      <c r="F10" s="1">
        <v>1</v>
      </c>
      <c r="G10" s="1">
        <f>D10*F10</f>
        <v>2</v>
      </c>
    </row>
    <row r="11" spans="3:7" ht="30" x14ac:dyDescent="0.25">
      <c r="C11" s="2" t="s">
        <v>67</v>
      </c>
      <c r="D11" s="1">
        <v>2</v>
      </c>
      <c r="E11" s="1"/>
      <c r="F11" s="1" t="s">
        <v>68</v>
      </c>
      <c r="G11" s="1">
        <v>2</v>
      </c>
    </row>
    <row r="12" spans="3:7" x14ac:dyDescent="0.25">
      <c r="F12" s="1" t="s">
        <v>38</v>
      </c>
      <c r="G12" s="1">
        <f>SUM(G10:G11)</f>
        <v>4</v>
      </c>
    </row>
    <row r="14" spans="3:7" x14ac:dyDescent="0.25">
      <c r="C14" s="1" t="s">
        <v>69</v>
      </c>
      <c r="D14" s="1" t="s">
        <v>52</v>
      </c>
      <c r="E14" s="1" t="s">
        <v>32</v>
      </c>
      <c r="F14" s="1" t="s">
        <v>31</v>
      </c>
    </row>
    <row r="15" spans="3:7" x14ac:dyDescent="0.25">
      <c r="C15" s="1" t="s">
        <v>70</v>
      </c>
      <c r="D15" s="1">
        <v>9</v>
      </c>
      <c r="E15" s="1" t="s">
        <v>68</v>
      </c>
      <c r="F15" s="1">
        <v>9</v>
      </c>
    </row>
    <row r="16" spans="3:7" x14ac:dyDescent="0.25">
      <c r="C16" s="1" t="s">
        <v>71</v>
      </c>
      <c r="D16" s="1">
        <v>1</v>
      </c>
      <c r="E16" s="1" t="s">
        <v>68</v>
      </c>
      <c r="F16" s="1"/>
    </row>
    <row r="17" spans="3:6" x14ac:dyDescent="0.25">
      <c r="E17" s="1" t="s">
        <v>38</v>
      </c>
      <c r="F17" s="1">
        <f>SUM(F15:F16)</f>
        <v>9</v>
      </c>
    </row>
    <row r="19" spans="3:6" x14ac:dyDescent="0.25">
      <c r="C19" s="3" t="s">
        <v>12</v>
      </c>
      <c r="D19" s="1" t="s">
        <v>52</v>
      </c>
      <c r="E19" s="1" t="s">
        <v>32</v>
      </c>
      <c r="F19" s="1" t="s">
        <v>31</v>
      </c>
    </row>
    <row r="20" spans="3:6" ht="30" x14ac:dyDescent="0.25">
      <c r="C20" s="2" t="s">
        <v>72</v>
      </c>
      <c r="D20" s="1">
        <v>2</v>
      </c>
      <c r="E20" s="1">
        <v>1</v>
      </c>
      <c r="F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H29"/>
  <sheetViews>
    <sheetView workbookViewId="0">
      <selection activeCell="I27" sqref="I27"/>
    </sheetView>
  </sheetViews>
  <sheetFormatPr defaultRowHeight="15" x14ac:dyDescent="0.25"/>
  <cols>
    <col min="3" max="3" width="58" customWidth="1"/>
  </cols>
  <sheetData>
    <row r="4" spans="3:8" x14ac:dyDescent="0.25">
      <c r="C4" s="1" t="s">
        <v>146</v>
      </c>
      <c r="D4" s="1" t="s">
        <v>52</v>
      </c>
      <c r="E4" s="1" t="s">
        <v>32</v>
      </c>
      <c r="F4" s="1" t="s">
        <v>31</v>
      </c>
    </row>
    <row r="5" spans="3:8" x14ac:dyDescent="0.25">
      <c r="C5" s="1" t="s">
        <v>117</v>
      </c>
      <c r="D5" s="1">
        <v>4</v>
      </c>
      <c r="E5" s="1">
        <v>0</v>
      </c>
      <c r="F5" s="1"/>
      <c r="H5" t="s">
        <v>158</v>
      </c>
    </row>
    <row r="6" spans="3:8" x14ac:dyDescent="0.25">
      <c r="C6" s="1" t="s">
        <v>118</v>
      </c>
      <c r="D6" s="1">
        <v>3</v>
      </c>
      <c r="E6" s="1">
        <v>0</v>
      </c>
      <c r="F6" s="1">
        <v>3</v>
      </c>
    </row>
    <row r="7" spans="3:8" x14ac:dyDescent="0.25">
      <c r="C7" s="1" t="s">
        <v>119</v>
      </c>
      <c r="D7" s="1">
        <v>0</v>
      </c>
      <c r="E7" s="1">
        <v>0</v>
      </c>
      <c r="F7" s="1">
        <v>0</v>
      </c>
    </row>
    <row r="8" spans="3:8" x14ac:dyDescent="0.25">
      <c r="E8" s="7" t="s">
        <v>38</v>
      </c>
      <c r="F8" s="7">
        <f>SUM(F5:F7)</f>
        <v>3</v>
      </c>
    </row>
    <row r="11" spans="3:8" x14ac:dyDescent="0.25">
      <c r="C11" s="1" t="s">
        <v>147</v>
      </c>
      <c r="D11" s="1" t="s">
        <v>52</v>
      </c>
      <c r="E11" s="1" t="s">
        <v>32</v>
      </c>
      <c r="F11" s="1" t="s">
        <v>31</v>
      </c>
    </row>
    <row r="12" spans="3:8" x14ac:dyDescent="0.25">
      <c r="C12" s="1" t="s">
        <v>120</v>
      </c>
      <c r="D12" s="1">
        <v>4</v>
      </c>
      <c r="E12" s="1">
        <v>0</v>
      </c>
      <c r="F12" s="1"/>
    </row>
    <row r="13" spans="3:8" x14ac:dyDescent="0.25">
      <c r="C13" s="1" t="s">
        <v>121</v>
      </c>
      <c r="D13" s="1">
        <v>3</v>
      </c>
      <c r="E13" s="1">
        <v>0</v>
      </c>
      <c r="F13" s="1">
        <v>3</v>
      </c>
      <c r="H13" t="s">
        <v>159</v>
      </c>
    </row>
    <row r="14" spans="3:8" x14ac:dyDescent="0.25">
      <c r="C14" s="1" t="s">
        <v>122</v>
      </c>
      <c r="D14" s="1">
        <v>0</v>
      </c>
      <c r="E14" s="1">
        <v>0</v>
      </c>
      <c r="F14" s="1">
        <v>0</v>
      </c>
    </row>
    <row r="15" spans="3:8" x14ac:dyDescent="0.25">
      <c r="E15" s="7" t="s">
        <v>38</v>
      </c>
      <c r="F15" s="7">
        <f>SUM(F12:F14)</f>
        <v>3</v>
      </c>
    </row>
    <row r="18" spans="3:6" x14ac:dyDescent="0.25">
      <c r="C18" s="1" t="s">
        <v>123</v>
      </c>
      <c r="D18" s="1" t="s">
        <v>52</v>
      </c>
      <c r="E18" s="1" t="s">
        <v>32</v>
      </c>
      <c r="F18" s="1" t="s">
        <v>31</v>
      </c>
    </row>
    <row r="19" spans="3:6" x14ac:dyDescent="0.25">
      <c r="C19" s="1" t="s">
        <v>124</v>
      </c>
      <c r="D19" s="1">
        <v>3</v>
      </c>
      <c r="E19" s="1">
        <v>0</v>
      </c>
      <c r="F19" s="1">
        <v>3</v>
      </c>
    </row>
    <row r="20" spans="3:6" x14ac:dyDescent="0.25">
      <c r="C20" s="1" t="s">
        <v>125</v>
      </c>
      <c r="D20" s="1">
        <v>2</v>
      </c>
      <c r="E20" s="1">
        <v>0</v>
      </c>
      <c r="F20" s="1">
        <v>0</v>
      </c>
    </row>
    <row r="21" spans="3:6" x14ac:dyDescent="0.25">
      <c r="C21" s="1" t="s">
        <v>126</v>
      </c>
      <c r="D21" s="1">
        <v>0</v>
      </c>
      <c r="E21" s="1">
        <v>0</v>
      </c>
      <c r="F21" s="1">
        <v>0</v>
      </c>
    </row>
    <row r="22" spans="3:6" x14ac:dyDescent="0.25">
      <c r="E22" s="7" t="s">
        <v>38</v>
      </c>
      <c r="F22" s="7">
        <f>SUM(F19:F21)</f>
        <v>3</v>
      </c>
    </row>
    <row r="25" spans="3:6" x14ac:dyDescent="0.25">
      <c r="C25" s="1" t="s">
        <v>127</v>
      </c>
      <c r="D25" s="1" t="s">
        <v>52</v>
      </c>
      <c r="E25" s="1" t="s">
        <v>32</v>
      </c>
      <c r="F25" s="1" t="s">
        <v>31</v>
      </c>
    </row>
    <row r="26" spans="3:6" x14ac:dyDescent="0.25">
      <c r="C26" s="1" t="s">
        <v>125</v>
      </c>
      <c r="D26" s="1">
        <v>3</v>
      </c>
      <c r="E26" s="1">
        <v>0</v>
      </c>
      <c r="F26" s="1">
        <v>3</v>
      </c>
    </row>
    <row r="27" spans="3:6" x14ac:dyDescent="0.25">
      <c r="C27" s="1" t="s">
        <v>128</v>
      </c>
      <c r="D27" s="1">
        <v>2</v>
      </c>
      <c r="E27" s="1">
        <v>0</v>
      </c>
      <c r="F27" s="1"/>
    </row>
    <row r="28" spans="3:6" x14ac:dyDescent="0.25">
      <c r="C28" s="1" t="s">
        <v>129</v>
      </c>
      <c r="D28" s="1">
        <v>0</v>
      </c>
      <c r="E28" s="1">
        <v>0</v>
      </c>
      <c r="F28" s="1">
        <v>0</v>
      </c>
    </row>
    <row r="29" spans="3:6" x14ac:dyDescent="0.25">
      <c r="E29" s="7" t="s">
        <v>38</v>
      </c>
      <c r="F29" s="7">
        <f>SUM(F26:F28)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2024-05-29T08:44:32Z</dcterms:modified>
</cp:coreProperties>
</file>