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11" documentId="13_ncr:1_{5A03F223-56A2-4B03-A2AF-954656D93199}" xr6:coauthVersionLast="47" xr6:coauthVersionMax="47" xr10:uidLastSave="{CFBD347D-83AA-4143-92C1-89CD31F04857}"/>
  <bookViews>
    <workbookView xWindow="-120" yWindow="-120" windowWidth="29040" windowHeight="15720" activeTab="4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4" l="1"/>
  <c r="F68" i="1"/>
  <c r="E68" i="1" s="1"/>
  <c r="D68" i="1"/>
  <c r="F67" i="1"/>
  <c r="D67" i="1"/>
  <c r="E67" i="1" s="1"/>
  <c r="F66" i="1"/>
  <c r="E66" i="1" s="1"/>
  <c r="D66" i="1"/>
  <c r="F65" i="1"/>
  <c r="E65" i="1" s="1"/>
  <c r="D65" i="1"/>
  <c r="F64" i="1"/>
  <c r="D64" i="1"/>
  <c r="E64" i="1" s="1"/>
  <c r="F63" i="1"/>
  <c r="E63" i="1"/>
  <c r="D63" i="1"/>
  <c r="F62" i="1"/>
  <c r="D62" i="1"/>
  <c r="E62" i="1" s="1"/>
  <c r="F61" i="1"/>
  <c r="D61" i="1"/>
  <c r="E61" i="1" s="1"/>
  <c r="F60" i="1"/>
  <c r="E60" i="1" s="1"/>
  <c r="D60" i="1"/>
  <c r="F59" i="1"/>
  <c r="D59" i="1"/>
  <c r="E59" i="1" s="1"/>
  <c r="F58" i="1"/>
  <c r="D58" i="1"/>
  <c r="E58" i="1" s="1"/>
  <c r="F57" i="1"/>
  <c r="E57" i="1" s="1"/>
  <c r="D57" i="1"/>
  <c r="F56" i="1"/>
  <c r="D56" i="1"/>
  <c r="E56" i="1" s="1"/>
  <c r="F55" i="1"/>
  <c r="F54" i="1"/>
  <c r="D54" i="1"/>
  <c r="E54" i="1" s="1"/>
  <c r="F53" i="1"/>
  <c r="D53" i="1"/>
  <c r="E53" i="1" s="1"/>
  <c r="F52" i="1"/>
  <c r="E52" i="1" s="1"/>
  <c r="D52" i="1"/>
  <c r="F51" i="1"/>
  <c r="D51" i="1"/>
  <c r="E51" i="1" s="1"/>
  <c r="F50" i="1"/>
  <c r="D50" i="1"/>
  <c r="E50" i="1" s="1"/>
  <c r="F49" i="1"/>
  <c r="E49" i="1" s="1"/>
  <c r="D49" i="1"/>
  <c r="F48" i="1"/>
  <c r="D48" i="1"/>
  <c r="E48" i="1" s="1"/>
  <c r="F47" i="1"/>
  <c r="E47" i="1"/>
  <c r="D47" i="1"/>
  <c r="F46" i="1"/>
  <c r="D46" i="1"/>
  <c r="E46" i="1" s="1"/>
  <c r="F45" i="1"/>
  <c r="D45" i="1"/>
  <c r="E45" i="1" s="1"/>
  <c r="F44" i="1"/>
  <c r="E44" i="1" s="1"/>
  <c r="D44" i="1"/>
  <c r="N24" i="4"/>
  <c r="N23" i="4" s="1"/>
  <c r="N22" i="4" s="1"/>
  <c r="N21" i="4" s="1"/>
  <c r="N20" i="4" s="1"/>
  <c r="N19" i="4" s="1"/>
  <c r="N18" i="4" s="1"/>
  <c r="N17" i="4" s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N5" i="4" s="1"/>
  <c r="N25" i="4"/>
  <c r="N26" i="4"/>
  <c r="G49" i="4"/>
  <c r="E43" i="4"/>
  <c r="E4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6" i="4"/>
  <c r="S5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8" i="4"/>
  <c r="M7" i="4"/>
  <c r="M6" i="4"/>
  <c r="M5" i="4"/>
  <c r="F32" i="1"/>
  <c r="F12" i="1"/>
  <c r="G57" i="2"/>
  <c r="F53" i="2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F10" i="3"/>
  <c r="F72" i="2"/>
  <c r="G53" i="2"/>
  <c r="O45" i="2" l="1"/>
  <c r="O46" i="2"/>
  <c r="O47" i="2"/>
  <c r="O48" i="2"/>
  <c r="O49" i="2"/>
  <c r="E19" i="2"/>
  <c r="E20" i="2" s="1"/>
  <c r="K48" i="2"/>
  <c r="K49" i="2"/>
  <c r="K4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K29" i="2"/>
  <c r="K30" i="2"/>
  <c r="K31" i="2"/>
  <c r="K32" i="2"/>
  <c r="K33" i="2"/>
  <c r="K34" i="2"/>
  <c r="K35" i="2"/>
  <c r="K36" i="2"/>
  <c r="K37" i="2"/>
  <c r="K38" i="2"/>
  <c r="K39" i="2"/>
  <c r="K40" i="2"/>
  <c r="K42" i="2"/>
  <c r="K43" i="2"/>
  <c r="K44" i="2"/>
  <c r="K45" i="2"/>
  <c r="K46" i="2"/>
  <c r="K47" i="2"/>
  <c r="K28" i="2"/>
  <c r="G79" i="4"/>
  <c r="D21" i="1" s="1"/>
  <c r="D55" i="1" s="1"/>
  <c r="E55" i="1" s="1"/>
  <c r="E8" i="4"/>
  <c r="E7" i="4"/>
  <c r="E6" i="4"/>
  <c r="AF6" i="4"/>
  <c r="AF5" i="4"/>
  <c r="Z6" i="4"/>
  <c r="Z5" i="4"/>
  <c r="E5" i="4"/>
  <c r="O21" i="2"/>
  <c r="O20" i="2"/>
  <c r="O19" i="2"/>
  <c r="E7" i="2"/>
  <c r="D5" i="1" s="1"/>
  <c r="E39" i="1"/>
  <c r="E32" i="1"/>
  <c r="E25" i="1"/>
  <c r="E12" i="1"/>
  <c r="G10" i="3"/>
  <c r="E11" i="4"/>
  <c r="F43" i="4" l="1"/>
  <c r="G43" i="4" s="1"/>
  <c r="E21" i="2"/>
  <c r="E22" i="2" s="1"/>
  <c r="F55" i="4"/>
  <c r="G55" i="4" s="1"/>
  <c r="D18" i="1" s="1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72" i="2"/>
  <c r="G71" i="2"/>
  <c r="G73" i="2" s="1"/>
  <c r="F61" i="2"/>
  <c r="G61" i="2" s="1"/>
  <c r="F60" i="2"/>
  <c r="G60" i="2" s="1"/>
  <c r="K53" i="2"/>
  <c r="F42" i="4" l="1"/>
  <c r="G42" i="4" s="1"/>
  <c r="F69" i="4"/>
  <c r="G69" i="4" s="1"/>
  <c r="G73" i="4" s="1"/>
  <c r="D20" i="1" s="1"/>
  <c r="H5" i="5"/>
  <c r="H6" i="5" s="1"/>
  <c r="H7" i="5" s="1"/>
  <c r="F8" i="5" s="1"/>
  <c r="D35" i="1" s="1"/>
  <c r="F62" i="4"/>
  <c r="G62" i="4" s="1"/>
  <c r="K20" i="2"/>
  <c r="K21" i="2"/>
  <c r="K22" i="2"/>
  <c r="K23" i="2"/>
  <c r="K24" i="2"/>
  <c r="K25" i="2"/>
  <c r="K26" i="2"/>
  <c r="K27" i="2"/>
  <c r="K19" i="2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D11" i="1"/>
  <c r="G68" i="2"/>
  <c r="D10" i="1" s="1"/>
  <c r="G62" i="2"/>
  <c r="D9" i="1" s="1"/>
  <c r="D8" i="1"/>
  <c r="F11" i="2"/>
  <c r="F12" i="2"/>
  <c r="F13" i="2"/>
  <c r="O15" i="2" l="1"/>
  <c r="J14" i="2"/>
  <c r="J15" i="2" s="1"/>
  <c r="L16" i="2"/>
  <c r="D39" i="1"/>
  <c r="F39" i="1" s="1"/>
  <c r="D32" i="1"/>
  <c r="G101" i="4"/>
  <c r="D23" i="1" s="1"/>
  <c r="G66" i="4"/>
  <c r="D19" i="1" s="1"/>
  <c r="F10" i="2" l="1"/>
  <c r="F14" i="2" s="1"/>
  <c r="D6" i="1" s="1"/>
  <c r="M14" i="1"/>
  <c r="M6" i="1"/>
  <c r="M15" i="1"/>
  <c r="M16" i="1"/>
  <c r="M7" i="1"/>
  <c r="M17" i="1"/>
  <c r="G109" i="4"/>
  <c r="D24" i="1" s="1"/>
  <c r="G44" i="4"/>
  <c r="D16" i="1" s="1"/>
  <c r="D22" i="1"/>
  <c r="E23" i="2" l="1"/>
  <c r="G51" i="4"/>
  <c r="D17" i="1" s="1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40" i="1" s="1"/>
  <c r="D25" i="1"/>
  <c r="F25" i="1" s="1"/>
  <c r="D12" i="1" l="1"/>
  <c r="M4" i="1" s="1"/>
  <c r="M5" i="1"/>
  <c r="M13" i="1"/>
  <c r="M12" i="1"/>
  <c r="M10" i="1" l="1"/>
  <c r="M11" i="1" s="1"/>
  <c r="N7" i="1"/>
  <c r="N4" i="1"/>
  <c r="N6" i="1"/>
  <c r="N5" i="1"/>
</calcChain>
</file>

<file path=xl/sharedStrings.xml><?xml version="1.0" encoding="utf-8"?>
<sst xmlns="http://schemas.openxmlformats.org/spreadsheetml/2006/main" count="448" uniqueCount="201">
  <si>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</si>
  <si>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</si>
  <si>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</si>
  <si>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</si>
  <si>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</si>
  <si>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</si>
  <si>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</si>
  <si>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</si>
  <si>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</si>
  <si>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</si>
  <si>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</si>
  <si>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</si>
  <si>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</si>
  <si>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</si>
  <si>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</si>
  <si>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</si>
  <si>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</si>
  <si>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</si>
  <si>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</si>
  <si>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</si>
  <si>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</si>
  <si>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</si>
  <si>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</si>
  <si>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</si>
  <si>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</si>
  <si>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</si>
  <si>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</si>
  <si>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</si>
  <si>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</si>
  <si>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</si>
  <si>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</si>
  <si>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</si>
  <si>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</si>
  <si>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</si>
  <si>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</si>
  <si>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</si>
  <si>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</si>
  <si>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</si>
  <si>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</si>
  <si>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</si>
  <si>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</si>
  <si>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</si>
  <si>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</si>
  <si>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</si>
  <si>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</si>
  <si>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</si>
  <si>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</si>
  <si>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</si>
  <si>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</si>
  <si>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</si>
  <si>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</si>
  <si>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</si>
  <si>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</si>
  <si>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</si>
  <si>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</si>
  <si>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</si>
  <si>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</si>
  <si>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</si>
  <si>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</si>
  <si>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</si>
  <si>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</si>
  <si>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</si>
  <si>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</si>
  <si>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</si>
  <si>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</si>
  <si>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</si>
  <si>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</si>
  <si>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</si>
  <si>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</si>
  <si>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</si>
  <si>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</si>
  <si>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</si>
  <si>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</si>
  <si>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</si>
  <si>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</si>
  <si>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</si>
  <si>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</si>
  <si>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</si>
  <si>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</si>
  <si>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</si>
  <si>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</si>
  <si>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</si>
  <si>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</si>
  <si>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</si>
  <si>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</si>
  <si>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</si>
  <si>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</si>
  <si>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</si>
  <si>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</si>
  <si>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</si>
  <si>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</si>
  <si>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</si>
  <si>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</si>
  <si>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</si>
  <si>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</si>
  <si>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</si>
  <si>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</si>
  <si>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</si>
  <si>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</si>
  <si>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</si>
  <si>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</si>
  <si>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</si>
  <si>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</si>
  <si>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</si>
  <si>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</si>
  <si>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</si>
  <si>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</si>
  <si>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</si>
  <si>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</si>
  <si>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</si>
  <si>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</si>
  <si>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</si>
  <si>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</si>
  <si>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</si>
  <si>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</si>
  <si>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</si>
  <si>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</si>
  <si>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</si>
  <si>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</si>
  <si>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</si>
  <si>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</si>
  <si>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</si>
  <si>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</si>
  <si>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</si>
  <si>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</si>
  <si>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</si>
  <si>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</si>
  <si>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</si>
  <si>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</si>
  <si>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</si>
  <si>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</si>
  <si>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</si>
  <si>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</si>
  <si>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</si>
  <si>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</si>
  <si>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</si>
  <si>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</si>
  <si>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</si>
  <si>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</si>
  <si>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</si>
  <si>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</si>
  <si>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</si>
  <si>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</si>
  <si>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</si>
  <si>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</si>
  <si>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</si>
  <si>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</si>
  <si>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</si>
  <si>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</si>
  <si>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</si>
  <si>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</si>
  <si>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</si>
  <si>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</si>
  <si>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BRT-satsningen medför oförändrat eller kortare avstånd för fotgängare som korsar något av korsningens ben.</t>
  </si>
  <si>
    <t>Annan användning</t>
  </si>
  <si>
    <t>Namn: Trondheim Linje 1</t>
  </si>
  <si>
    <t>Östra lund - Olav Trygg få</t>
  </si>
  <si>
    <t>Östra lund - Olav Trygg fa</t>
  </si>
  <si>
    <t>Ranheim - Olav Trygg få</t>
  </si>
  <si>
    <t>Ranheim - Olav Trygg fa</t>
  </si>
  <si>
    <t>Ranheim</t>
  </si>
  <si>
    <t>idrettsplatss</t>
  </si>
  <si>
    <t>Östre Lund</t>
  </si>
  <si>
    <t>Kattemsenteret</t>
  </si>
  <si>
    <t>x</t>
  </si>
  <si>
    <t>söndag en gång i halvtimmen</t>
  </si>
  <si>
    <t>tot</t>
  </si>
  <si>
    <t>Start Ranheim</t>
  </si>
  <si>
    <t>Start Östre Lund</t>
  </si>
  <si>
    <t>Blandtafik</t>
  </si>
  <si>
    <t>X</t>
  </si>
  <si>
    <t>Parametrar</t>
  </si>
  <si>
    <t>Faktisk poäng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</si>
  <si>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</si>
  <si>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</si>
  <si>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</si>
  <si>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</si>
  <si>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</si>
  <si>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</si>
  <si>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</si>
  <si>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</si>
  <si>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</si>
  <si>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</si>
  <si>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</si>
  <si>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</si>
  <si>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</si>
  <si>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</si>
  <si>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</si>
  <si>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</si>
  <si>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</si>
  <si>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</si>
  <si>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</si>
  <si>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</si>
  <si>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</si>
  <si>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</si>
  <si>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</si>
  <si>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</si>
  <si>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</si>
  <si>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samma typ av hållplatsskyltar mm</t>
  </si>
  <si>
    <t>unika fordon, spårvägsliknande</t>
  </si>
  <si>
    <t>Båda har genomförts enligt platsbesök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</si>
</sst>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1" fontId="0" fillId="0" borderId="0" xfId="0" applyNumberFormat="1"/>
    <xf numFmtId="0" fontId="0" fillId="9" borderId="0" xfId="0" applyFill="1"/>
    <xf numFmtId="0" fontId="0" fillId="10" borderId="0" xfId="0" applyFill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8219993048747E-2"/>
          <c:y val="2.0833333333333332E-2"/>
          <c:w val="0.52168402522635982"/>
          <c:h val="0.9537037037037037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3A-47B4-B53D-1AD141CC274D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3A-47B4-B53D-1AD141CC274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3A-47B4-B53D-1AD141CC274D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43A-47B4-B53D-1AD141CC274D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43A-47B4-B53D-1AD141CC274D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43A-47B4-B53D-1AD141CC274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43A-47B4-B53D-1AD141CC274D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43A-47B4-B53D-1AD141CC27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9.3411757176206276</c:v>
                </c:pt>
                <c:pt idx="1">
                  <c:v>10.658824282379372</c:v>
                </c:pt>
                <c:pt idx="2">
                  <c:v>12.716053379086544</c:v>
                </c:pt>
                <c:pt idx="3">
                  <c:v>33.283946620913454</c:v>
                </c:pt>
                <c:pt idx="4">
                  <c:v>14.966666666666667</c:v>
                </c:pt>
                <c:pt idx="5">
                  <c:v>5.0333333333333332</c:v>
                </c:pt>
                <c:pt idx="6">
                  <c:v>6.0172349194454853</c:v>
                </c:pt>
                <c:pt idx="7">
                  <c:v>7.9827650805545147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3A-47B4-B53D-1AD141CC27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Trondheim</a:t>
            </a:r>
            <a:r>
              <a:rPr lang="sv-SE" baseline="0"/>
              <a:t> Linje 2</a:t>
            </a:r>
            <a:endParaRPr lang="sv-S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94563492063492"/>
          <c:y val="0.19080714285714287"/>
          <c:w val="0.7851488095238095"/>
          <c:h val="0.785148809523809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F52-43CF-9CA9-6FEF3AE0A23B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F52-43CF-9CA9-6FEF3AE0A23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F52-43CF-9CA9-6FEF3AE0A23B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F52-43CF-9CA9-6FEF3AE0A2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F52-43CF-9CA9-6FEF3AE0A23B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F52-43CF-9CA9-6FEF3AE0A23B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F52-43CF-9CA9-6FEF3AE0A23B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F52-43CF-9CA9-6FEF3AE0A2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9.3411757176206276</c:v>
                </c:pt>
                <c:pt idx="1">
                  <c:v>10.658824282379372</c:v>
                </c:pt>
                <c:pt idx="2">
                  <c:v>12.716053379086544</c:v>
                </c:pt>
                <c:pt idx="3">
                  <c:v>33.283946620913454</c:v>
                </c:pt>
                <c:pt idx="4">
                  <c:v>14.966666666666667</c:v>
                </c:pt>
                <c:pt idx="5">
                  <c:v>5.0333333333333332</c:v>
                </c:pt>
                <c:pt idx="6">
                  <c:v>6.0172349194454853</c:v>
                </c:pt>
                <c:pt idx="7">
                  <c:v>7.9827650805545147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F52-43CF-9CA9-6FEF3AE0A2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EF-46CA-A1B3-27CE22602AE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FEF-46CA-A1B3-27CE22602AE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FEF-46CA-A1B3-27CE22602AE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FEF-46CA-A1B3-27CE22602AE3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FEF-46CA-A1B3-27CE22602AE3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FEF-46CA-A1B3-27CE22602AE3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FEF-46CA-A1B3-27CE22602AE3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FEF-46CA-A1B3-27CE22602AE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FEF-46CA-A1B3-27CE22602AE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FEF-46CA-A1B3-27CE22602AE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FEF-46CA-A1B3-27CE22602AE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FEF-46CA-A1B3-27CE22602AE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FEF-46CA-A1B3-27CE22602AE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FEF-46CA-A1B3-27CE22602A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FEF-46CA-A1B3-27CE22602A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FEF-46CA-A1B3-27CE22602AE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FEF-46CA-A1B3-27CE22602AE3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FEF-46CA-A1B3-27CE22602AE3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FEF-46CA-A1B3-27CE22602AE3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FEF-46CA-A1B3-27CE22602AE3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FEF-46CA-A1B3-27CE22602AE3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FEF-46CA-A1B3-27CE22602AE3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EFEF-46CA-A1B3-27CE22602AE3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EFEF-46CA-A1B3-27CE22602AE3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FEF-46CA-A1B3-27CE22602AE3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1.0172349194454853</c:v>
                </c:pt>
                <c:pt idx="4">
                  <c:v>0</c:v>
                </c:pt>
                <c:pt idx="5">
                  <c:v>9</c:v>
                </c:pt>
                <c:pt idx="6">
                  <c:v>3.9666666666666668</c:v>
                </c:pt>
                <c:pt idx="7">
                  <c:v>2</c:v>
                </c:pt>
                <c:pt idx="8">
                  <c:v>1.5333333333333332</c:v>
                </c:pt>
                <c:pt idx="9">
                  <c:v>4.166666666666667</c:v>
                </c:pt>
                <c:pt idx="10">
                  <c:v>0</c:v>
                </c:pt>
                <c:pt idx="11">
                  <c:v>1.4000000000000001</c:v>
                </c:pt>
                <c:pt idx="12">
                  <c:v>1.651180217309854</c:v>
                </c:pt>
                <c:pt idx="13">
                  <c:v>0.86436867740726875</c:v>
                </c:pt>
                <c:pt idx="14">
                  <c:v>0</c:v>
                </c:pt>
                <c:pt idx="15">
                  <c:v>0.60000000000000009</c:v>
                </c:pt>
                <c:pt idx="16">
                  <c:v>0.74104401228249739</c:v>
                </c:pt>
                <c:pt idx="17">
                  <c:v>1.7594604720869238</c:v>
                </c:pt>
                <c:pt idx="18">
                  <c:v>0.6</c:v>
                </c:pt>
                <c:pt idx="19">
                  <c:v>1</c:v>
                </c:pt>
                <c:pt idx="20">
                  <c:v>3</c:v>
                </c:pt>
                <c:pt idx="21">
                  <c:v>2.8368794326240732E-2</c:v>
                </c:pt>
                <c:pt idx="22">
                  <c:v>3.5</c:v>
                </c:pt>
                <c:pt idx="23">
                  <c:v>1.2128069232943883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FEF-46CA-A1B3-27CE22602AE3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EFEF-46CA-A1B3-27CE22602A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EFEF-46CA-A1B3-27CE22602A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EFEF-46CA-A1B3-27CE22602A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EFEF-46CA-A1B3-27CE22602AE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EFEF-46CA-A1B3-27CE22602AE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EFEF-46CA-A1B3-27CE22602AE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EFEF-46CA-A1B3-27CE22602AE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EFEF-46CA-A1B3-27CE22602AE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EFEF-46CA-A1B3-27CE22602AE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EFEF-46CA-A1B3-27CE22602AE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EFEF-46CA-A1B3-27CE22602AE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EFEF-46CA-A1B3-27CE22602AE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EFEF-46CA-A1B3-27CE22602AE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EFEF-46CA-A1B3-27CE22602A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EFEF-46CA-A1B3-27CE22602A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EFEF-46CA-A1B3-27CE22602AE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EFEF-46CA-A1B3-27CE22602AE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EFEF-46CA-A1B3-27CE22602AE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EFEF-46CA-A1B3-27CE22602AE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EFEF-46CA-A1B3-27CE22602A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EFEF-46CA-A1B3-27CE22602AE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EFEF-46CA-A1B3-27CE22602AE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EFEF-46CA-A1B3-27CE22602AE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EFEF-46CA-A1B3-27CE22602AE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EFEF-46CA-A1B3-27CE22602AE3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2.9827650805545147</c:v>
                </c:pt>
                <c:pt idx="4">
                  <c:v>2</c:v>
                </c:pt>
                <c:pt idx="5">
                  <c:v>1</c:v>
                </c:pt>
                <c:pt idx="6">
                  <c:v>3.3333333333333215E-2</c:v>
                </c:pt>
                <c:pt idx="7">
                  <c:v>2</c:v>
                </c:pt>
                <c:pt idx="8">
                  <c:v>1.4666666666666668</c:v>
                </c:pt>
                <c:pt idx="9">
                  <c:v>5.833333333333333</c:v>
                </c:pt>
                <c:pt idx="10">
                  <c:v>3</c:v>
                </c:pt>
                <c:pt idx="11">
                  <c:v>5.6</c:v>
                </c:pt>
                <c:pt idx="12">
                  <c:v>1.348819782690146</c:v>
                </c:pt>
                <c:pt idx="13">
                  <c:v>2.1356313225927313</c:v>
                </c:pt>
                <c:pt idx="14">
                  <c:v>2</c:v>
                </c:pt>
                <c:pt idx="15">
                  <c:v>2.4</c:v>
                </c:pt>
                <c:pt idx="16">
                  <c:v>3.2589559877175027</c:v>
                </c:pt>
                <c:pt idx="17">
                  <c:v>6.240539527913076</c:v>
                </c:pt>
                <c:pt idx="18">
                  <c:v>1.4</c:v>
                </c:pt>
                <c:pt idx="19">
                  <c:v>1</c:v>
                </c:pt>
                <c:pt idx="20">
                  <c:v>0</c:v>
                </c:pt>
                <c:pt idx="21">
                  <c:v>2.9716312056737593</c:v>
                </c:pt>
                <c:pt idx="22">
                  <c:v>1.5</c:v>
                </c:pt>
                <c:pt idx="23">
                  <c:v>1.7871930767056117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EFEF-46CA-A1B3-27CE2260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6</xdr:row>
      <xdr:rowOff>176212</xdr:rowOff>
    </xdr:from>
    <xdr:to>
      <xdr:col>16</xdr:col>
      <xdr:colOff>66000</xdr:colOff>
      <xdr:row>18</xdr:row>
      <xdr:rowOff>50212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6F0424D-701C-B022-0C86-8401C87EF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1910400</xdr:colOff>
      <xdr:row>36</xdr:row>
      <xdr:rowOff>43500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08FD72A-C153-49F3-94D0-2B538AC88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44</xdr:row>
      <xdr:rowOff>52386</xdr:rowOff>
    </xdr:from>
    <xdr:to>
      <xdr:col>13</xdr:col>
      <xdr:colOff>161925</xdr:colOff>
      <xdr:row>70</xdr:row>
      <xdr:rowOff>152399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CC3197D-1107-4F73-9D21-E7A9B0A2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564444</xdr:colOff>
      <xdr:row>40</xdr:row>
      <xdr:rowOff>1</xdr:rowOff>
    </xdr:from>
    <xdr:to>
      <xdr:col>15</xdr:col>
      <xdr:colOff>12141</xdr:colOff>
      <xdr:row>65</xdr:row>
      <xdr:rowOff>85795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6DEED3F-383C-63F6-2921-70667BBCC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972" y="8519584"/>
          <a:ext cx="6106377" cy="5553850"/>
        </a:xfrm>
        <a:prstGeom prst="rect">
          <a:avLst/>
        </a:prstGeom>
      </xdr:spPr>
    </xdr:pic>
    <xdr:clientData/>
  </xdr:twoCellAnchor>
  <xdr:twoCellAnchor editAs="oneCell">
    <xdr:from>
      <xdr:col>7</xdr:col>
      <xdr:colOff>564444</xdr:colOff>
      <xdr:row>66</xdr:row>
      <xdr:rowOff>8818</xdr:rowOff>
    </xdr:from>
    <xdr:to>
      <xdr:col>14</xdr:col>
      <xdr:colOff>311532</xdr:colOff>
      <xdr:row>83</xdr:row>
      <xdr:rowOff>173722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CFB27FD1-D20A-CAB2-183B-93AD8AA5A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0972" y="14190485"/>
          <a:ext cx="5268060" cy="3648584"/>
        </a:xfrm>
        <a:prstGeom prst="rect">
          <a:avLst/>
        </a:prstGeom>
      </xdr:spPr>
    </xdr:pic>
    <xdr:clientData/>
  </xdr:twoCellAnchor>
  <xdr:twoCellAnchor editAs="oneCell">
    <xdr:from>
      <xdr:col>8</xdr:col>
      <xdr:colOff>908403</xdr:colOff>
      <xdr:row>85</xdr:row>
      <xdr:rowOff>8819</xdr:rowOff>
    </xdr:from>
    <xdr:to>
      <xdr:col>11</xdr:col>
      <xdr:colOff>657246</xdr:colOff>
      <xdr:row>96</xdr:row>
      <xdr:rowOff>865781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90B86F07-57F3-DB6B-C0E4-78537101E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13472" y="18062222"/>
          <a:ext cx="2676899" cy="2991267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238126</xdr:colOff>
      <xdr:row>84</xdr:row>
      <xdr:rowOff>105833</xdr:rowOff>
    </xdr:from>
    <xdr:to>
      <xdr:col>15</xdr:col>
      <xdr:colOff>17583</xdr:colOff>
      <xdr:row>96</xdr:row>
      <xdr:rowOff>929230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C9FF0C8B-FFDA-8BAA-1C21-9BCCD6953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41529" y="17965208"/>
          <a:ext cx="2231262" cy="315173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workbookViewId="0">
      <selection activeCell="H36" sqref="H36"/>
    </sheetView>
  </sheetViews>
  <sheetFormatPr defaultRowHeight="15" x14ac:dyDescent="0.25"/>
  <cols>
    <col min="3" max="3" width="39.28515625" customWidth="1"/>
    <col min="4" max="4" width="14.42578125" customWidth="1"/>
    <col min="5" max="5" width="11.5703125" bestFit="1" customWidth="1"/>
    <col min="12" max="12" width="31.7109375" customWidth="1"/>
  </cols>
  <sheetData>
    <row r="2" spans="2:14" x14ac:dyDescent="0.25">
      <c r="C2" t="s">
        <v>155</v>
      </c>
    </row>
    <row r="3" spans="2:14" x14ac:dyDescent="0.25">
      <c r="B3" s="30" t="s">
        <v>0</v>
      </c>
      <c r="C3" s="31"/>
      <c r="D3" s="31"/>
      <c r="E3" s="32"/>
    </row>
    <row r="4" spans="2:14" x14ac:dyDescent="0.25">
      <c r="B4" s="14"/>
      <c r="C4" s="12" t="s">
        <v>145</v>
      </c>
      <c r="D4" s="12" t="s">
        <v>31</v>
      </c>
      <c r="E4" s="12" t="s">
        <v>146</v>
      </c>
      <c r="L4" t="s">
        <v>0</v>
      </c>
      <c r="M4">
        <f>D12</f>
        <v>9.3411757176206276</v>
      </c>
      <c r="N4">
        <f>M4/SUM($M$4:$M$7)</f>
        <v>0.21702905033926848</v>
      </c>
    </row>
    <row r="5" spans="2:14" x14ac:dyDescent="0.25">
      <c r="B5" s="15"/>
      <c r="C5" t="s">
        <v>1</v>
      </c>
      <c r="D5" s="1">
        <f>'Stadens utformning'!E7</f>
        <v>2</v>
      </c>
      <c r="E5" s="1">
        <v>2</v>
      </c>
      <c r="L5" t="s">
        <v>13</v>
      </c>
      <c r="M5">
        <f>D25</f>
        <v>12.716053379086544</v>
      </c>
      <c r="N5">
        <f>M5/SUM($M$4:$M$7)</f>
        <v>0.29543957552589101</v>
      </c>
    </row>
    <row r="6" spans="2:14" x14ac:dyDescent="0.25">
      <c r="B6" s="15"/>
      <c r="C6" s="1" t="s">
        <v>2</v>
      </c>
      <c r="D6" s="11">
        <f>'Stadens utformning'!F14</f>
        <v>1.2128069232943883</v>
      </c>
      <c r="E6" s="1">
        <v>3</v>
      </c>
      <c r="L6" t="s">
        <v>8</v>
      </c>
      <c r="M6">
        <f>D32</f>
        <v>14.966666666666667</v>
      </c>
      <c r="N6">
        <f>M6/SUM($M$4:$M$7)</f>
        <v>0.34772940276499043</v>
      </c>
    </row>
    <row r="7" spans="2:14" x14ac:dyDescent="0.25">
      <c r="B7" s="15"/>
      <c r="C7" s="1" t="s">
        <v>3</v>
      </c>
      <c r="D7" s="11">
        <f>'Stadens utformning'!G23</f>
        <v>3.5</v>
      </c>
      <c r="E7" s="1">
        <v>5</v>
      </c>
      <c r="L7" t="s">
        <v>24</v>
      </c>
      <c r="M7">
        <f>D39</f>
        <v>6.0172349194454853</v>
      </c>
      <c r="N7">
        <f>M7/SUM($M$4:$M$7)</f>
        <v>0.13980197136985015</v>
      </c>
    </row>
    <row r="8" spans="2:14" x14ac:dyDescent="0.25">
      <c r="B8" s="15"/>
      <c r="C8" s="1" t="s">
        <v>4</v>
      </c>
      <c r="D8" s="11">
        <f>'Stadens utformning'!G57</f>
        <v>2.8368794326240732E-2</v>
      </c>
      <c r="E8" s="1">
        <v>3</v>
      </c>
    </row>
    <row r="9" spans="2:14" x14ac:dyDescent="0.25">
      <c r="B9" s="15"/>
      <c r="C9" s="1" t="s">
        <v>5</v>
      </c>
      <c r="D9" s="11">
        <f>'Stadens utformning'!G62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utformning'!G68</f>
        <v>1</v>
      </c>
      <c r="E10" s="1">
        <v>2</v>
      </c>
      <c r="L10" t="s">
        <v>0</v>
      </c>
      <c r="M10" s="27">
        <f>D12</f>
        <v>9.3411757176206276</v>
      </c>
    </row>
    <row r="11" spans="2:14" x14ac:dyDescent="0.25">
      <c r="B11" s="15"/>
      <c r="C11" s="1" t="s">
        <v>7</v>
      </c>
      <c r="D11" s="11">
        <f>'Stadens utformning'!G73</f>
        <v>0.6</v>
      </c>
      <c r="E11" s="1">
        <v>2</v>
      </c>
      <c r="L11" t="s">
        <v>147</v>
      </c>
      <c r="M11" s="27">
        <f>E12-M10</f>
        <v>10.658824282379372</v>
      </c>
    </row>
    <row r="12" spans="2:14" x14ac:dyDescent="0.25">
      <c r="B12" s="16"/>
      <c r="C12" s="1" t="s">
        <v>61</v>
      </c>
      <c r="D12" s="11">
        <f>SUM(D6:D11)</f>
        <v>9.3411757176206276</v>
      </c>
      <c r="E12" s="11">
        <f>SUM(E5:E11)</f>
        <v>20</v>
      </c>
      <c r="F12">
        <f>D12/E12</f>
        <v>0.46705878588103139</v>
      </c>
      <c r="L12" t="s">
        <v>13</v>
      </c>
      <c r="M12" s="27">
        <f>D25</f>
        <v>12.716053379086544</v>
      </c>
    </row>
    <row r="13" spans="2:14" x14ac:dyDescent="0.25">
      <c r="B13" s="30" t="s">
        <v>13</v>
      </c>
      <c r="C13" s="31"/>
      <c r="D13" s="31"/>
      <c r="E13" s="32"/>
      <c r="L13" t="s">
        <v>148</v>
      </c>
      <c r="M13" s="27">
        <f>E25-D25</f>
        <v>33.283946620913454</v>
      </c>
    </row>
    <row r="14" spans="2:14" x14ac:dyDescent="0.25">
      <c r="B14" s="17"/>
      <c r="C14" s="12" t="s">
        <v>145</v>
      </c>
      <c r="D14" s="12" t="s">
        <v>31</v>
      </c>
      <c r="E14" s="12" t="s">
        <v>146</v>
      </c>
      <c r="L14" t="s">
        <v>8</v>
      </c>
      <c r="M14" s="27">
        <f>D32</f>
        <v>14.966666666666667</v>
      </c>
    </row>
    <row r="15" spans="2:14" x14ac:dyDescent="0.25">
      <c r="B15" s="18"/>
      <c r="C15" s="1" t="s">
        <v>14</v>
      </c>
      <c r="D15" s="11">
        <f>'Kollektivtrafikens infrastruktu'!G9</f>
        <v>1.7594604720869238</v>
      </c>
      <c r="E15" s="1">
        <v>8</v>
      </c>
      <c r="L15" t="s">
        <v>149</v>
      </c>
      <c r="M15" s="27">
        <f>E32-D32</f>
        <v>5.0333333333333332</v>
      </c>
    </row>
    <row r="16" spans="2:14" x14ac:dyDescent="0.25">
      <c r="B16" s="18"/>
      <c r="C16" s="1" t="s">
        <v>15</v>
      </c>
      <c r="D16" s="11">
        <f>'Kollektivtrafikens infrastruktu'!G44</f>
        <v>0.74104401228249739</v>
      </c>
      <c r="E16" s="1">
        <v>4</v>
      </c>
      <c r="L16" t="s">
        <v>24</v>
      </c>
      <c r="M16" s="27">
        <f>D39</f>
        <v>6.0172349194454853</v>
      </c>
    </row>
    <row r="17" spans="2:13" x14ac:dyDescent="0.25">
      <c r="B17" s="18"/>
      <c r="C17" s="1" t="s">
        <v>16</v>
      </c>
      <c r="D17" s="11">
        <f>'Kollektivtrafikens infrastruktu'!G51</f>
        <v>0.60000000000000009</v>
      </c>
      <c r="E17" s="1">
        <v>3</v>
      </c>
      <c r="L17" t="s">
        <v>150</v>
      </c>
      <c r="M17" s="27">
        <f>E39-D39</f>
        <v>7.9827650805545147</v>
      </c>
    </row>
    <row r="18" spans="2:13" x14ac:dyDescent="0.25">
      <c r="B18" s="18"/>
      <c r="C18" s="1" t="s">
        <v>17</v>
      </c>
      <c r="D18" s="11">
        <f>'Kollektivtrafikens infrastruktu'!G58</f>
        <v>0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0.86436867740726875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1.651180217309854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1.4000000000000001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0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4.166666666666667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1.5333333333333332</v>
      </c>
      <c r="E24" s="1">
        <v>3</v>
      </c>
    </row>
    <row r="25" spans="2:13" x14ac:dyDescent="0.25">
      <c r="B25" s="19"/>
      <c r="C25" s="1" t="s">
        <v>61</v>
      </c>
      <c r="D25" s="11">
        <f>SUM(D15:D24)</f>
        <v>12.716053379086544</v>
      </c>
      <c r="E25" s="11">
        <f>SUM(E15:E24)</f>
        <v>46</v>
      </c>
      <c r="F25">
        <f>D25/E25</f>
        <v>0.27643594302362051</v>
      </c>
    </row>
    <row r="26" spans="2:13" x14ac:dyDescent="0.25">
      <c r="B26" s="30" t="s">
        <v>8</v>
      </c>
      <c r="C26" s="31"/>
      <c r="D26" s="31"/>
      <c r="E26" s="32"/>
    </row>
    <row r="27" spans="2:13" x14ac:dyDescent="0.25">
      <c r="B27" s="20"/>
      <c r="C27" s="12" t="s">
        <v>145</v>
      </c>
      <c r="D27" s="12" t="s">
        <v>31</v>
      </c>
      <c r="E27" s="12" t="s">
        <v>146</v>
      </c>
    </row>
    <row r="28" spans="2:13" x14ac:dyDescent="0.25">
      <c r="B28" s="21"/>
      <c r="C28" s="1" t="s">
        <v>9</v>
      </c>
      <c r="D28" s="11">
        <f>'Fordon och Stödsystem'!F7</f>
        <v>2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3.9666666666666668</v>
      </c>
      <c r="E29" s="1">
        <v>4</v>
      </c>
    </row>
    <row r="30" spans="2:13" x14ac:dyDescent="0.25">
      <c r="B30" s="21"/>
      <c r="C30" s="1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14.966666666666667</v>
      </c>
      <c r="E32" s="1">
        <f>SUM(E28:E31)</f>
        <v>20</v>
      </c>
      <c r="F32">
        <f>D32/E32</f>
        <v>0.74833333333333329</v>
      </c>
    </row>
    <row r="33" spans="2:6" x14ac:dyDescent="0.25">
      <c r="B33" s="30" t="s">
        <v>24</v>
      </c>
      <c r="C33" s="31"/>
      <c r="D33" s="31"/>
      <c r="E33" s="32"/>
    </row>
    <row r="34" spans="2:6" x14ac:dyDescent="0.25">
      <c r="B34" s="23"/>
      <c r="C34" s="12" t="s">
        <v>145</v>
      </c>
      <c r="D34" s="12" t="s">
        <v>31</v>
      </c>
      <c r="E34" s="12" t="s">
        <v>146</v>
      </c>
    </row>
    <row r="35" spans="2:6" x14ac:dyDescent="0.25">
      <c r="B35" s="24"/>
      <c r="C35" s="1" t="s">
        <v>25</v>
      </c>
      <c r="D35" s="11">
        <f>Trafikering!F8</f>
        <v>1.0172349194454853</v>
      </c>
      <c r="E35" s="11">
        <v>4</v>
      </c>
    </row>
    <row r="36" spans="2:6" x14ac:dyDescent="0.25">
      <c r="B36" s="24"/>
      <c r="C36" s="1" t="s">
        <v>26</v>
      </c>
      <c r="D36" s="11">
        <f>Trafikering!F15</f>
        <v>0</v>
      </c>
      <c r="E36" s="11">
        <v>4</v>
      </c>
    </row>
    <row r="37" spans="2:6" x14ac:dyDescent="0.25">
      <c r="B37" s="24"/>
      <c r="C37" s="1" t="s">
        <v>27</v>
      </c>
      <c r="D37" s="11">
        <f>Trafikering!F22</f>
        <v>2</v>
      </c>
      <c r="E37" s="11">
        <v>3</v>
      </c>
    </row>
    <row r="38" spans="2:6" x14ac:dyDescent="0.25">
      <c r="B38" s="24"/>
      <c r="C38" s="1" t="s">
        <v>28</v>
      </c>
      <c r="D38" s="11">
        <f>Trafikering!F29</f>
        <v>3</v>
      </c>
      <c r="E38" s="11">
        <v>3</v>
      </c>
    </row>
    <row r="39" spans="2:6" x14ac:dyDescent="0.25">
      <c r="B39" s="25"/>
      <c r="C39" s="1" t="s">
        <v>61</v>
      </c>
      <c r="D39" s="11">
        <f>SUM(D35:D38)</f>
        <v>6.0172349194454853</v>
      </c>
      <c r="E39" s="11">
        <f>SUM(E35:E38)</f>
        <v>14</v>
      </c>
      <c r="F39">
        <f>D39/E39</f>
        <v>0.42980249424610611</v>
      </c>
    </row>
    <row r="40" spans="2:6" x14ac:dyDescent="0.25">
      <c r="B40" s="4"/>
      <c r="C40" s="26" t="s">
        <v>38</v>
      </c>
      <c r="D40" s="13">
        <f>SUM(D5:D11)+SUM(D28:D31)+SUM(D15:D24)+SUM(D35:D38)</f>
        <v>45.041130682819322</v>
      </c>
      <c r="E40" s="13">
        <f>SUM(E12+E25+E32+E39)</f>
        <v>100</v>
      </c>
    </row>
    <row r="43" spans="2:6" x14ac:dyDescent="0.25">
      <c r="C43" t="s">
        <v>171</v>
      </c>
      <c r="D43" t="s">
        <v>172</v>
      </c>
      <c r="E43" t="s">
        <v>139</v>
      </c>
      <c r="F43" t="s">
        <v>166</v>
      </c>
    </row>
    <row r="44" spans="2:6" x14ac:dyDescent="0.25">
      <c r="C44" t="s">
        <v>173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t="s">
        <v>174</v>
      </c>
      <c r="D45">
        <f>D37</f>
        <v>2</v>
      </c>
      <c r="E45">
        <f t="shared" ref="E45:E68" si="0">F45-D45</f>
        <v>1</v>
      </c>
      <c r="F45">
        <f>E37</f>
        <v>3</v>
      </c>
    </row>
    <row r="46" spans="2:6" x14ac:dyDescent="0.25">
      <c r="C46" t="s">
        <v>175</v>
      </c>
      <c r="D46">
        <f>D36</f>
        <v>0</v>
      </c>
      <c r="E46">
        <f t="shared" si="0"/>
        <v>4</v>
      </c>
      <c r="F46">
        <f>E36</f>
        <v>4</v>
      </c>
    </row>
    <row r="47" spans="2:6" x14ac:dyDescent="0.25">
      <c r="C47" t="s">
        <v>176</v>
      </c>
      <c r="D47">
        <f>D35</f>
        <v>1.0172349194454853</v>
      </c>
      <c r="E47">
        <f t="shared" si="0"/>
        <v>2.9827650805545147</v>
      </c>
      <c r="F47">
        <f>E35</f>
        <v>4</v>
      </c>
    </row>
    <row r="48" spans="2:6" x14ac:dyDescent="0.25">
      <c r="C48" t="s">
        <v>177</v>
      </c>
      <c r="D48">
        <f>D31</f>
        <v>0</v>
      </c>
      <c r="E48">
        <f t="shared" si="0"/>
        <v>2</v>
      </c>
      <c r="F48">
        <f>E31</f>
        <v>2</v>
      </c>
    </row>
    <row r="49" spans="3:6" x14ac:dyDescent="0.25">
      <c r="C49" t="s">
        <v>178</v>
      </c>
      <c r="D49">
        <f>D30</f>
        <v>9</v>
      </c>
      <c r="E49">
        <f t="shared" si="0"/>
        <v>1</v>
      </c>
      <c r="F49">
        <f>E30</f>
        <v>10</v>
      </c>
    </row>
    <row r="50" spans="3:6" x14ac:dyDescent="0.25">
      <c r="C50" t="s">
        <v>179</v>
      </c>
      <c r="D50">
        <f>D29</f>
        <v>3.9666666666666668</v>
      </c>
      <c r="E50">
        <f t="shared" si="0"/>
        <v>3.3333333333333215E-2</v>
      </c>
      <c r="F50">
        <f>E29</f>
        <v>4</v>
      </c>
    </row>
    <row r="51" spans="3:6" x14ac:dyDescent="0.25">
      <c r="C51" t="s">
        <v>180</v>
      </c>
      <c r="D51">
        <f>D28</f>
        <v>2</v>
      </c>
      <c r="E51">
        <f t="shared" si="0"/>
        <v>2</v>
      </c>
      <c r="F51">
        <f>E28</f>
        <v>4</v>
      </c>
    </row>
    <row r="52" spans="3:6" x14ac:dyDescent="0.25">
      <c r="C52" t="s">
        <v>181</v>
      </c>
      <c r="D52">
        <f>D24</f>
        <v>1.5333333333333332</v>
      </c>
      <c r="E52">
        <f t="shared" si="0"/>
        <v>1.4666666666666668</v>
      </c>
      <c r="F52">
        <f>E24</f>
        <v>3</v>
      </c>
    </row>
    <row r="53" spans="3:6" x14ac:dyDescent="0.25">
      <c r="C53" t="s">
        <v>182</v>
      </c>
      <c r="D53">
        <f>D23</f>
        <v>4.166666666666667</v>
      </c>
      <c r="E53">
        <f t="shared" si="0"/>
        <v>5.833333333333333</v>
      </c>
      <c r="F53">
        <f>E23</f>
        <v>10</v>
      </c>
    </row>
    <row r="54" spans="3:6" x14ac:dyDescent="0.25">
      <c r="C54" t="s">
        <v>183</v>
      </c>
      <c r="D54">
        <f>D22</f>
        <v>0</v>
      </c>
      <c r="E54">
        <f t="shared" si="0"/>
        <v>3</v>
      </c>
      <c r="F54">
        <f>E22</f>
        <v>3</v>
      </c>
    </row>
    <row r="55" spans="3:6" x14ac:dyDescent="0.25">
      <c r="C55" t="s">
        <v>184</v>
      </c>
      <c r="D55">
        <f>D21</f>
        <v>1.4000000000000001</v>
      </c>
      <c r="E55">
        <f t="shared" si="0"/>
        <v>5.6</v>
      </c>
      <c r="F55">
        <f>E21</f>
        <v>7</v>
      </c>
    </row>
    <row r="56" spans="3:6" x14ac:dyDescent="0.25">
      <c r="C56" t="s">
        <v>185</v>
      </c>
      <c r="D56">
        <f>D20</f>
        <v>1.651180217309854</v>
      </c>
      <c r="E56">
        <f t="shared" si="0"/>
        <v>1.348819782690146</v>
      </c>
      <c r="F56">
        <f>E20</f>
        <v>3</v>
      </c>
    </row>
    <row r="57" spans="3:6" x14ac:dyDescent="0.25">
      <c r="C57" t="s">
        <v>186</v>
      </c>
      <c r="D57">
        <f>D19</f>
        <v>0.86436867740726875</v>
      </c>
      <c r="E57">
        <f t="shared" si="0"/>
        <v>2.1356313225927313</v>
      </c>
      <c r="F57">
        <f>E19</f>
        <v>3</v>
      </c>
    </row>
    <row r="58" spans="3:6" x14ac:dyDescent="0.25">
      <c r="C58" t="s">
        <v>187</v>
      </c>
      <c r="D58">
        <f>D18</f>
        <v>0</v>
      </c>
      <c r="E58">
        <f t="shared" si="0"/>
        <v>2</v>
      </c>
      <c r="F58">
        <f>E18</f>
        <v>2</v>
      </c>
    </row>
    <row r="59" spans="3:6" x14ac:dyDescent="0.25">
      <c r="C59" t="s">
        <v>188</v>
      </c>
      <c r="D59">
        <f>D17</f>
        <v>0.60000000000000009</v>
      </c>
      <c r="E59">
        <f t="shared" si="0"/>
        <v>2.4</v>
      </c>
      <c r="F59">
        <f>E17</f>
        <v>3</v>
      </c>
    </row>
    <row r="60" spans="3:6" x14ac:dyDescent="0.25">
      <c r="C60" t="s">
        <v>189</v>
      </c>
      <c r="D60">
        <f>D16</f>
        <v>0.74104401228249739</v>
      </c>
      <c r="E60">
        <f t="shared" si="0"/>
        <v>3.2589559877175027</v>
      </c>
      <c r="F60">
        <f>E16</f>
        <v>4</v>
      </c>
    </row>
    <row r="61" spans="3:6" x14ac:dyDescent="0.25">
      <c r="C61" t="s">
        <v>190</v>
      </c>
      <c r="D61">
        <f>D15</f>
        <v>1.7594604720869238</v>
      </c>
      <c r="E61">
        <f t="shared" si="0"/>
        <v>6.240539527913076</v>
      </c>
      <c r="F61">
        <f>E15</f>
        <v>8</v>
      </c>
    </row>
    <row r="62" spans="3:6" x14ac:dyDescent="0.25">
      <c r="C62" t="s">
        <v>191</v>
      </c>
      <c r="D62">
        <f>D11</f>
        <v>0.6</v>
      </c>
      <c r="E62">
        <f t="shared" si="0"/>
        <v>1.4</v>
      </c>
      <c r="F62">
        <f>E11</f>
        <v>2</v>
      </c>
    </row>
    <row r="63" spans="3:6" x14ac:dyDescent="0.25">
      <c r="C63" t="s">
        <v>192</v>
      </c>
      <c r="D63">
        <f>D10</f>
        <v>1</v>
      </c>
      <c r="E63">
        <f>F63-D63</f>
        <v>1</v>
      </c>
      <c r="F63">
        <f>E10</f>
        <v>2</v>
      </c>
    </row>
    <row r="64" spans="3:6" x14ac:dyDescent="0.25">
      <c r="C64" t="s">
        <v>193</v>
      </c>
      <c r="D64">
        <f>D9</f>
        <v>3</v>
      </c>
      <c r="E64">
        <f t="shared" si="0"/>
        <v>0</v>
      </c>
      <c r="F64">
        <f>E9</f>
        <v>3</v>
      </c>
    </row>
    <row r="65" spans="3:6" x14ac:dyDescent="0.25">
      <c r="C65" t="s">
        <v>194</v>
      </c>
      <c r="D65">
        <f>D8</f>
        <v>2.8368794326240732E-2</v>
      </c>
      <c r="E65">
        <f t="shared" si="0"/>
        <v>2.9716312056737593</v>
      </c>
      <c r="F65">
        <f>E8</f>
        <v>3</v>
      </c>
    </row>
    <row r="66" spans="3:6" x14ac:dyDescent="0.25">
      <c r="C66" t="s">
        <v>195</v>
      </c>
      <c r="D66">
        <f>D7</f>
        <v>3.5</v>
      </c>
      <c r="E66">
        <f t="shared" si="0"/>
        <v>1.5</v>
      </c>
      <c r="F66">
        <f>E7</f>
        <v>5</v>
      </c>
    </row>
    <row r="67" spans="3:6" x14ac:dyDescent="0.25">
      <c r="C67" t="s">
        <v>196</v>
      </c>
      <c r="D67">
        <f>D6</f>
        <v>1.2128069232943883</v>
      </c>
      <c r="E67">
        <f t="shared" si="0"/>
        <v>1.7871930767056117</v>
      </c>
      <c r="F67">
        <f>E6</f>
        <v>3</v>
      </c>
    </row>
    <row r="68" spans="3:6" x14ac:dyDescent="0.25">
      <c r="C68" t="s">
        <v>197</v>
      </c>
      <c r="D68">
        <f>D5</f>
        <v>2</v>
      </c>
      <c r="E68">
        <f t="shared" si="0"/>
        <v>0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73"/>
  <sheetViews>
    <sheetView workbookViewId="0">
      <selection activeCell="J5" sqref="J5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  <col min="13" max="13" width="14.7109375" customWidth="1"/>
    <col min="14" max="14" width="16.14062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>
        <v>1</v>
      </c>
    </row>
    <row r="6" spans="3:18" ht="30" x14ac:dyDescent="0.25">
      <c r="C6" s="2" t="s">
        <v>30</v>
      </c>
      <c r="D6" s="1">
        <v>1</v>
      </c>
      <c r="E6" s="1">
        <v>1</v>
      </c>
      <c r="F6" t="s">
        <v>200</v>
      </c>
    </row>
    <row r="7" spans="3:18" x14ac:dyDescent="0.25">
      <c r="C7" s="9"/>
      <c r="D7" s="1" t="s">
        <v>38</v>
      </c>
      <c r="E7" s="1">
        <f>SUM(E5:E6)</f>
        <v>2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144</v>
      </c>
      <c r="K9" s="1"/>
      <c r="L9" s="1" t="s">
        <v>37</v>
      </c>
      <c r="M9" s="1"/>
      <c r="N9" s="1"/>
      <c r="O9" s="1" t="s">
        <v>144</v>
      </c>
    </row>
    <row r="10" spans="3:18" x14ac:dyDescent="0.25">
      <c r="C10" s="1" t="s">
        <v>33</v>
      </c>
      <c r="D10" s="1">
        <v>3</v>
      </c>
      <c r="E10" s="1"/>
      <c r="F10" s="11">
        <f>J15+O15</f>
        <v>1.2128069232943883</v>
      </c>
      <c r="H10" s="1" t="s">
        <v>158</v>
      </c>
      <c r="I10" s="1"/>
      <c r="J10" s="1">
        <v>6.79</v>
      </c>
      <c r="K10" s="1"/>
      <c r="L10" s="1" t="s">
        <v>156</v>
      </c>
      <c r="M10" s="1"/>
      <c r="N10" s="1"/>
      <c r="O10" s="1">
        <v>9.7899999999999991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159</v>
      </c>
      <c r="I11" s="1"/>
      <c r="J11" s="1">
        <v>8.15</v>
      </c>
      <c r="K11" s="1"/>
      <c r="L11" s="1" t="s">
        <v>157</v>
      </c>
      <c r="M11" s="1"/>
      <c r="N11" s="1"/>
      <c r="O11" s="1">
        <v>13</v>
      </c>
      <c r="Q11" t="s">
        <v>129</v>
      </c>
      <c r="R11">
        <f>J11+O11</f>
        <v>21.15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1.2002945508100147</v>
      </c>
      <c r="K12" s="1"/>
      <c r="L12" s="1"/>
      <c r="M12" s="1"/>
      <c r="N12" s="1" t="s">
        <v>128</v>
      </c>
      <c r="O12" s="1">
        <f>O11/O10</f>
        <v>1.3278855975485191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1.9970544918998527</v>
      </c>
      <c r="K13" s="1"/>
      <c r="L13" s="1"/>
      <c r="M13" s="1"/>
      <c r="N13" s="1"/>
      <c r="O13" s="1">
        <f>14-10*O12</f>
        <v>0.72114402451480863</v>
      </c>
    </row>
    <row r="14" spans="3:18" x14ac:dyDescent="0.25">
      <c r="C14" s="1"/>
      <c r="D14" s="1"/>
      <c r="E14" s="1" t="s">
        <v>38</v>
      </c>
      <c r="F14" s="11">
        <f>SUM(F10:F13)</f>
        <v>1.2128069232943883</v>
      </c>
      <c r="H14" s="1"/>
      <c r="I14" s="1" t="s">
        <v>130</v>
      </c>
      <c r="J14" s="1">
        <f>J11/R11</f>
        <v>0.3853427895981088</v>
      </c>
      <c r="K14" s="1"/>
      <c r="L14" s="1"/>
      <c r="M14" s="1"/>
      <c r="N14" s="1"/>
      <c r="O14" s="1">
        <f>O11/R11</f>
        <v>0.61465721040189125</v>
      </c>
    </row>
    <row r="15" spans="3:18" x14ac:dyDescent="0.25">
      <c r="H15" s="1"/>
      <c r="I15" s="1"/>
      <c r="J15" s="1">
        <f>J13*J14</f>
        <v>0.76955054888812302</v>
      </c>
      <c r="K15" s="1"/>
      <c r="L15" s="1"/>
      <c r="M15" s="1"/>
      <c r="N15" s="1"/>
      <c r="O15" s="1">
        <f>O13*O14</f>
        <v>0.44325637440626536</v>
      </c>
    </row>
    <row r="16" spans="3:18" x14ac:dyDescent="0.25">
      <c r="L16">
        <f>(J13+O13)/2</f>
        <v>1.3590992582073307</v>
      </c>
    </row>
    <row r="17" spans="3:15" x14ac:dyDescent="0.25">
      <c r="I17" s="1" t="s">
        <v>37</v>
      </c>
      <c r="J17" s="1" t="s">
        <v>142</v>
      </c>
      <c r="K17" s="1" t="s">
        <v>139</v>
      </c>
      <c r="M17" s="1" t="s">
        <v>37</v>
      </c>
      <c r="N17" s="1" t="s">
        <v>142</v>
      </c>
      <c r="O17" s="1" t="s">
        <v>139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160</v>
      </c>
      <c r="J18" s="1">
        <v>0</v>
      </c>
      <c r="K18" s="1">
        <v>0</v>
      </c>
      <c r="M18" s="1" t="s">
        <v>162</v>
      </c>
      <c r="N18" s="1">
        <v>0</v>
      </c>
      <c r="O18" s="1"/>
    </row>
    <row r="19" spans="3:15" x14ac:dyDescent="0.25">
      <c r="C19" s="1" t="s">
        <v>39</v>
      </c>
      <c r="D19" s="1">
        <v>5</v>
      </c>
      <c r="E19" s="1">
        <f>COUNTIF(K19:K49,"&gt;600")+COUNTIF(O19:O49,"&gt;600")</f>
        <v>24</v>
      </c>
      <c r="F19" s="6">
        <f>E19/$E$23</f>
        <v>0.38709677419354838</v>
      </c>
      <c r="G19" s="6">
        <f>D19*F19</f>
        <v>1.935483870967742</v>
      </c>
      <c r="I19" s="1" t="s">
        <v>161</v>
      </c>
      <c r="J19" s="1">
        <v>792</v>
      </c>
      <c r="K19" s="1">
        <f>J19-J18</f>
        <v>792</v>
      </c>
      <c r="M19" s="1" t="s">
        <v>163</v>
      </c>
      <c r="N19" s="1">
        <v>682</v>
      </c>
      <c r="O19" s="1">
        <f>N19-N18</f>
        <v>682</v>
      </c>
    </row>
    <row r="20" spans="3:15" x14ac:dyDescent="0.25">
      <c r="C20" s="1" t="s">
        <v>40</v>
      </c>
      <c r="D20" s="1">
        <v>4</v>
      </c>
      <c r="E20" s="1">
        <f>COUNTIF(K19:K49,"&gt;500")+COUNTIF(O19:O49,"&gt;500")-E19</f>
        <v>13</v>
      </c>
      <c r="F20" s="6">
        <f t="shared" ref="F20:F22" si="1">E20/$E$23</f>
        <v>0.20967741935483872</v>
      </c>
      <c r="G20" s="6">
        <f t="shared" ref="G20:G22" si="2">D20*F20</f>
        <v>0.83870967741935487</v>
      </c>
      <c r="I20" s="1"/>
      <c r="J20" s="1">
        <v>1620</v>
      </c>
      <c r="K20" s="1">
        <f t="shared" ref="K20:K45" si="3">J20-J19</f>
        <v>828</v>
      </c>
      <c r="M20" s="1"/>
      <c r="N20" s="1">
        <v>1370</v>
      </c>
      <c r="O20" s="1">
        <f t="shared" ref="O20:O49" si="4">N20-N19</f>
        <v>688</v>
      </c>
    </row>
    <row r="21" spans="3:15" x14ac:dyDescent="0.25">
      <c r="C21" s="1" t="s">
        <v>41</v>
      </c>
      <c r="D21" s="1">
        <v>3</v>
      </c>
      <c r="E21" s="1">
        <f>COUNTIF(K19:K49,"&gt;400")+COUNTIF(O19:O49,"&gt;400")-E20-E19</f>
        <v>15</v>
      </c>
      <c r="F21" s="6">
        <f t="shared" si="1"/>
        <v>0.24193548387096775</v>
      </c>
      <c r="G21" s="6">
        <f t="shared" si="2"/>
        <v>0.72580645161290325</v>
      </c>
      <c r="I21" s="1"/>
      <c r="J21" s="1">
        <v>2060</v>
      </c>
      <c r="K21" s="1">
        <f t="shared" si="3"/>
        <v>440</v>
      </c>
      <c r="M21" s="1"/>
      <c r="N21" s="1">
        <v>2370</v>
      </c>
      <c r="O21" s="1">
        <f t="shared" si="4"/>
        <v>1000</v>
      </c>
    </row>
    <row r="22" spans="3:15" x14ac:dyDescent="0.25">
      <c r="C22" s="1" t="s">
        <v>42</v>
      </c>
      <c r="D22" s="1">
        <v>0</v>
      </c>
      <c r="E22" s="1">
        <f>COUNTIF(K19:K49,"&gt;0")+COUNTIF(O19:O49,"&gt;0")-E20-E19-E21</f>
        <v>10</v>
      </c>
      <c r="F22" s="6">
        <f t="shared" si="1"/>
        <v>0.16129032258064516</v>
      </c>
      <c r="G22" s="6">
        <f t="shared" si="2"/>
        <v>0</v>
      </c>
      <c r="I22" s="1"/>
      <c r="J22" s="1">
        <v>2960</v>
      </c>
      <c r="K22" s="1">
        <f t="shared" si="3"/>
        <v>900</v>
      </c>
      <c r="M22" s="1"/>
      <c r="N22" s="1">
        <v>2890</v>
      </c>
      <c r="O22" s="1">
        <f t="shared" si="4"/>
        <v>520</v>
      </c>
    </row>
    <row r="23" spans="3:15" x14ac:dyDescent="0.25">
      <c r="C23" s="1"/>
      <c r="D23" s="1" t="s">
        <v>45</v>
      </c>
      <c r="E23" s="1">
        <f>SUM(E19:E22)</f>
        <v>62</v>
      </c>
      <c r="F23" s="1"/>
      <c r="G23" s="6">
        <f>SUM(G19:G22)</f>
        <v>3.5</v>
      </c>
      <c r="I23" s="1"/>
      <c r="J23" s="1">
        <v>3860</v>
      </c>
      <c r="K23" s="1">
        <f t="shared" si="3"/>
        <v>900</v>
      </c>
      <c r="M23" s="1"/>
      <c r="N23" s="1">
        <v>3380</v>
      </c>
      <c r="O23" s="1">
        <f t="shared" si="4"/>
        <v>490</v>
      </c>
    </row>
    <row r="24" spans="3:15" x14ac:dyDescent="0.25">
      <c r="I24" s="1"/>
      <c r="J24" s="1">
        <v>4700</v>
      </c>
      <c r="K24" s="1">
        <f t="shared" si="3"/>
        <v>840</v>
      </c>
      <c r="M24" s="1"/>
      <c r="N24" s="1">
        <v>3950</v>
      </c>
      <c r="O24" s="1">
        <f t="shared" si="4"/>
        <v>570</v>
      </c>
    </row>
    <row r="25" spans="3:15" x14ac:dyDescent="0.25">
      <c r="I25" s="1"/>
      <c r="J25" s="1">
        <v>4980</v>
      </c>
      <c r="K25" s="1">
        <f t="shared" si="3"/>
        <v>280</v>
      </c>
      <c r="M25" s="1"/>
      <c r="N25" s="1">
        <v>4300</v>
      </c>
      <c r="O25" s="1">
        <f t="shared" si="4"/>
        <v>350</v>
      </c>
    </row>
    <row r="26" spans="3:15" x14ac:dyDescent="0.25">
      <c r="I26" s="1"/>
      <c r="J26" s="1">
        <v>5430</v>
      </c>
      <c r="K26" s="1">
        <f t="shared" si="3"/>
        <v>450</v>
      </c>
      <c r="M26" s="1"/>
      <c r="N26" s="1">
        <v>4760</v>
      </c>
      <c r="O26" s="1">
        <f t="shared" si="4"/>
        <v>460</v>
      </c>
    </row>
    <row r="27" spans="3:15" x14ac:dyDescent="0.25">
      <c r="I27" s="1"/>
      <c r="J27" s="1">
        <v>6000</v>
      </c>
      <c r="K27" s="1">
        <f t="shared" si="3"/>
        <v>570</v>
      </c>
      <c r="M27" s="1"/>
      <c r="N27" s="1">
        <v>5430</v>
      </c>
      <c r="O27" s="1">
        <f t="shared" si="4"/>
        <v>670</v>
      </c>
    </row>
    <row r="28" spans="3:15" x14ac:dyDescent="0.25">
      <c r="I28" s="1"/>
      <c r="J28" s="1">
        <v>6720</v>
      </c>
      <c r="K28" s="1">
        <f t="shared" si="3"/>
        <v>720</v>
      </c>
      <c r="M28" s="1"/>
      <c r="N28" s="1">
        <v>9250</v>
      </c>
      <c r="O28" s="1">
        <f t="shared" si="4"/>
        <v>3820</v>
      </c>
    </row>
    <row r="29" spans="3:15" x14ac:dyDescent="0.25">
      <c r="I29" s="1"/>
      <c r="J29" s="1">
        <v>7310</v>
      </c>
      <c r="K29" s="1">
        <f t="shared" si="3"/>
        <v>590</v>
      </c>
      <c r="M29" s="1"/>
      <c r="N29" s="1">
        <v>9650</v>
      </c>
      <c r="O29" s="1">
        <f t="shared" si="4"/>
        <v>400</v>
      </c>
    </row>
    <row r="30" spans="3:15" x14ac:dyDescent="0.25">
      <c r="I30" s="1"/>
      <c r="J30" s="1">
        <v>7660</v>
      </c>
      <c r="K30" s="1">
        <f t="shared" si="3"/>
        <v>350</v>
      </c>
      <c r="M30" s="1"/>
      <c r="N30" s="1">
        <v>10120</v>
      </c>
      <c r="O30" s="1">
        <f t="shared" si="4"/>
        <v>470</v>
      </c>
    </row>
    <row r="31" spans="3:15" x14ac:dyDescent="0.25">
      <c r="I31" s="1"/>
      <c r="J31" s="1">
        <v>8150</v>
      </c>
      <c r="K31" s="1">
        <f t="shared" si="3"/>
        <v>490</v>
      </c>
      <c r="M31" s="1"/>
      <c r="N31" s="1">
        <v>10380</v>
      </c>
      <c r="O31" s="1">
        <f t="shared" si="4"/>
        <v>260</v>
      </c>
    </row>
    <row r="32" spans="3:15" x14ac:dyDescent="0.25">
      <c r="I32" s="1"/>
      <c r="J32" s="1">
        <v>8710</v>
      </c>
      <c r="K32" s="1">
        <f t="shared" si="3"/>
        <v>560</v>
      </c>
      <c r="M32" s="1"/>
      <c r="N32" s="1">
        <v>10790</v>
      </c>
      <c r="O32" s="1">
        <f t="shared" si="4"/>
        <v>410</v>
      </c>
    </row>
    <row r="33" spans="9:15" x14ac:dyDescent="0.25">
      <c r="I33" s="1"/>
      <c r="J33" s="1">
        <v>9270</v>
      </c>
      <c r="K33" s="1">
        <f t="shared" si="3"/>
        <v>560</v>
      </c>
      <c r="M33" s="1"/>
      <c r="N33" s="1">
        <v>11590</v>
      </c>
      <c r="O33" s="1">
        <f t="shared" si="4"/>
        <v>800</v>
      </c>
    </row>
    <row r="34" spans="9:15" x14ac:dyDescent="0.25">
      <c r="I34" s="1"/>
      <c r="J34" s="1">
        <v>9680</v>
      </c>
      <c r="K34" s="1">
        <f t="shared" si="3"/>
        <v>410</v>
      </c>
      <c r="M34" s="1"/>
      <c r="N34" s="1">
        <v>11990</v>
      </c>
      <c r="O34" s="1">
        <f t="shared" si="4"/>
        <v>400</v>
      </c>
    </row>
    <row r="35" spans="9:15" x14ac:dyDescent="0.25">
      <c r="I35" s="1"/>
      <c r="J35" s="1">
        <v>10290</v>
      </c>
      <c r="K35" s="1">
        <f t="shared" si="3"/>
        <v>610</v>
      </c>
      <c r="M35" s="1"/>
      <c r="N35" s="1">
        <v>12580</v>
      </c>
      <c r="O35" s="1">
        <f t="shared" si="4"/>
        <v>590</v>
      </c>
    </row>
    <row r="36" spans="9:15" x14ac:dyDescent="0.25">
      <c r="I36" s="1"/>
      <c r="J36" s="1">
        <v>10870</v>
      </c>
      <c r="K36" s="1">
        <f t="shared" si="3"/>
        <v>580</v>
      </c>
      <c r="M36" s="1"/>
      <c r="N36" s="1">
        <v>13080</v>
      </c>
      <c r="O36" s="1">
        <f t="shared" si="4"/>
        <v>500</v>
      </c>
    </row>
    <row r="37" spans="9:15" x14ac:dyDescent="0.25">
      <c r="I37" s="1"/>
      <c r="J37" s="1">
        <v>11300</v>
      </c>
      <c r="K37" s="1">
        <f t="shared" si="3"/>
        <v>430</v>
      </c>
      <c r="M37" s="1"/>
      <c r="N37" s="1">
        <v>13570</v>
      </c>
      <c r="O37" s="1">
        <f t="shared" si="4"/>
        <v>490</v>
      </c>
    </row>
    <row r="38" spans="9:15" x14ac:dyDescent="0.25">
      <c r="I38" s="1"/>
      <c r="J38" s="1">
        <v>11810</v>
      </c>
      <c r="K38" s="1">
        <f t="shared" si="3"/>
        <v>510</v>
      </c>
      <c r="M38" s="1"/>
      <c r="N38" s="1">
        <v>13980</v>
      </c>
      <c r="O38" s="1">
        <f t="shared" si="4"/>
        <v>410</v>
      </c>
    </row>
    <row r="39" spans="9:15" x14ac:dyDescent="0.25">
      <c r="I39" s="1"/>
      <c r="J39" s="1">
        <v>11970</v>
      </c>
      <c r="K39" s="1">
        <f t="shared" si="3"/>
        <v>160</v>
      </c>
      <c r="M39" s="1"/>
      <c r="N39" s="1">
        <v>14620</v>
      </c>
      <c r="O39" s="1">
        <f t="shared" si="4"/>
        <v>640</v>
      </c>
    </row>
    <row r="40" spans="9:15" x14ac:dyDescent="0.25">
      <c r="I40" s="1"/>
      <c r="J40" s="1">
        <v>16100</v>
      </c>
      <c r="K40" s="1">
        <f t="shared" si="3"/>
        <v>4130</v>
      </c>
      <c r="M40" s="1"/>
      <c r="N40" s="1">
        <v>15250</v>
      </c>
      <c r="O40" s="1">
        <f t="shared" si="4"/>
        <v>630</v>
      </c>
    </row>
    <row r="41" spans="9:15" x14ac:dyDescent="0.25">
      <c r="I41" s="1"/>
      <c r="J41" s="1">
        <v>600</v>
      </c>
      <c r="K41" s="1">
        <f>J41</f>
        <v>600</v>
      </c>
      <c r="M41" s="1"/>
      <c r="N41" s="1">
        <v>15900</v>
      </c>
      <c r="O41" s="1">
        <f t="shared" si="4"/>
        <v>650</v>
      </c>
    </row>
    <row r="42" spans="9:15" x14ac:dyDescent="0.25">
      <c r="I42" s="1"/>
      <c r="J42" s="1">
        <v>1170</v>
      </c>
      <c r="K42" s="1">
        <f t="shared" si="3"/>
        <v>570</v>
      </c>
      <c r="M42" s="1"/>
      <c r="N42" s="1">
        <v>16290</v>
      </c>
      <c r="O42" s="1">
        <f t="shared" si="4"/>
        <v>390</v>
      </c>
    </row>
    <row r="43" spans="9:15" x14ac:dyDescent="0.25">
      <c r="I43" s="1"/>
      <c r="J43" s="1">
        <v>1460</v>
      </c>
      <c r="K43" s="1">
        <f t="shared" si="3"/>
        <v>290</v>
      </c>
      <c r="M43" s="1"/>
      <c r="N43" s="1">
        <v>16580</v>
      </c>
      <c r="O43" s="1">
        <f t="shared" si="4"/>
        <v>290</v>
      </c>
    </row>
    <row r="44" spans="9:15" x14ac:dyDescent="0.25">
      <c r="I44" s="1"/>
      <c r="J44" s="1">
        <v>1960</v>
      </c>
      <c r="K44" s="1">
        <f t="shared" si="3"/>
        <v>500</v>
      </c>
      <c r="M44" s="1"/>
      <c r="N44" s="1">
        <v>17410</v>
      </c>
      <c r="O44" s="1">
        <f t="shared" si="4"/>
        <v>830</v>
      </c>
    </row>
    <row r="45" spans="9:15" x14ac:dyDescent="0.25">
      <c r="I45" s="1"/>
      <c r="J45" s="1">
        <v>2460</v>
      </c>
      <c r="K45" s="1">
        <f t="shared" si="3"/>
        <v>500</v>
      </c>
      <c r="M45" s="1"/>
      <c r="N45" s="1">
        <v>18400</v>
      </c>
      <c r="O45" s="1">
        <f t="shared" si="4"/>
        <v>990</v>
      </c>
    </row>
    <row r="46" spans="9:15" x14ac:dyDescent="0.25">
      <c r="I46" s="1"/>
      <c r="J46" s="1">
        <v>3110</v>
      </c>
      <c r="K46" s="1">
        <f>J46-J45</f>
        <v>650</v>
      </c>
      <c r="M46" s="1"/>
      <c r="N46" s="1">
        <v>19000</v>
      </c>
      <c r="O46" s="1">
        <f t="shared" si="4"/>
        <v>600</v>
      </c>
    </row>
    <row r="47" spans="9:15" x14ac:dyDescent="0.25">
      <c r="I47" s="1"/>
      <c r="J47" s="1">
        <v>4050</v>
      </c>
      <c r="K47" s="1">
        <f>J47-J46</f>
        <v>940</v>
      </c>
      <c r="M47" s="1"/>
      <c r="N47" s="1">
        <v>19560</v>
      </c>
      <c r="O47" s="1">
        <f t="shared" si="4"/>
        <v>560</v>
      </c>
    </row>
    <row r="48" spans="9:15" x14ac:dyDescent="0.25">
      <c r="I48" s="1"/>
      <c r="J48" s="1">
        <v>4550</v>
      </c>
      <c r="K48" s="1">
        <f t="shared" ref="K48:K49" si="5">J48-J47</f>
        <v>500</v>
      </c>
      <c r="M48" s="1"/>
      <c r="N48" s="1">
        <v>20450</v>
      </c>
      <c r="O48" s="1">
        <f t="shared" si="4"/>
        <v>890</v>
      </c>
    </row>
    <row r="49" spans="3:15" x14ac:dyDescent="0.25">
      <c r="I49" s="1"/>
      <c r="J49" s="1">
        <v>5350</v>
      </c>
      <c r="K49" s="1">
        <f t="shared" si="5"/>
        <v>800</v>
      </c>
      <c r="M49" s="1"/>
      <c r="N49" s="1">
        <v>21160</v>
      </c>
      <c r="O49" s="1">
        <f t="shared" si="4"/>
        <v>710</v>
      </c>
    </row>
    <row r="52" spans="3:15" x14ac:dyDescent="0.25">
      <c r="C52" s="4" t="s">
        <v>4</v>
      </c>
      <c r="D52" s="1" t="s">
        <v>51</v>
      </c>
      <c r="E52" s="1" t="s">
        <v>44</v>
      </c>
      <c r="F52" s="1" t="s">
        <v>56</v>
      </c>
      <c r="G52" s="1" t="s">
        <v>31</v>
      </c>
      <c r="I52" t="s">
        <v>133</v>
      </c>
      <c r="J52" t="s">
        <v>131</v>
      </c>
      <c r="K52" t="s">
        <v>132</v>
      </c>
    </row>
    <row r="53" spans="3:15" x14ac:dyDescent="0.25">
      <c r="C53" s="1" t="s">
        <v>46</v>
      </c>
      <c r="D53" s="1">
        <v>3</v>
      </c>
      <c r="E53" s="1">
        <v>42</v>
      </c>
      <c r="F53" s="1">
        <f>E53/(R11*2)</f>
        <v>0.99290780141843982</v>
      </c>
      <c r="G53" s="1">
        <f>-4*F53+4</f>
        <v>2.8368794326240732E-2</v>
      </c>
      <c r="I53">
        <v>44</v>
      </c>
      <c r="J53">
        <v>11</v>
      </c>
      <c r="K53">
        <f>((I53/2)^2+J53^2)/(2*J53)</f>
        <v>27.5</v>
      </c>
    </row>
    <row r="54" spans="3:15" x14ac:dyDescent="0.25">
      <c r="C54" s="1" t="s">
        <v>47</v>
      </c>
      <c r="D54" s="1">
        <v>2</v>
      </c>
      <c r="F54" s="1"/>
      <c r="G54" s="1"/>
    </row>
    <row r="55" spans="3:15" x14ac:dyDescent="0.25">
      <c r="C55" s="1" t="s">
        <v>48</v>
      </c>
      <c r="D55" s="1">
        <v>1</v>
      </c>
      <c r="E55" s="1"/>
      <c r="F55" s="1"/>
      <c r="G55" s="1"/>
    </row>
    <row r="56" spans="3:15" x14ac:dyDescent="0.25">
      <c r="C56" s="1" t="s">
        <v>49</v>
      </c>
      <c r="D56" s="1">
        <v>0</v>
      </c>
      <c r="E56" s="1"/>
      <c r="F56" s="1"/>
      <c r="G56" s="1"/>
    </row>
    <row r="57" spans="3:15" x14ac:dyDescent="0.25">
      <c r="F57" s="1" t="s">
        <v>52</v>
      </c>
      <c r="G57" s="1">
        <f>SUM(G53:G56)</f>
        <v>2.8368794326240732E-2</v>
      </c>
      <c r="J57" s="5"/>
    </row>
    <row r="59" spans="3:15" x14ac:dyDescent="0.25">
      <c r="C59" s="8" t="s">
        <v>5</v>
      </c>
      <c r="D59" s="1" t="s">
        <v>51</v>
      </c>
      <c r="E59" s="1" t="s">
        <v>44</v>
      </c>
      <c r="F59" s="1" t="s">
        <v>32</v>
      </c>
      <c r="G59" s="1" t="s">
        <v>31</v>
      </c>
    </row>
    <row r="60" spans="3:15" ht="30" x14ac:dyDescent="0.25">
      <c r="C60" s="2" t="s">
        <v>153</v>
      </c>
      <c r="D60" s="1">
        <v>3</v>
      </c>
      <c r="E60" s="1">
        <v>1</v>
      </c>
      <c r="F60" s="1">
        <f>E60/SUM(E60:E61)</f>
        <v>1</v>
      </c>
      <c r="G60" s="1">
        <f>D60*F60</f>
        <v>3</v>
      </c>
    </row>
    <row r="61" spans="3:15" ht="30" x14ac:dyDescent="0.25">
      <c r="C61" s="2" t="s">
        <v>50</v>
      </c>
      <c r="D61" s="1">
        <v>0</v>
      </c>
      <c r="E61" s="1">
        <v>0</v>
      </c>
      <c r="F61" s="1">
        <f>E61/SUM(E60:E61)</f>
        <v>0</v>
      </c>
      <c r="G61" s="1">
        <f>D61*F61</f>
        <v>0</v>
      </c>
    </row>
    <row r="62" spans="3:15" x14ac:dyDescent="0.25">
      <c r="F62" s="1" t="s">
        <v>45</v>
      </c>
      <c r="G62" s="1">
        <f>SUM(G60:G61)</f>
        <v>3</v>
      </c>
    </row>
    <row r="64" spans="3:15" x14ac:dyDescent="0.25">
      <c r="C64" s="8" t="s">
        <v>6</v>
      </c>
      <c r="D64" s="1" t="s">
        <v>51</v>
      </c>
      <c r="E64" s="1" t="s">
        <v>44</v>
      </c>
      <c r="F64" s="1" t="s">
        <v>57</v>
      </c>
      <c r="G64" s="1" t="s">
        <v>31</v>
      </c>
    </row>
    <row r="65" spans="3:7" x14ac:dyDescent="0.25">
      <c r="C65" s="1" t="s">
        <v>53</v>
      </c>
      <c r="D65" s="1">
        <v>2</v>
      </c>
      <c r="E65" s="1"/>
      <c r="F65" s="1"/>
      <c r="G65" s="1">
        <v>0</v>
      </c>
    </row>
    <row r="66" spans="3:7" x14ac:dyDescent="0.25">
      <c r="C66" s="1" t="s">
        <v>54</v>
      </c>
      <c r="D66" s="1">
        <v>1</v>
      </c>
      <c r="E66" s="1"/>
      <c r="F66" s="1"/>
      <c r="G66" s="1">
        <v>1</v>
      </c>
    </row>
    <row r="67" spans="3:7" x14ac:dyDescent="0.25">
      <c r="C67" s="1" t="s">
        <v>55</v>
      </c>
      <c r="D67" s="1">
        <v>0</v>
      </c>
      <c r="E67" s="1"/>
      <c r="F67" s="1"/>
      <c r="G67" s="1">
        <v>0</v>
      </c>
    </row>
    <row r="68" spans="3:7" x14ac:dyDescent="0.25">
      <c r="F68" s="1" t="s">
        <v>52</v>
      </c>
      <c r="G68" s="1">
        <f>SUM(G65:G67)</f>
        <v>1</v>
      </c>
    </row>
    <row r="70" spans="3:7" x14ac:dyDescent="0.25">
      <c r="C70" s="1" t="s">
        <v>58</v>
      </c>
      <c r="D70" s="1" t="s">
        <v>51</v>
      </c>
      <c r="E70" s="1" t="s">
        <v>44</v>
      </c>
      <c r="F70" s="1" t="s">
        <v>57</v>
      </c>
      <c r="G70" s="1" t="s">
        <v>31</v>
      </c>
    </row>
    <row r="71" spans="3:7" x14ac:dyDescent="0.25">
      <c r="C71" s="1" t="s">
        <v>59</v>
      </c>
      <c r="D71" s="1">
        <v>1</v>
      </c>
      <c r="E71" s="1">
        <v>0</v>
      </c>
      <c r="F71" s="1"/>
      <c r="G71" s="1">
        <f>D71*F71</f>
        <v>0</v>
      </c>
    </row>
    <row r="72" spans="3:7" x14ac:dyDescent="0.25">
      <c r="C72" s="8" t="s">
        <v>60</v>
      </c>
      <c r="D72" s="1">
        <v>1</v>
      </c>
      <c r="E72" s="1">
        <v>36</v>
      </c>
      <c r="F72" s="1">
        <f>E72/60</f>
        <v>0.6</v>
      </c>
      <c r="G72" s="1">
        <f>D72*F72</f>
        <v>0.6</v>
      </c>
    </row>
    <row r="73" spans="3:7" x14ac:dyDescent="0.25">
      <c r="F73" s="7" t="s">
        <v>52</v>
      </c>
      <c r="G73" s="7">
        <f>SUM(G71:G72)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AF109"/>
  <sheetViews>
    <sheetView topLeftCell="A60" zoomScaleNormal="100" workbookViewId="0">
      <selection activeCell="F80" sqref="F80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7" max="7" width="12.7109375" bestFit="1" customWidth="1"/>
    <col min="9" max="9" width="18.28515625" customWidth="1"/>
    <col min="10" max="10" width="11.85546875" customWidth="1"/>
    <col min="11" max="11" width="13.7109375" customWidth="1"/>
    <col min="12" max="12" width="10" customWidth="1"/>
    <col min="14" max="14" width="10.5703125" customWidth="1"/>
    <col min="15" max="15" width="17" customWidth="1"/>
    <col min="16" max="16" width="11.140625" customWidth="1"/>
    <col min="17" max="17" width="13.140625" customWidth="1"/>
  </cols>
  <sheetData>
    <row r="3" spans="3:32" x14ac:dyDescent="0.25">
      <c r="I3" t="s">
        <v>167</v>
      </c>
      <c r="O3" t="s">
        <v>168</v>
      </c>
    </row>
    <row r="4" spans="3:32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I4" t="s">
        <v>154</v>
      </c>
      <c r="J4" t="s">
        <v>151</v>
      </c>
      <c r="K4" t="s">
        <v>134</v>
      </c>
      <c r="L4" t="s">
        <v>135</v>
      </c>
      <c r="M4" t="s">
        <v>139</v>
      </c>
      <c r="O4" t="s">
        <v>154</v>
      </c>
      <c r="P4" t="s">
        <v>151</v>
      </c>
      <c r="Q4" t="s">
        <v>134</v>
      </c>
      <c r="R4" t="s">
        <v>135</v>
      </c>
      <c r="S4" t="s">
        <v>139</v>
      </c>
    </row>
    <row r="5" spans="3:32" ht="45" x14ac:dyDescent="0.25">
      <c r="C5" s="2" t="s">
        <v>73</v>
      </c>
      <c r="D5" s="1">
        <v>8</v>
      </c>
      <c r="E5" s="1">
        <f>SUMIF(K5:K35,"*Fysisk*",M5:M35)+SUMIF(Q5:Q33,"*Fysisk*",S5:S33)</f>
        <v>1970</v>
      </c>
      <c r="F5" s="6">
        <f>E5/SUM(E5:E8)</f>
        <v>7.3810415886099656E-2</v>
      </c>
      <c r="G5" s="1">
        <f>F5*D5</f>
        <v>0.59048332708879725</v>
      </c>
      <c r="K5" t="s">
        <v>76</v>
      </c>
      <c r="L5" s="29">
        <v>2930</v>
      </c>
      <c r="M5">
        <f>L5</f>
        <v>2930</v>
      </c>
      <c r="N5" s="28">
        <f t="shared" ref="N5:N24" si="0">M5+N6</f>
        <v>21440</v>
      </c>
      <c r="Q5" t="s">
        <v>169</v>
      </c>
      <c r="R5">
        <v>2280</v>
      </c>
      <c r="S5">
        <f>R5</f>
        <v>2280</v>
      </c>
      <c r="X5" t="s">
        <v>76</v>
      </c>
      <c r="Y5">
        <v>7060</v>
      </c>
      <c r="Z5">
        <f>Y5</f>
        <v>7060</v>
      </c>
      <c r="AD5" t="s">
        <v>76</v>
      </c>
      <c r="AE5">
        <v>3820</v>
      </c>
      <c r="AF5">
        <f>AE5</f>
        <v>3820</v>
      </c>
    </row>
    <row r="6" spans="3:32" ht="45" x14ac:dyDescent="0.25">
      <c r="C6" s="2" t="s">
        <v>74</v>
      </c>
      <c r="D6" s="1">
        <v>6</v>
      </c>
      <c r="E6" s="1">
        <f>SUMIF(K5:K35,"*Visuell*",M5:M35)+SUMIF(Q5:Q33,"*Visuell*",S5:S33)</f>
        <v>0</v>
      </c>
      <c r="F6" s="6">
        <f>E6/SUM(E5:E8)</f>
        <v>0</v>
      </c>
      <c r="G6" s="1">
        <f t="shared" ref="G6:G8" si="1">F6*D6</f>
        <v>0</v>
      </c>
      <c r="I6" t="s">
        <v>164</v>
      </c>
      <c r="K6" t="s">
        <v>137</v>
      </c>
      <c r="L6" s="29">
        <v>3170</v>
      </c>
      <c r="M6">
        <f>L6-L5</f>
        <v>240</v>
      </c>
      <c r="N6" s="28">
        <f t="shared" si="0"/>
        <v>18510</v>
      </c>
      <c r="Q6" t="s">
        <v>137</v>
      </c>
      <c r="R6">
        <v>2400</v>
      </c>
      <c r="S6">
        <f>R6-R5</f>
        <v>120</v>
      </c>
      <c r="V6" t="s">
        <v>164</v>
      </c>
      <c r="W6" s="9"/>
      <c r="X6" t="s">
        <v>137</v>
      </c>
      <c r="Y6">
        <v>7580</v>
      </c>
      <c r="Z6">
        <f>Y6-Y5</f>
        <v>520</v>
      </c>
      <c r="AD6" t="s">
        <v>137</v>
      </c>
      <c r="AE6">
        <v>4050</v>
      </c>
      <c r="AF6">
        <f>AE6-AE5</f>
        <v>230</v>
      </c>
    </row>
    <row r="7" spans="3:32" x14ac:dyDescent="0.25">
      <c r="C7" s="2" t="s">
        <v>75</v>
      </c>
      <c r="D7" s="1">
        <v>4</v>
      </c>
      <c r="E7" s="1">
        <f>SUMIF(K5:K35,"*linje*",M5:M35)+SUMIF(Q5:Q33,"*linje*",S5:S33)</f>
        <v>7800</v>
      </c>
      <c r="F7" s="6">
        <f>E7/SUM(E5:E8)</f>
        <v>0.29224428624953164</v>
      </c>
      <c r="G7" s="1">
        <f t="shared" si="1"/>
        <v>1.1689771449981265</v>
      </c>
      <c r="K7" t="s">
        <v>76</v>
      </c>
      <c r="L7" s="29">
        <v>1580</v>
      </c>
      <c r="M7">
        <f>L7</f>
        <v>1580</v>
      </c>
      <c r="N7" s="28">
        <f t="shared" si="0"/>
        <v>18270</v>
      </c>
      <c r="Q7" t="s">
        <v>169</v>
      </c>
      <c r="R7">
        <v>3830</v>
      </c>
      <c r="S7">
        <f t="shared" ref="S7:S31" si="2">R7-R6</f>
        <v>1430</v>
      </c>
      <c r="W7" s="9"/>
      <c r="X7" t="s">
        <v>76</v>
      </c>
      <c r="Y7">
        <v>7900</v>
      </c>
      <c r="Z7">
        <f t="shared" ref="Z7:Z19" si="3">Y7-Y6</f>
        <v>320</v>
      </c>
      <c r="AD7" t="s">
        <v>76</v>
      </c>
      <c r="AE7">
        <v>4660</v>
      </c>
      <c r="AF7">
        <f t="shared" ref="AF7:AF22" si="4">AE7-AE6</f>
        <v>610</v>
      </c>
    </row>
    <row r="8" spans="3:32" x14ac:dyDescent="0.25">
      <c r="C8" s="1" t="s">
        <v>76</v>
      </c>
      <c r="D8" s="1">
        <v>0</v>
      </c>
      <c r="E8" s="1">
        <f>SUMIF(K5:K35,"*Blandtrafik*",M5:M35)+SUMIF(Q5:Q33,"*Blandtrafik*",S5:S33)</f>
        <v>16920</v>
      </c>
      <c r="F8" s="6">
        <f>E8/SUM(E5:E8)</f>
        <v>0.63394529786436871</v>
      </c>
      <c r="G8" s="1">
        <f t="shared" si="1"/>
        <v>0</v>
      </c>
      <c r="J8" t="s">
        <v>164</v>
      </c>
      <c r="K8" t="s">
        <v>138</v>
      </c>
      <c r="L8" s="29">
        <v>1950</v>
      </c>
      <c r="M8">
        <f>L8-L7</f>
        <v>370</v>
      </c>
      <c r="N8" s="28">
        <f t="shared" si="0"/>
        <v>16690</v>
      </c>
      <c r="Q8" t="s">
        <v>137</v>
      </c>
      <c r="R8">
        <v>4030</v>
      </c>
      <c r="S8">
        <f t="shared" si="2"/>
        <v>200</v>
      </c>
      <c r="V8" t="s">
        <v>164</v>
      </c>
      <c r="X8" t="s">
        <v>137</v>
      </c>
      <c r="Y8">
        <v>8000</v>
      </c>
      <c r="Z8">
        <f t="shared" si="3"/>
        <v>100</v>
      </c>
      <c r="AD8" t="s">
        <v>137</v>
      </c>
      <c r="AE8">
        <v>4940</v>
      </c>
      <c r="AF8">
        <f t="shared" si="4"/>
        <v>280</v>
      </c>
    </row>
    <row r="9" spans="3:32" x14ac:dyDescent="0.25">
      <c r="D9" s="1" t="s">
        <v>143</v>
      </c>
      <c r="E9" s="1">
        <f>SUM(E5:E8)</f>
        <v>26690</v>
      </c>
      <c r="F9" s="7" t="s">
        <v>38</v>
      </c>
      <c r="G9" s="10">
        <f>SUM(G5:G8)</f>
        <v>1.7594604720869238</v>
      </c>
      <c r="K9" t="s">
        <v>76</v>
      </c>
      <c r="L9" s="29">
        <v>3870</v>
      </c>
      <c r="M9">
        <f t="shared" ref="M9:M26" si="5">L9-L8</f>
        <v>1920</v>
      </c>
      <c r="N9" s="28">
        <f t="shared" si="0"/>
        <v>16320</v>
      </c>
      <c r="Q9" t="s">
        <v>169</v>
      </c>
      <c r="R9">
        <v>4240</v>
      </c>
      <c r="S9">
        <f t="shared" si="2"/>
        <v>210</v>
      </c>
      <c r="X9" t="s">
        <v>76</v>
      </c>
      <c r="Y9">
        <v>8460</v>
      </c>
      <c r="Z9">
        <f t="shared" si="3"/>
        <v>460</v>
      </c>
      <c r="AD9" t="s">
        <v>76</v>
      </c>
      <c r="AE9">
        <v>5330</v>
      </c>
      <c r="AF9">
        <f t="shared" si="4"/>
        <v>390</v>
      </c>
    </row>
    <row r="10" spans="3:32" x14ac:dyDescent="0.25">
      <c r="K10" t="s">
        <v>137</v>
      </c>
      <c r="L10" s="29">
        <v>4390</v>
      </c>
      <c r="M10">
        <f t="shared" si="5"/>
        <v>520</v>
      </c>
      <c r="N10" s="28">
        <f t="shared" si="0"/>
        <v>14400</v>
      </c>
      <c r="Q10" t="s">
        <v>138</v>
      </c>
      <c r="R10">
        <v>4330</v>
      </c>
      <c r="S10">
        <f t="shared" si="2"/>
        <v>90</v>
      </c>
      <c r="X10" t="s">
        <v>137</v>
      </c>
      <c r="Y10">
        <v>9580</v>
      </c>
      <c r="Z10">
        <f t="shared" si="3"/>
        <v>1120</v>
      </c>
      <c r="AD10" t="s">
        <v>137</v>
      </c>
      <c r="AE10">
        <v>5590</v>
      </c>
      <c r="AF10">
        <f t="shared" si="4"/>
        <v>260</v>
      </c>
    </row>
    <row r="11" spans="3:32" x14ac:dyDescent="0.25">
      <c r="E11">
        <f>K35+P33</f>
        <v>0</v>
      </c>
      <c r="K11" t="s">
        <v>76</v>
      </c>
      <c r="L11" s="29">
        <v>4760</v>
      </c>
      <c r="M11">
        <f t="shared" si="5"/>
        <v>370</v>
      </c>
      <c r="N11" s="28">
        <f t="shared" si="0"/>
        <v>13880</v>
      </c>
      <c r="Q11" t="s">
        <v>169</v>
      </c>
      <c r="R11">
        <v>4480</v>
      </c>
      <c r="S11">
        <f t="shared" si="2"/>
        <v>150</v>
      </c>
      <c r="X11" t="s">
        <v>76</v>
      </c>
      <c r="Y11">
        <v>9840</v>
      </c>
      <c r="Z11">
        <f t="shared" si="3"/>
        <v>260</v>
      </c>
      <c r="AD11" t="s">
        <v>76</v>
      </c>
      <c r="AE11">
        <v>9620</v>
      </c>
      <c r="AF11">
        <f t="shared" si="4"/>
        <v>4030</v>
      </c>
    </row>
    <row r="12" spans="3:32" x14ac:dyDescent="0.25">
      <c r="E12">
        <f>SUM(E5:E8)</f>
        <v>26690</v>
      </c>
      <c r="K12" t="s">
        <v>137</v>
      </c>
      <c r="L12" s="29">
        <v>4860</v>
      </c>
      <c r="M12">
        <f t="shared" si="5"/>
        <v>100</v>
      </c>
      <c r="N12" s="28">
        <f t="shared" si="0"/>
        <v>13510</v>
      </c>
      <c r="Q12" t="s">
        <v>137</v>
      </c>
      <c r="R12">
        <v>4710</v>
      </c>
      <c r="S12">
        <f t="shared" si="2"/>
        <v>230</v>
      </c>
      <c r="X12" t="s">
        <v>137</v>
      </c>
      <c r="Y12">
        <v>11170</v>
      </c>
      <c r="Z12">
        <f t="shared" si="3"/>
        <v>1330</v>
      </c>
      <c r="AD12" t="s">
        <v>137</v>
      </c>
      <c r="AE12">
        <v>10390</v>
      </c>
      <c r="AF12">
        <f t="shared" si="4"/>
        <v>770</v>
      </c>
    </row>
    <row r="13" spans="3:32" x14ac:dyDescent="0.25">
      <c r="J13" t="s">
        <v>164</v>
      </c>
      <c r="K13" t="s">
        <v>138</v>
      </c>
      <c r="L13" s="29">
        <v>5180</v>
      </c>
      <c r="M13">
        <f t="shared" si="5"/>
        <v>320</v>
      </c>
      <c r="N13" s="28">
        <f t="shared" si="0"/>
        <v>13410</v>
      </c>
      <c r="Q13" t="s">
        <v>138</v>
      </c>
      <c r="R13">
        <v>4810</v>
      </c>
      <c r="S13">
        <f t="shared" si="2"/>
        <v>100</v>
      </c>
      <c r="X13" t="s">
        <v>76</v>
      </c>
      <c r="Y13">
        <v>16030</v>
      </c>
      <c r="Z13">
        <f t="shared" si="3"/>
        <v>4860</v>
      </c>
      <c r="AD13" t="s">
        <v>76</v>
      </c>
      <c r="AE13">
        <v>10480</v>
      </c>
      <c r="AF13">
        <f t="shared" si="4"/>
        <v>90</v>
      </c>
    </row>
    <row r="14" spans="3:32" x14ac:dyDescent="0.25">
      <c r="E14" t="s">
        <v>76</v>
      </c>
      <c r="K14" t="s">
        <v>76</v>
      </c>
      <c r="L14" s="29">
        <v>5310</v>
      </c>
      <c r="M14">
        <f t="shared" si="5"/>
        <v>130</v>
      </c>
      <c r="N14" s="28">
        <f t="shared" si="0"/>
        <v>13090</v>
      </c>
      <c r="Q14" t="s">
        <v>137</v>
      </c>
      <c r="R14">
        <v>5160</v>
      </c>
      <c r="S14">
        <f t="shared" si="2"/>
        <v>350</v>
      </c>
      <c r="X14" t="s">
        <v>137</v>
      </c>
      <c r="Y14">
        <v>16120</v>
      </c>
      <c r="Z14">
        <f t="shared" si="3"/>
        <v>90</v>
      </c>
      <c r="AD14" t="s">
        <v>137</v>
      </c>
      <c r="AE14">
        <v>11360</v>
      </c>
      <c r="AF14">
        <f t="shared" si="4"/>
        <v>880</v>
      </c>
    </row>
    <row r="15" spans="3:32" x14ac:dyDescent="0.25">
      <c r="E15" s="9" t="s">
        <v>136</v>
      </c>
      <c r="K15" t="s">
        <v>137</v>
      </c>
      <c r="L15" s="29">
        <v>6370</v>
      </c>
      <c r="M15">
        <f t="shared" si="5"/>
        <v>1060</v>
      </c>
      <c r="N15" s="28">
        <f t="shared" si="0"/>
        <v>12960</v>
      </c>
      <c r="Q15" t="s">
        <v>169</v>
      </c>
      <c r="R15">
        <v>5490</v>
      </c>
      <c r="S15">
        <f t="shared" si="2"/>
        <v>330</v>
      </c>
      <c r="X15" t="s">
        <v>76</v>
      </c>
      <c r="Y15">
        <v>17100</v>
      </c>
      <c r="Z15">
        <f t="shared" si="3"/>
        <v>980</v>
      </c>
      <c r="AD15" t="s">
        <v>76</v>
      </c>
      <c r="AE15">
        <v>11560</v>
      </c>
      <c r="AF15">
        <f t="shared" si="4"/>
        <v>200</v>
      </c>
    </row>
    <row r="16" spans="3:32" x14ac:dyDescent="0.25">
      <c r="E16" t="s">
        <v>137</v>
      </c>
      <c r="K16" t="s">
        <v>76</v>
      </c>
      <c r="L16" s="29">
        <v>6700</v>
      </c>
      <c r="M16">
        <f t="shared" si="5"/>
        <v>330</v>
      </c>
      <c r="N16" s="28">
        <f t="shared" si="0"/>
        <v>11900</v>
      </c>
      <c r="Q16" t="s">
        <v>137</v>
      </c>
      <c r="R16">
        <v>5590</v>
      </c>
      <c r="S16">
        <f t="shared" si="2"/>
        <v>100</v>
      </c>
      <c r="X16" t="s">
        <v>137</v>
      </c>
      <c r="Y16">
        <v>17260</v>
      </c>
      <c r="Z16">
        <f t="shared" si="3"/>
        <v>160</v>
      </c>
      <c r="AD16" t="s">
        <v>137</v>
      </c>
      <c r="AE16">
        <v>12000</v>
      </c>
      <c r="AF16">
        <f t="shared" si="4"/>
        <v>440</v>
      </c>
    </row>
    <row r="17" spans="5:32" x14ac:dyDescent="0.25">
      <c r="E17" t="s">
        <v>138</v>
      </c>
      <c r="K17" t="s">
        <v>137</v>
      </c>
      <c r="L17" s="29">
        <v>7940</v>
      </c>
      <c r="M17">
        <f t="shared" si="5"/>
        <v>1240</v>
      </c>
      <c r="N17" s="28">
        <f t="shared" si="0"/>
        <v>11570</v>
      </c>
      <c r="Q17" t="s">
        <v>169</v>
      </c>
      <c r="R17">
        <v>9720</v>
      </c>
      <c r="S17">
        <f t="shared" si="2"/>
        <v>4130</v>
      </c>
      <c r="X17" t="s">
        <v>76</v>
      </c>
      <c r="Y17">
        <v>17380</v>
      </c>
      <c r="Z17">
        <f t="shared" si="3"/>
        <v>120</v>
      </c>
      <c r="AD17" t="s">
        <v>76</v>
      </c>
      <c r="AE17">
        <v>12070</v>
      </c>
      <c r="AF17">
        <f t="shared" si="4"/>
        <v>70</v>
      </c>
    </row>
    <row r="18" spans="5:32" x14ac:dyDescent="0.25">
      <c r="K18" t="s">
        <v>76</v>
      </c>
      <c r="L18" s="29">
        <v>12890</v>
      </c>
      <c r="M18">
        <f t="shared" si="5"/>
        <v>4950</v>
      </c>
      <c r="N18" s="28">
        <f t="shared" si="0"/>
        <v>10330</v>
      </c>
      <c r="Q18" t="s">
        <v>137</v>
      </c>
      <c r="R18">
        <v>11920</v>
      </c>
      <c r="S18">
        <f t="shared" si="2"/>
        <v>2200</v>
      </c>
      <c r="X18" t="s">
        <v>137</v>
      </c>
      <c r="Y18">
        <v>17610</v>
      </c>
      <c r="Z18">
        <f t="shared" si="3"/>
        <v>230</v>
      </c>
      <c r="AC18" t="s">
        <v>164</v>
      </c>
      <c r="AD18" t="s">
        <v>137</v>
      </c>
      <c r="AE18">
        <v>12130</v>
      </c>
      <c r="AF18">
        <f t="shared" si="4"/>
        <v>60</v>
      </c>
    </row>
    <row r="19" spans="5:32" x14ac:dyDescent="0.25">
      <c r="J19" t="s">
        <v>164</v>
      </c>
      <c r="K19" t="s">
        <v>138</v>
      </c>
      <c r="L19" s="29">
        <v>13030</v>
      </c>
      <c r="M19">
        <f t="shared" si="5"/>
        <v>140</v>
      </c>
      <c r="N19" s="28">
        <f t="shared" si="0"/>
        <v>5380</v>
      </c>
      <c r="Q19" t="s">
        <v>169</v>
      </c>
      <c r="R19">
        <v>12060</v>
      </c>
      <c r="S19">
        <f t="shared" si="2"/>
        <v>140</v>
      </c>
      <c r="X19" t="s">
        <v>76</v>
      </c>
      <c r="Y19">
        <v>21400</v>
      </c>
      <c r="Z19">
        <f t="shared" si="3"/>
        <v>3790</v>
      </c>
      <c r="AD19" t="s">
        <v>137</v>
      </c>
      <c r="AE19">
        <v>12470</v>
      </c>
      <c r="AF19">
        <f t="shared" si="4"/>
        <v>340</v>
      </c>
    </row>
    <row r="20" spans="5:32" x14ac:dyDescent="0.25">
      <c r="K20" t="s">
        <v>76</v>
      </c>
      <c r="L20" s="29">
        <v>14050</v>
      </c>
      <c r="M20">
        <f t="shared" si="5"/>
        <v>1020</v>
      </c>
      <c r="N20" s="28">
        <f t="shared" si="0"/>
        <v>5240</v>
      </c>
      <c r="P20" t="s">
        <v>164</v>
      </c>
      <c r="Q20" t="s">
        <v>137</v>
      </c>
      <c r="R20">
        <v>12170</v>
      </c>
      <c r="S20">
        <f t="shared" si="2"/>
        <v>110</v>
      </c>
      <c r="AD20" t="s">
        <v>76</v>
      </c>
      <c r="AE20">
        <v>13820</v>
      </c>
      <c r="AF20">
        <f t="shared" si="4"/>
        <v>1350</v>
      </c>
    </row>
    <row r="21" spans="5:32" x14ac:dyDescent="0.25">
      <c r="K21" t="s">
        <v>138</v>
      </c>
      <c r="L21" s="29">
        <v>14130</v>
      </c>
      <c r="M21">
        <f t="shared" si="5"/>
        <v>80</v>
      </c>
      <c r="N21" s="28">
        <f t="shared" si="0"/>
        <v>4220</v>
      </c>
      <c r="Q21" t="s">
        <v>137</v>
      </c>
      <c r="R21">
        <v>12670</v>
      </c>
      <c r="S21">
        <f t="shared" si="2"/>
        <v>500</v>
      </c>
      <c r="AD21" t="s">
        <v>137</v>
      </c>
      <c r="AE21">
        <v>14160</v>
      </c>
      <c r="AF21">
        <f t="shared" si="4"/>
        <v>340</v>
      </c>
    </row>
    <row r="22" spans="5:32" x14ac:dyDescent="0.25">
      <c r="K22" t="s">
        <v>76</v>
      </c>
      <c r="L22" s="29">
        <v>14230</v>
      </c>
      <c r="M22">
        <f t="shared" si="5"/>
        <v>100</v>
      </c>
      <c r="N22" s="28">
        <f t="shared" si="0"/>
        <v>4140</v>
      </c>
      <c r="P22" t="s">
        <v>164</v>
      </c>
      <c r="Q22" t="s">
        <v>138</v>
      </c>
      <c r="R22">
        <v>12790</v>
      </c>
      <c r="S22">
        <f t="shared" si="2"/>
        <v>120</v>
      </c>
      <c r="AD22" t="s">
        <v>76</v>
      </c>
      <c r="AE22">
        <v>21400</v>
      </c>
      <c r="AF22">
        <f t="shared" si="4"/>
        <v>7240</v>
      </c>
    </row>
    <row r="23" spans="5:32" x14ac:dyDescent="0.25">
      <c r="K23" t="s">
        <v>137</v>
      </c>
      <c r="L23" s="29">
        <v>14480</v>
      </c>
      <c r="M23">
        <f t="shared" si="5"/>
        <v>250</v>
      </c>
      <c r="N23" s="28">
        <f t="shared" si="0"/>
        <v>4040</v>
      </c>
      <c r="Q23" t="s">
        <v>169</v>
      </c>
      <c r="R23">
        <v>12900</v>
      </c>
      <c r="S23">
        <f t="shared" si="2"/>
        <v>110</v>
      </c>
    </row>
    <row r="24" spans="5:32" x14ac:dyDescent="0.25">
      <c r="K24" t="s">
        <v>76</v>
      </c>
      <c r="L24" s="29">
        <v>15840</v>
      </c>
      <c r="M24">
        <f t="shared" si="5"/>
        <v>1360</v>
      </c>
      <c r="N24" s="28">
        <f t="shared" si="0"/>
        <v>3790</v>
      </c>
      <c r="P24" t="s">
        <v>164</v>
      </c>
      <c r="Q24" t="s">
        <v>138</v>
      </c>
      <c r="R24">
        <v>12990</v>
      </c>
      <c r="S24">
        <f t="shared" si="2"/>
        <v>90</v>
      </c>
    </row>
    <row r="25" spans="5:32" x14ac:dyDescent="0.25">
      <c r="K25" t="s">
        <v>137</v>
      </c>
      <c r="L25" s="29">
        <v>16040</v>
      </c>
      <c r="M25">
        <f t="shared" si="5"/>
        <v>200</v>
      </c>
      <c r="N25" s="28">
        <f>M25+N26</f>
        <v>2430</v>
      </c>
      <c r="Q25" t="s">
        <v>169</v>
      </c>
      <c r="R25">
        <v>13070</v>
      </c>
      <c r="S25">
        <f t="shared" si="2"/>
        <v>80</v>
      </c>
    </row>
    <row r="26" spans="5:32" x14ac:dyDescent="0.25">
      <c r="K26" t="s">
        <v>76</v>
      </c>
      <c r="L26" s="29">
        <v>18270</v>
      </c>
      <c r="M26">
        <f t="shared" si="5"/>
        <v>2230</v>
      </c>
      <c r="N26" s="28">
        <f>M26</f>
        <v>2230</v>
      </c>
      <c r="P26" t="s">
        <v>164</v>
      </c>
      <c r="Q26" t="s">
        <v>138</v>
      </c>
      <c r="R26">
        <v>13200</v>
      </c>
      <c r="S26">
        <f t="shared" si="2"/>
        <v>130</v>
      </c>
    </row>
    <row r="27" spans="5:32" x14ac:dyDescent="0.25">
      <c r="Q27" t="s">
        <v>169</v>
      </c>
      <c r="R27">
        <v>13830</v>
      </c>
      <c r="S27">
        <f t="shared" si="2"/>
        <v>630</v>
      </c>
    </row>
    <row r="28" spans="5:32" x14ac:dyDescent="0.25">
      <c r="Q28" t="s">
        <v>137</v>
      </c>
      <c r="R28">
        <v>14210</v>
      </c>
      <c r="S28">
        <f t="shared" si="2"/>
        <v>380</v>
      </c>
    </row>
    <row r="29" spans="5:32" x14ac:dyDescent="0.25">
      <c r="Q29" t="s">
        <v>169</v>
      </c>
      <c r="R29">
        <v>16090</v>
      </c>
      <c r="S29">
        <f t="shared" si="2"/>
        <v>1880</v>
      </c>
    </row>
    <row r="30" spans="5:32" x14ac:dyDescent="0.25">
      <c r="P30" t="s">
        <v>170</v>
      </c>
      <c r="Q30" t="s">
        <v>138</v>
      </c>
      <c r="R30">
        <v>16620</v>
      </c>
      <c r="S30">
        <f t="shared" si="2"/>
        <v>530</v>
      </c>
    </row>
    <row r="31" spans="5:32" x14ac:dyDescent="0.25">
      <c r="Q31" t="s">
        <v>169</v>
      </c>
      <c r="R31">
        <v>21220</v>
      </c>
      <c r="S31">
        <f t="shared" si="2"/>
        <v>4600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f>SUM(M8,M13,M19,S20,S22,S24,S26,S30)</f>
        <v>1810</v>
      </c>
      <c r="F42" s="6">
        <f>E42/(E42+E43)</f>
        <v>0.18526100307062435</v>
      </c>
      <c r="G42" s="1">
        <f>F42*D42</f>
        <v>0.74104401228249739</v>
      </c>
    </row>
    <row r="43" spans="3:20" ht="30" x14ac:dyDescent="0.25">
      <c r="C43" s="2" t="s">
        <v>78</v>
      </c>
      <c r="D43" s="1">
        <v>0</v>
      </c>
      <c r="E43" s="1">
        <f>SUM(E5:E7)-E42</f>
        <v>7960</v>
      </c>
      <c r="F43" s="6">
        <f>E43/(E42+E43)</f>
        <v>0.81473899692937568</v>
      </c>
      <c r="G43" s="1">
        <f>F43*D43</f>
        <v>0</v>
      </c>
    </row>
    <row r="44" spans="3:20" x14ac:dyDescent="0.25">
      <c r="F44" s="1" t="s">
        <v>38</v>
      </c>
      <c r="G44" s="6">
        <f>SUM(G42:G43)</f>
        <v>0.74104401228249739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81</v>
      </c>
      <c r="D49" s="1">
        <v>3</v>
      </c>
      <c r="E49" s="1"/>
      <c r="F49" s="1">
        <v>0.2</v>
      </c>
      <c r="G49" s="1">
        <f>F49*D49</f>
        <v>0.60000000000000009</v>
      </c>
    </row>
    <row r="50" spans="3:7" x14ac:dyDescent="0.25">
      <c r="C50" s="1" t="s">
        <v>82</v>
      </c>
      <c r="D50" s="1">
        <v>0</v>
      </c>
      <c r="E50" s="1"/>
      <c r="F50" s="1">
        <v>0</v>
      </c>
      <c r="G50" s="1"/>
    </row>
    <row r="51" spans="3:7" x14ac:dyDescent="0.25">
      <c r="F51" s="7" t="s">
        <v>38</v>
      </c>
      <c r="G51" s="7">
        <f>SUM(G49:G50)</f>
        <v>0.60000000000000009</v>
      </c>
    </row>
    <row r="54" spans="3:7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84</v>
      </c>
      <c r="D55" s="1">
        <v>2</v>
      </c>
      <c r="E55" s="1">
        <v>6</v>
      </c>
      <c r="F55" s="1">
        <f>E55/(SUM(E5:E7)/1000)</f>
        <v>0.61412487205731836</v>
      </c>
      <c r="G55" s="1">
        <f>2-4*F55</f>
        <v>-0.45649948822927344</v>
      </c>
    </row>
    <row r="56" spans="3:7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86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>
        <v>0</v>
      </c>
    </row>
    <row r="61" spans="3:7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7" x14ac:dyDescent="0.25">
      <c r="C62" s="1" t="s">
        <v>84</v>
      </c>
      <c r="D62" s="1">
        <v>3</v>
      </c>
      <c r="E62" s="1">
        <v>19</v>
      </c>
      <c r="F62" s="6">
        <f>E62/(E9/1000)</f>
        <v>0.71187710753091038</v>
      </c>
      <c r="G62" s="1">
        <f>3-(3*F62)</f>
        <v>0.86436867740726875</v>
      </c>
    </row>
    <row r="63" spans="3:7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f>SUM(G62:G65)</f>
        <v>0.86436867740726875</v>
      </c>
    </row>
    <row r="68" spans="3:7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>
        <v>6</v>
      </c>
      <c r="F69" s="6">
        <f>E69/(E9/1000)</f>
        <v>0.22480329711502434</v>
      </c>
      <c r="G69" s="1">
        <f>3-(6*F69)</f>
        <v>1.651180217309854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1.651180217309854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>
        <v>0.2</v>
      </c>
      <c r="G77" s="1">
        <f>F77*D77</f>
        <v>1.4000000000000001</v>
      </c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SUM(G77:G78)</f>
        <v>1.4000000000000001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>
        <v>10</v>
      </c>
      <c r="F83" s="6">
        <f>E83/(SUM(E5:E7)/1000)</f>
        <v>1.0235414534288638</v>
      </c>
      <c r="G83" s="1">
        <f>3-1.5*F83</f>
        <v>1.4646878198567044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v>0</v>
      </c>
    </row>
    <row r="88" spans="3:7" x14ac:dyDescent="0.25">
      <c r="C88" t="s">
        <v>152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8" ht="90" x14ac:dyDescent="0.25">
      <c r="C97" s="2" t="s">
        <v>103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127</v>
      </c>
    </row>
    <row r="98" spans="3:8" ht="60" x14ac:dyDescent="0.25">
      <c r="C98" s="2" t="s">
        <v>104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125</v>
      </c>
    </row>
    <row r="99" spans="3:8" x14ac:dyDescent="0.25">
      <c r="C99" s="1" t="s">
        <v>105</v>
      </c>
      <c r="D99" s="1">
        <v>5</v>
      </c>
      <c r="E99" s="1">
        <v>50</v>
      </c>
      <c r="F99" s="6">
        <f>E99/SUM(E97:E100)</f>
        <v>0.83333333333333337</v>
      </c>
      <c r="G99" s="1">
        <f>D99*F99</f>
        <v>4.166666666666667</v>
      </c>
      <c r="H99" t="s">
        <v>126</v>
      </c>
    </row>
    <row r="100" spans="3:8" ht="45" x14ac:dyDescent="0.25">
      <c r="C100" s="2" t="s">
        <v>106</v>
      </c>
      <c r="D100" s="1">
        <v>0</v>
      </c>
      <c r="E100" s="1">
        <v>10</v>
      </c>
      <c r="F100" s="6">
        <f>E100/SUM(E97:E100)</f>
        <v>0.16666666666666666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4.166666666666667</v>
      </c>
    </row>
    <row r="104" spans="3:8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8" ht="60" x14ac:dyDescent="0.25">
      <c r="C105" s="2" t="s">
        <v>108</v>
      </c>
      <c r="D105" s="1">
        <v>3</v>
      </c>
      <c r="E105" s="6">
        <v>14</v>
      </c>
      <c r="F105" s="6">
        <f>E105/SUM(E105:E108)</f>
        <v>0.23333333333333334</v>
      </c>
      <c r="G105" s="1">
        <f>D105*F105</f>
        <v>0.7</v>
      </c>
    </row>
    <row r="106" spans="3:8" ht="45" x14ac:dyDescent="0.25">
      <c r="C106" s="2" t="s">
        <v>109</v>
      </c>
      <c r="D106" s="1">
        <v>2</v>
      </c>
      <c r="E106" s="6">
        <v>6</v>
      </c>
      <c r="F106" s="6">
        <f>E106/SUM(E105:E108)</f>
        <v>0.1</v>
      </c>
      <c r="G106" s="1">
        <f t="shared" ref="G106:G108" si="6">D106*F106</f>
        <v>0.2</v>
      </c>
    </row>
    <row r="107" spans="3:8" ht="45" x14ac:dyDescent="0.25">
      <c r="C107" s="2" t="s">
        <v>110</v>
      </c>
      <c r="D107" s="1">
        <v>1</v>
      </c>
      <c r="E107" s="6">
        <v>38</v>
      </c>
      <c r="F107" s="6">
        <f>E107/SUM(E105:E108)</f>
        <v>0.6333333333333333</v>
      </c>
      <c r="G107" s="1">
        <f t="shared" si="6"/>
        <v>0.6333333333333333</v>
      </c>
    </row>
    <row r="108" spans="3:8" x14ac:dyDescent="0.25">
      <c r="C108" s="1" t="s">
        <v>111</v>
      </c>
      <c r="D108" s="1">
        <v>0</v>
      </c>
      <c r="E108" s="6">
        <v>2</v>
      </c>
      <c r="F108" s="6">
        <f>E108/SUM(E105:E108)</f>
        <v>3.3333333333333333E-2</v>
      </c>
      <c r="G108" s="1">
        <f t="shared" si="6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1.5333333333333332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L20" sqref="L20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>
        <v>2</v>
      </c>
      <c r="G5" t="s">
        <v>199</v>
      </c>
    </row>
    <row r="6" spans="3:7" ht="60" x14ac:dyDescent="0.25">
      <c r="C6" s="2" t="s">
        <v>63</v>
      </c>
      <c r="D6" s="1">
        <v>2</v>
      </c>
      <c r="E6" s="1">
        <v>1</v>
      </c>
      <c r="F6" s="1">
        <v>0</v>
      </c>
      <c r="G6" t="s">
        <v>198</v>
      </c>
    </row>
    <row r="7" spans="3:7" x14ac:dyDescent="0.25">
      <c r="E7" s="1" t="s">
        <v>38</v>
      </c>
      <c r="F7" s="1">
        <f>SUM(F5:F6)</f>
        <v>2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>
        <v>59</v>
      </c>
      <c r="F10" s="1">
        <f>E10/60</f>
        <v>0.98333333333333328</v>
      </c>
      <c r="G10" s="1">
        <f>D10*F10</f>
        <v>1.9666666666666666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3.9666666666666668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>
        <v>9</v>
      </c>
    </row>
    <row r="16" spans="3:7" x14ac:dyDescent="0.25">
      <c r="C16" s="1" t="s">
        <v>70</v>
      </c>
      <c r="D16" s="1">
        <v>1</v>
      </c>
      <c r="E16" s="1" t="s">
        <v>67</v>
      </c>
      <c r="F16" s="1"/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3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J29"/>
  <sheetViews>
    <sheetView tabSelected="1" workbookViewId="0">
      <selection activeCell="L25" sqref="L25"/>
    </sheetView>
  </sheetViews>
  <sheetFormatPr defaultRowHeight="15" x14ac:dyDescent="0.25"/>
  <cols>
    <col min="3" max="3" width="58" customWidth="1"/>
  </cols>
  <sheetData>
    <row r="4" spans="3:10" x14ac:dyDescent="0.25">
      <c r="C4" s="1" t="s">
        <v>140</v>
      </c>
      <c r="D4" s="1" t="s">
        <v>51</v>
      </c>
      <c r="E4" s="1" t="s">
        <v>32</v>
      </c>
      <c r="F4" s="1" t="s">
        <v>31</v>
      </c>
      <c r="H4" t="s">
        <v>166</v>
      </c>
    </row>
    <row r="5" spans="3:10" x14ac:dyDescent="0.25">
      <c r="C5" s="1" t="s">
        <v>112</v>
      </c>
      <c r="D5" s="1">
        <v>4</v>
      </c>
      <c r="E5" s="1">
        <v>0</v>
      </c>
      <c r="F5" s="1"/>
      <c r="H5">
        <f>'Kollektivtrafikens infrastruktu'!E9/1000</f>
        <v>26.69</v>
      </c>
      <c r="I5">
        <v>4.96</v>
      </c>
      <c r="J5">
        <v>3.86</v>
      </c>
    </row>
    <row r="6" spans="3:10" x14ac:dyDescent="0.25">
      <c r="C6" s="1" t="s">
        <v>113</v>
      </c>
      <c r="D6" s="1">
        <v>3</v>
      </c>
      <c r="E6" s="1">
        <v>0</v>
      </c>
      <c r="F6" s="1">
        <v>3</v>
      </c>
      <c r="H6">
        <f>((I5*2)+(J5*2))/H5</f>
        <v>0.66092169351817154</v>
      </c>
    </row>
    <row r="7" spans="3:10" x14ac:dyDescent="0.25">
      <c r="C7" s="1" t="s">
        <v>114</v>
      </c>
      <c r="D7" s="1">
        <v>0</v>
      </c>
      <c r="E7" s="1">
        <v>0</v>
      </c>
      <c r="F7" s="1">
        <v>0</v>
      </c>
      <c r="H7">
        <f>1-H6</f>
        <v>0.33907830648182846</v>
      </c>
    </row>
    <row r="8" spans="3:10" x14ac:dyDescent="0.25">
      <c r="E8" s="7" t="s">
        <v>38</v>
      </c>
      <c r="F8" s="7">
        <f>SUM(F5:F7)*H7</f>
        <v>1.0172349194454853</v>
      </c>
    </row>
    <row r="11" spans="3:10" x14ac:dyDescent="0.25">
      <c r="C11" s="1" t="s">
        <v>141</v>
      </c>
      <c r="D11" s="1" t="s">
        <v>51</v>
      </c>
      <c r="E11" s="1" t="s">
        <v>32</v>
      </c>
      <c r="F11" s="1" t="s">
        <v>31</v>
      </c>
    </row>
    <row r="12" spans="3:10" x14ac:dyDescent="0.25">
      <c r="C12" s="1" t="s">
        <v>115</v>
      </c>
      <c r="D12" s="1">
        <v>4</v>
      </c>
      <c r="E12" s="1">
        <v>0</v>
      </c>
      <c r="F12" s="1"/>
    </row>
    <row r="13" spans="3:10" x14ac:dyDescent="0.25">
      <c r="C13" s="1" t="s">
        <v>116</v>
      </c>
      <c r="D13" s="1">
        <v>3</v>
      </c>
      <c r="E13" s="1">
        <v>0</v>
      </c>
      <c r="F13" s="1"/>
      <c r="H13" t="s">
        <v>165</v>
      </c>
    </row>
    <row r="14" spans="3:10" x14ac:dyDescent="0.25">
      <c r="C14" s="1" t="s">
        <v>117</v>
      </c>
      <c r="D14" s="1">
        <v>0</v>
      </c>
      <c r="E14" s="1">
        <v>0</v>
      </c>
      <c r="F14" s="1">
        <v>0</v>
      </c>
    </row>
    <row r="15" spans="3:10" x14ac:dyDescent="0.25">
      <c r="E15" s="7" t="s">
        <v>38</v>
      </c>
      <c r="F15" s="7">
        <f>SUM(F12:F14)</f>
        <v>0</v>
      </c>
    </row>
    <row r="18" spans="3:6" x14ac:dyDescent="0.25">
      <c r="C18" s="1" t="s">
        <v>118</v>
      </c>
      <c r="D18" s="1" t="s">
        <v>51</v>
      </c>
      <c r="E18" s="1" t="s">
        <v>32</v>
      </c>
      <c r="F18" s="1" t="s">
        <v>31</v>
      </c>
    </row>
    <row r="19" spans="3:6" x14ac:dyDescent="0.25">
      <c r="C19" s="1" t="s">
        <v>119</v>
      </c>
      <c r="D19" s="1">
        <v>3</v>
      </c>
      <c r="E19" s="1">
        <v>0</v>
      </c>
      <c r="F19" s="1"/>
    </row>
    <row r="20" spans="3:6" x14ac:dyDescent="0.25">
      <c r="C20" s="1" t="s">
        <v>120</v>
      </c>
      <c r="D20" s="1">
        <v>2</v>
      </c>
      <c r="E20" s="1">
        <v>0</v>
      </c>
      <c r="F20" s="1">
        <v>2</v>
      </c>
    </row>
    <row r="21" spans="3:6" x14ac:dyDescent="0.25">
      <c r="C21" s="1" t="s">
        <v>121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2</v>
      </c>
    </row>
    <row r="25" spans="3:6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6" x14ac:dyDescent="0.25">
      <c r="C26" s="1" t="s">
        <v>120</v>
      </c>
      <c r="D26" s="1">
        <v>3</v>
      </c>
      <c r="E26" s="1">
        <v>0</v>
      </c>
      <c r="F26" s="1">
        <v>3</v>
      </c>
    </row>
    <row r="27" spans="3:6" x14ac:dyDescent="0.25">
      <c r="C27" s="1" t="s">
        <v>123</v>
      </c>
      <c r="D27" s="1">
        <v>2</v>
      </c>
      <c r="E27" s="1">
        <v>0</v>
      </c>
      <c r="F27" s="1"/>
    </row>
    <row r="28" spans="3:6" x14ac:dyDescent="0.25">
      <c r="C28" s="1" t="s">
        <v>124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2024-05-29T08:51:54Z</dcterms:modified>
</cp:coreProperties>
</file>