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205" documentId="11_AD4D7A0C205A6B9A452FA844A794D2E6693EDF1F" xr6:coauthVersionLast="47" xr6:coauthVersionMax="47" xr10:uidLastSave="{7CD3AF9B-7A0A-444E-B328-FC8AD54D8CE1}"/>
  <bookViews>
    <workbookView xWindow="-120" yWindow="-120" windowWidth="29040" windowHeight="15720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4" l="1"/>
  <c r="T10" i="4" s="1"/>
  <c r="T9" i="4" s="1"/>
  <c r="T8" i="4" s="1"/>
  <c r="T7" i="4" s="1"/>
  <c r="T6" i="4" s="1"/>
  <c r="T5" i="4" s="1"/>
  <c r="T13" i="4"/>
  <c r="T12" i="4"/>
  <c r="F68" i="1"/>
  <c r="E68" i="1"/>
  <c r="D68" i="1"/>
  <c r="F67" i="1"/>
  <c r="D67" i="1"/>
  <c r="E67" i="1" s="1"/>
  <c r="F66" i="1"/>
  <c r="E66" i="1"/>
  <c r="D66" i="1"/>
  <c r="F65" i="1"/>
  <c r="E65" i="1" s="1"/>
  <c r="D65" i="1"/>
  <c r="F64" i="1"/>
  <c r="E64" i="1"/>
  <c r="D64" i="1"/>
  <c r="F63" i="1"/>
  <c r="E63" i="1" s="1"/>
  <c r="D63" i="1"/>
  <c r="F62" i="1"/>
  <c r="E62" i="1" s="1"/>
  <c r="D62" i="1"/>
  <c r="F61" i="1"/>
  <c r="E61" i="1" s="1"/>
  <c r="D61" i="1"/>
  <c r="F60" i="1"/>
  <c r="E60" i="1" s="1"/>
  <c r="D60" i="1"/>
  <c r="F59" i="1"/>
  <c r="D59" i="1"/>
  <c r="E59" i="1" s="1"/>
  <c r="F58" i="1"/>
  <c r="E58" i="1"/>
  <c r="D58" i="1"/>
  <c r="F57" i="1"/>
  <c r="E57" i="1" s="1"/>
  <c r="D57" i="1"/>
  <c r="F56" i="1"/>
  <c r="F55" i="1"/>
  <c r="E55" i="1" s="1"/>
  <c r="D55" i="1"/>
  <c r="F54" i="1"/>
  <c r="D54" i="1"/>
  <c r="E54" i="1" s="1"/>
  <c r="F53" i="1"/>
  <c r="E53" i="1" s="1"/>
  <c r="D53" i="1"/>
  <c r="F52" i="1"/>
  <c r="E52" i="1"/>
  <c r="D52" i="1"/>
  <c r="F51" i="1"/>
  <c r="D51" i="1"/>
  <c r="E51" i="1" s="1"/>
  <c r="F50" i="1"/>
  <c r="E50" i="1"/>
  <c r="D50" i="1"/>
  <c r="F49" i="1"/>
  <c r="E49" i="1" s="1"/>
  <c r="D49" i="1"/>
  <c r="F48" i="1"/>
  <c r="D48" i="1"/>
  <c r="E48" i="1" s="1"/>
  <c r="F47" i="1"/>
  <c r="E47" i="1" s="1"/>
  <c r="D47" i="1"/>
  <c r="F46" i="1"/>
  <c r="D46" i="1"/>
  <c r="E46" i="1" s="1"/>
  <c r="F45" i="1"/>
  <c r="D45" i="1"/>
  <c r="E45" i="1" s="1"/>
  <c r="F44" i="1"/>
  <c r="E44" i="1"/>
  <c r="D44" i="1"/>
  <c r="F39" i="1" l="1"/>
  <c r="F32" i="1"/>
  <c r="F12" i="1"/>
  <c r="K17" i="5" l="1"/>
  <c r="K16" i="5"/>
  <c r="J16" i="5"/>
  <c r="F10" i="3"/>
  <c r="G10" i="3" s="1"/>
  <c r="F70" i="2"/>
  <c r="G49" i="4"/>
  <c r="F49" i="4"/>
  <c r="E49" i="4"/>
  <c r="E50" i="4"/>
  <c r="E43" i="4"/>
  <c r="E42" i="4"/>
  <c r="S7" i="4"/>
  <c r="S8" i="4"/>
  <c r="S9" i="4"/>
  <c r="S10" i="4"/>
  <c r="S11" i="4"/>
  <c r="S12" i="4"/>
  <c r="S13" i="4"/>
  <c r="M7" i="4"/>
  <c r="M8" i="4"/>
  <c r="M9" i="4"/>
  <c r="M10" i="4"/>
  <c r="M11" i="4"/>
  <c r="M12" i="4"/>
  <c r="M13" i="4"/>
  <c r="F51" i="2"/>
  <c r="G51" i="2" s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18" i="2"/>
  <c r="K28" i="2"/>
  <c r="K29" i="2"/>
  <c r="K30" i="2"/>
  <c r="K31" i="2"/>
  <c r="K32" i="2"/>
  <c r="K33" i="2"/>
  <c r="K34" i="2"/>
  <c r="K35" i="2"/>
  <c r="K36" i="2"/>
  <c r="K37" i="2"/>
  <c r="K38" i="2"/>
  <c r="D21" i="1"/>
  <c r="G79" i="4"/>
  <c r="E7" i="4"/>
  <c r="E6" i="4"/>
  <c r="S6" i="4"/>
  <c r="S5" i="4"/>
  <c r="M6" i="4"/>
  <c r="M5" i="4"/>
  <c r="E8" i="4" s="1"/>
  <c r="K42" i="2"/>
  <c r="K43" i="2"/>
  <c r="K44" i="2"/>
  <c r="K45" i="2"/>
  <c r="K46" i="2"/>
  <c r="K47" i="2"/>
  <c r="O21" i="2"/>
  <c r="O20" i="2"/>
  <c r="O19" i="2"/>
  <c r="E7" i="2"/>
  <c r="D5" i="1" s="1"/>
  <c r="E39" i="1"/>
  <c r="E32" i="1"/>
  <c r="E25" i="1"/>
  <c r="E12" i="1"/>
  <c r="F43" i="4"/>
  <c r="G43" i="4" s="1"/>
  <c r="E11" i="4"/>
  <c r="E5" i="4" l="1"/>
  <c r="F8" i="4" s="1"/>
  <c r="G8" i="4" s="1"/>
  <c r="E40" i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70" i="2"/>
  <c r="G69" i="2"/>
  <c r="G59" i="2"/>
  <c r="G58" i="2"/>
  <c r="K51" i="2"/>
  <c r="F7" i="4" l="1"/>
  <c r="G7" i="4" s="1"/>
  <c r="F55" i="4"/>
  <c r="G55" i="4" s="1"/>
  <c r="G58" i="4" s="1"/>
  <c r="D18" i="1" s="1"/>
  <c r="F5" i="4"/>
  <c r="G5" i="4" s="1"/>
  <c r="F83" i="4"/>
  <c r="G83" i="4" s="1"/>
  <c r="E12" i="4"/>
  <c r="F6" i="4"/>
  <c r="G6" i="4" s="1"/>
  <c r="E9" i="4"/>
  <c r="F62" i="4" s="1"/>
  <c r="G62" i="4" s="1"/>
  <c r="G71" i="2"/>
  <c r="D11" i="1" s="1"/>
  <c r="K20" i="2"/>
  <c r="K21" i="2"/>
  <c r="K22" i="2"/>
  <c r="K23" i="2"/>
  <c r="K24" i="2"/>
  <c r="K25" i="2"/>
  <c r="K26" i="2"/>
  <c r="K27" i="2"/>
  <c r="K39" i="2"/>
  <c r="K40" i="2"/>
  <c r="K4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G66" i="2"/>
  <c r="D10" i="1" s="1"/>
  <c r="G60" i="2"/>
  <c r="D9" i="1" s="1"/>
  <c r="G55" i="2"/>
  <c r="D8" i="1" s="1"/>
  <c r="F11" i="2"/>
  <c r="F12" i="2"/>
  <c r="F13" i="2"/>
  <c r="F69" i="4" l="1"/>
  <c r="G69" i="4" s="1"/>
  <c r="G73" i="4" s="1"/>
  <c r="D20" i="1" s="1"/>
  <c r="D56" i="1" s="1"/>
  <c r="E56" i="1" s="1"/>
  <c r="E19" i="2"/>
  <c r="E20" i="2" s="1"/>
  <c r="E21" i="2" s="1"/>
  <c r="E22" i="2" s="1"/>
  <c r="O15" i="2"/>
  <c r="J14" i="2"/>
  <c r="L16" i="2"/>
  <c r="J15" i="2"/>
  <c r="D39" i="1"/>
  <c r="D32" i="1"/>
  <c r="G101" i="4"/>
  <c r="D23" i="1" s="1"/>
  <c r="D19" i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F25" i="1" s="1"/>
  <c r="D12" i="1" l="1"/>
  <c r="M10" i="1" s="1"/>
  <c r="M11" i="1" s="1"/>
  <c r="M5" i="1"/>
  <c r="N4" i="1" s="1"/>
  <c r="M13" i="1"/>
  <c r="M12" i="1"/>
  <c r="M4" i="1" l="1"/>
  <c r="N5" i="1" l="1"/>
  <c r="N6" i="1"/>
  <c r="N7" i="1"/>
</calcChain>
</file>

<file path=xl/sharedStrings.xml><?xml version="1.0" encoding="utf-8"?>
<sst xmlns="http://schemas.openxmlformats.org/spreadsheetml/2006/main" count="375" uniqueCount="194">
  <si>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</si>
  <si>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</si>
  <si>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</si>
  <si>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</si>
  <si>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</si>
  <si>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</si>
  <si>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</si>
  <si>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</si>
  <si>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</si>
  <si>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</si>
  <si>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</si>
  <si>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</si>
  <si>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</si>
  <si>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</si>
  <si>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</si>
  <si>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</si>
  <si>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</si>
  <si>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</si>
  <si>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</si>
  <si>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</si>
  <si>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</si>
  <si>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</si>
  <si>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</si>
  <si>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</si>
  <si>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</si>
  <si>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</si>
  <si>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</si>
  <si>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</si>
  <si>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</si>
  <si>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</si>
  <si>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</si>
  <si>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</si>
  <si>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</si>
  <si>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</si>
  <si>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</si>
  <si>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</si>
  <si>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</si>
  <si>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</si>
  <si>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</si>
  <si>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</si>
  <si>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</si>
  <si>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</si>
  <si>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</si>
  <si>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</si>
  <si>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</si>
  <si>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</si>
  <si>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</si>
  <si>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</si>
  <si>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</si>
  <si>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</si>
  <si>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</si>
  <si>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</si>
  <si>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</si>
  <si>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</si>
  <si>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</si>
  <si>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</si>
  <si>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</si>
  <si>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</si>
  <si>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</si>
  <si>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</si>
  <si>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</si>
  <si>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</si>
  <si>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</si>
  <si>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</si>
  <si>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</si>
  <si>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</si>
  <si>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</si>
  <si>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</si>
  <si>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</si>
  <si>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</si>
  <si>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</si>
  <si>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</si>
  <si>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</si>
  <si>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</si>
  <si>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</si>
  <si>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</si>
  <si>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</si>
  <si>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</si>
  <si>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</si>
  <si>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</si>
  <si>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</si>
  <si>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</si>
  <si>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</si>
  <si>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</si>
  <si>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</si>
  <si>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</si>
  <si>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</si>
  <si>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</si>
  <si>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</si>
  <si>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</si>
  <si>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</si>
  <si>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</si>
  <si>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</si>
  <si>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</si>
  <si>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</si>
  <si>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</si>
  <si>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</si>
  <si>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</si>
  <si>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</si>
  <si>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</si>
  <si>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</si>
  <si>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</si>
  <si>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</si>
  <si>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</si>
  <si>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</si>
  <si>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</si>
  <si>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</si>
  <si>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</si>
  <si>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</si>
  <si>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</si>
  <si>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</si>
  <si>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</si>
  <si>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</si>
  <si>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</si>
  <si>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</si>
  <si>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</si>
  <si>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</si>
  <si>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</si>
  <si>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</si>
  <si>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</si>
  <si>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</si>
  <si>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</si>
  <si>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</si>
  <si>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</si>
  <si>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</si>
  <si>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</si>
  <si>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</si>
  <si>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</si>
  <si>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</si>
  <si>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</si>
  <si>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</si>
  <si>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</si>
  <si>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</si>
  <si>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</si>
  <si>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</si>
  <si>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</si>
  <si>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</si>
  <si>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</si>
  <si>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</si>
  <si>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</si>
  <si>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</si>
  <si>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</si>
  <si>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</si>
  <si>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</si>
  <si>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</si>
  <si>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</si>
  <si>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</si>
  <si>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</si>
  <si>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</si>
  <si>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</si>
  <si>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</si>
  <si>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</si>
  <si>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</si>
  <si>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</si>
  <si>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</si>
  <si>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Skälby - centrum få</t>
  </si>
  <si>
    <t>Skälby - centrum fa</t>
  </si>
  <si>
    <t>Centrum - Bjurhovda</t>
  </si>
  <si>
    <t>Skälby</t>
  </si>
  <si>
    <t>Skälbygatan</t>
  </si>
  <si>
    <t>Bjurhova</t>
  </si>
  <si>
    <t>Start Skälby</t>
  </si>
  <si>
    <t>x</t>
  </si>
  <si>
    <t>Start Bjurhovda</t>
  </si>
  <si>
    <t>Namn: Västerås Linje 1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</si>
  <si>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</si>
  <si>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</si>
  <si>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</si>
  <si>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</si>
  <si>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</si>
  <si>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</si>
  <si>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</si>
  <si>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</si>
  <si>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</si>
  <si>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</si>
  <si>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</si>
  <si>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</si>
  <si>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</si>
  <si>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</si>
  <si>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</si>
  <si>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</si>
  <si>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</si>
  <si>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</si>
  <si>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</si>
  <si>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</si>
  <si>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</si>
  <si>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</si>
  <si>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</si>
  <si>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</si>
  <si>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</si>
  <si>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</si>
  <si>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</si>
  <si>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</si>
  <si>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vanlig buss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</si>
</sst>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4" fillId="0" borderId="0" xfId="0" applyFont="1"/>
    <xf numFmtId="0" fontId="0" fillId="0" borderId="3" xfId="0" applyBorder="1"/>
    <xf numFmtId="164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Västerås Linje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35F-4290-B489-8988EECED7C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35F-4290-B489-8988EECED7C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35F-4290-B489-8988EECED7C6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35F-4290-B489-8988EECED7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35F-4290-B489-8988EECED7C6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35F-4290-B489-8988EECED7C6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35F-4290-B489-8988EECED7C6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35F-4290-B489-8988EECED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7.8961937794921031</c:v>
                </c:pt>
                <c:pt idx="1">
                  <c:v>12.103806220507897</c:v>
                </c:pt>
                <c:pt idx="2">
                  <c:v>15.347070689851119</c:v>
                </c:pt>
                <c:pt idx="3">
                  <c:v>30.652929310148881</c:v>
                </c:pt>
                <c:pt idx="4">
                  <c:v>2.1428571428571428</c:v>
                </c:pt>
                <c:pt idx="5">
                  <c:v>17.857142857142858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35F-4290-B489-8988EECED7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Västerås Linje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07296296296297"/>
          <c:y val="0.14179899691358022"/>
          <c:w val="0.79058814814814815"/>
          <c:h val="0.823529320987654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0-4D30-B2D7-8B62759F09E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0-4D30-B2D7-8B62759F09E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0-4D30-B2D7-8B62759F0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0-4D30-B2D7-8B62759F09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0-4D30-B2D7-8B62759F09EB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00-4D30-B2D7-8B62759F09E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0-4D30-B2D7-8B62759F09EB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B00-4D30-B2D7-8B62759F0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7.8961937794921031</c:v>
                </c:pt>
                <c:pt idx="1">
                  <c:v>12.103806220507897</c:v>
                </c:pt>
                <c:pt idx="2">
                  <c:v>15.347070689851119</c:v>
                </c:pt>
                <c:pt idx="3">
                  <c:v>30.652929310148881</c:v>
                </c:pt>
                <c:pt idx="4">
                  <c:v>2.1428571428571428</c:v>
                </c:pt>
                <c:pt idx="5">
                  <c:v>17.857142857142858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00-4D30-B2D7-8B62759F09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Västerås</a:t>
            </a:r>
            <a:r>
              <a:rPr lang="sv-SE" baseline="0"/>
              <a:t> Stadsbuss 1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0994563492063492"/>
          <c:y val="0.19080714285714287"/>
          <c:w val="0.7851488095238095"/>
          <c:h val="0.785148809523809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0-4E48-B8D0-F70C28F95F5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0-4E48-B8D0-F70C28F95F5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0-4E48-B8D0-F70C28F95F56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50-4E48-B8D0-F70C28F95F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0-4E48-B8D0-F70C28F95F56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B50-4E48-B8D0-F70C28F95F56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50-4E48-B8D0-F70C28F95F56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B50-4E48-B8D0-F70C28F95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7.8961937794921031</c:v>
                </c:pt>
                <c:pt idx="1">
                  <c:v>12.103806220507897</c:v>
                </c:pt>
                <c:pt idx="2">
                  <c:v>15.347070689851119</c:v>
                </c:pt>
                <c:pt idx="3">
                  <c:v>30.652929310148881</c:v>
                </c:pt>
                <c:pt idx="4">
                  <c:v>2.1428571428571428</c:v>
                </c:pt>
                <c:pt idx="5">
                  <c:v>17.857142857142858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E48-B8D0-F70C28F95F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B0-4339-A6A0-9528016AA70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B0-4339-A6A0-9528016AA70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B0-4339-A6A0-9528016AA70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B0-4339-A6A0-9528016AA70E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B0-4339-A6A0-9528016AA70E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EB0-4339-A6A0-9528016AA70E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EB0-4339-A6A0-9528016AA70E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EB0-4339-A6A0-9528016AA70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EB0-4339-A6A0-9528016AA7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B0-4339-A6A0-9528016AA7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B0-4339-A6A0-9528016AA7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B0-4339-A6A0-9528016AA7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EB0-4339-A6A0-9528016AA70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EB0-4339-A6A0-9528016AA7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EB0-4339-A6A0-9528016AA70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EB0-4339-A6A0-9528016AA70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EB0-4339-A6A0-9528016AA70E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EB0-4339-A6A0-9528016AA70E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EB0-4339-A6A0-9528016AA70E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EB0-4339-A6A0-9528016AA70E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EB0-4339-A6A0-9528016AA70E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EB0-4339-A6A0-9528016AA70E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EB0-4339-A6A0-9528016AA70E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EB0-4339-A6A0-9528016AA70E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EB0-4339-A6A0-9528016AA70E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 formatCode="0.0">
                  <c:v>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2.1428571428571428</c:v>
                </c:pt>
                <c:pt idx="7" formatCode="0.0">
                  <c:v>0</c:v>
                </c:pt>
                <c:pt idx="8" formatCode="0.0">
                  <c:v>0.75</c:v>
                </c:pt>
                <c:pt idx="9" formatCode="0.0">
                  <c:v>3.2321428571428572</c:v>
                </c:pt>
                <c:pt idx="10" formatCode="0.0">
                  <c:v>3</c:v>
                </c:pt>
                <c:pt idx="11" formatCode="0.0">
                  <c:v>0</c:v>
                </c:pt>
                <c:pt idx="12" formatCode="0.0">
                  <c:v>1.0906921241050118</c:v>
                </c:pt>
                <c:pt idx="13" formatCode="0.0">
                  <c:v>0</c:v>
                </c:pt>
                <c:pt idx="14" formatCode="0.0">
                  <c:v>2</c:v>
                </c:pt>
                <c:pt idx="15" formatCode="0.0">
                  <c:v>1.7857142857142856</c:v>
                </c:pt>
                <c:pt idx="16" formatCode="0.0">
                  <c:v>2.9761904761904763</c:v>
                </c:pt>
                <c:pt idx="17" formatCode="0.0">
                  <c:v>0.51233094669848844</c:v>
                </c:pt>
                <c:pt idx="18" formatCode="0.0">
                  <c:v>0.6428571428571429</c:v>
                </c:pt>
                <c:pt idx="19" formatCode="0.0">
                  <c:v>1</c:v>
                </c:pt>
                <c:pt idx="20" formatCode="0.0">
                  <c:v>3</c:v>
                </c:pt>
                <c:pt idx="21" formatCode="0.0">
                  <c:v>0.18290258449304142</c:v>
                </c:pt>
                <c:pt idx="22" formatCode="0.0">
                  <c:v>1.7758620689655173</c:v>
                </c:pt>
                <c:pt idx="23" formatCode="0.0">
                  <c:v>1.2945719831764011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EB0-4339-A6A0-9528016AA70E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EB0-4339-A6A0-9528016AA7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EB0-4339-A6A0-9528016AA7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EB0-4339-A6A0-9528016AA7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EB0-4339-A6A0-9528016AA7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EB0-4339-A6A0-9528016AA7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EB0-4339-A6A0-9528016AA70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3EB0-4339-A6A0-9528016AA7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3EB0-4339-A6A0-9528016AA70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3EB0-4339-A6A0-9528016AA7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3EB0-4339-A6A0-9528016AA7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3EB0-4339-A6A0-9528016AA7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3EB0-4339-A6A0-9528016AA7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3EB0-4339-A6A0-9528016AA70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3EB0-4339-A6A0-9528016AA7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3EB0-4339-A6A0-9528016AA70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EB0-4339-A6A0-9528016AA70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3EB0-4339-A6A0-9528016AA70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EB0-4339-A6A0-9528016AA70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3EB0-4339-A6A0-9528016AA70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3EB0-4339-A6A0-9528016AA70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3EB0-4339-A6A0-9528016AA70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3EB0-4339-A6A0-9528016AA70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3EB0-4339-A6A0-9528016AA70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3EB0-4339-A6A0-9528016AA70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3EB0-4339-A6A0-9528016AA70E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1.8571428571428572</c:v>
                </c:pt>
                <c:pt idx="7">
                  <c:v>4</c:v>
                </c:pt>
                <c:pt idx="8">
                  <c:v>2.25</c:v>
                </c:pt>
                <c:pt idx="9">
                  <c:v>6.7678571428571423</c:v>
                </c:pt>
                <c:pt idx="10">
                  <c:v>0</c:v>
                </c:pt>
                <c:pt idx="11">
                  <c:v>7</c:v>
                </c:pt>
                <c:pt idx="12">
                  <c:v>1.9093078758949882</c:v>
                </c:pt>
                <c:pt idx="13">
                  <c:v>3</c:v>
                </c:pt>
                <c:pt idx="14">
                  <c:v>0</c:v>
                </c:pt>
                <c:pt idx="15">
                  <c:v>1.2142857142857144</c:v>
                </c:pt>
                <c:pt idx="16">
                  <c:v>1.0238095238095237</c:v>
                </c:pt>
                <c:pt idx="17">
                  <c:v>7.4876690533015111</c:v>
                </c:pt>
                <c:pt idx="18">
                  <c:v>1.3571428571428572</c:v>
                </c:pt>
                <c:pt idx="19" formatCode="0.0">
                  <c:v>1</c:v>
                </c:pt>
                <c:pt idx="20">
                  <c:v>0</c:v>
                </c:pt>
                <c:pt idx="21">
                  <c:v>2.8170974155069586</c:v>
                </c:pt>
                <c:pt idx="22">
                  <c:v>3.2241379310344827</c:v>
                </c:pt>
                <c:pt idx="23">
                  <c:v>1.7054280168235989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EB0-4339-A6A0-9528016A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19</xdr:row>
      <xdr:rowOff>23812</xdr:rowOff>
    </xdr:from>
    <xdr:to>
      <xdr:col>11</xdr:col>
      <xdr:colOff>1671301</xdr:colOff>
      <xdr:row>32</xdr:row>
      <xdr:rowOff>139312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1E7696-4F11-DF3C-DB78-F08833A9B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1952625</xdr:colOff>
      <xdr:row>19</xdr:row>
      <xdr:rowOff>9525</xdr:rowOff>
    </xdr:from>
    <xdr:to>
      <xdr:col>16</xdr:col>
      <xdr:colOff>71100</xdr:colOff>
      <xdr:row>32</xdr:row>
      <xdr:rowOff>125025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E5F6967-42C1-4746-96A2-894CA97D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33</xdr:row>
      <xdr:rowOff>71437</xdr:rowOff>
    </xdr:from>
    <xdr:to>
      <xdr:col>11</xdr:col>
      <xdr:colOff>1486537</xdr:colOff>
      <xdr:row>46</xdr:row>
      <xdr:rowOff>114937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220B52C-2BCE-377A-9686-91AC3A1C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185736</xdr:colOff>
      <xdr:row>41</xdr:row>
      <xdr:rowOff>80962</xdr:rowOff>
    </xdr:from>
    <xdr:to>
      <xdr:col>7</xdr:col>
      <xdr:colOff>85725</xdr:colOff>
      <xdr:row>69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99D8825-6FC0-1E68-1680-52F9870F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topLeftCell="A7" workbookViewId="0">
      <selection activeCell="D35" sqref="D35:D39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  <col min="13" max="13" width="9.5703125" bestFit="1" customWidth="1"/>
  </cols>
  <sheetData>
    <row r="2" spans="2:14" x14ac:dyDescent="0.25">
      <c r="C2" t="s">
        <v>164</v>
      </c>
    </row>
    <row r="3" spans="2:14" x14ac:dyDescent="0.25">
      <c r="B3" s="31" t="s">
        <v>0</v>
      </c>
      <c r="C3" s="32"/>
      <c r="D3" s="32"/>
      <c r="E3" s="33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7.8961937794921031</v>
      </c>
      <c r="N4">
        <f>M4/SUM($M$4:$M$7)</f>
        <v>0.23651126271002915</v>
      </c>
    </row>
    <row r="5" spans="2:14" x14ac:dyDescent="0.25">
      <c r="B5" s="15"/>
      <c r="C5" t="s">
        <v>1</v>
      </c>
      <c r="D5" s="1">
        <f>'Stadens utformning'!E7</f>
        <v>0</v>
      </c>
      <c r="E5" s="1">
        <v>2</v>
      </c>
      <c r="L5" t="s">
        <v>13</v>
      </c>
      <c r="M5">
        <f>D25</f>
        <v>15.347070689851119</v>
      </c>
      <c r="N5">
        <f>M5/SUM($M$4:$M$7)</f>
        <v>0.45968414265413815</v>
      </c>
    </row>
    <row r="6" spans="2:14" x14ac:dyDescent="0.25">
      <c r="B6" s="15"/>
      <c r="C6" s="1" t="s">
        <v>2</v>
      </c>
      <c r="D6" s="11">
        <f>'Stadens utformning'!F14</f>
        <v>1.2945719831764011</v>
      </c>
      <c r="E6" s="1">
        <v>3</v>
      </c>
      <c r="L6" t="s">
        <v>8</v>
      </c>
      <c r="M6">
        <f>D32</f>
        <v>2.1428571428571428</v>
      </c>
      <c r="N6">
        <f>M6/SUM($M$4:$M$7)</f>
        <v>6.4184069289260404E-2</v>
      </c>
    </row>
    <row r="7" spans="2:14" x14ac:dyDescent="0.25">
      <c r="B7" s="15"/>
      <c r="C7" s="1" t="s">
        <v>3</v>
      </c>
      <c r="D7" s="11">
        <f>'Stadens utformning'!G23</f>
        <v>1.7758620689655173</v>
      </c>
      <c r="E7" s="1">
        <v>5</v>
      </c>
      <c r="L7" t="s">
        <v>24</v>
      </c>
      <c r="M7">
        <f>D39</f>
        <v>8</v>
      </c>
      <c r="N7">
        <f>M7/SUM($M$4:$M$7)</f>
        <v>0.23962052534657219</v>
      </c>
    </row>
    <row r="8" spans="2:14" x14ac:dyDescent="0.25">
      <c r="B8" s="15"/>
      <c r="C8" s="1" t="s">
        <v>4</v>
      </c>
      <c r="D8" s="11">
        <f>'Stadens utformning'!G55</f>
        <v>0.18290258449304142</v>
      </c>
      <c r="E8" s="1">
        <v>3</v>
      </c>
    </row>
    <row r="9" spans="2:14" x14ac:dyDescent="0.25">
      <c r="B9" s="15"/>
      <c r="C9" s="1" t="s">
        <v>5</v>
      </c>
      <c r="D9" s="11">
        <f>'Stadens utformning'!G60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utformning'!G66</f>
        <v>1</v>
      </c>
      <c r="E10" s="1">
        <v>2</v>
      </c>
      <c r="L10" t="s">
        <v>0</v>
      </c>
      <c r="M10" s="27">
        <f>D12</f>
        <v>7.8961937794921031</v>
      </c>
    </row>
    <row r="11" spans="2:14" x14ac:dyDescent="0.25">
      <c r="B11" s="15"/>
      <c r="C11" s="1" t="s">
        <v>7</v>
      </c>
      <c r="D11" s="11">
        <f>'Stadens utformning'!G71</f>
        <v>0.6428571428571429</v>
      </c>
      <c r="E11" s="1">
        <v>2</v>
      </c>
      <c r="L11" t="s">
        <v>147</v>
      </c>
      <c r="M11" s="27">
        <f>E12-M10</f>
        <v>12.103806220507897</v>
      </c>
    </row>
    <row r="12" spans="2:14" x14ac:dyDescent="0.25">
      <c r="B12" s="16"/>
      <c r="C12" s="1" t="s">
        <v>61</v>
      </c>
      <c r="D12" s="11">
        <f>SUM(D6:D11)</f>
        <v>7.8961937794921031</v>
      </c>
      <c r="E12" s="11">
        <f>SUM(E5:E11)</f>
        <v>20</v>
      </c>
      <c r="F12">
        <f>D12/E12</f>
        <v>0.39480968897460517</v>
      </c>
      <c r="L12" t="s">
        <v>13</v>
      </c>
      <c r="M12" s="27">
        <f>D25</f>
        <v>15.347070689851119</v>
      </c>
    </row>
    <row r="13" spans="2:14" x14ac:dyDescent="0.25">
      <c r="B13" s="31" t="s">
        <v>13</v>
      </c>
      <c r="C13" s="32"/>
      <c r="D13" s="32"/>
      <c r="E13" s="33"/>
      <c r="L13" t="s">
        <v>148</v>
      </c>
      <c r="M13" s="27">
        <f>E25-D25</f>
        <v>30.652929310148881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7">
        <f>D32</f>
        <v>2.1428571428571428</v>
      </c>
    </row>
    <row r="15" spans="2:14" x14ac:dyDescent="0.25">
      <c r="B15" s="18"/>
      <c r="C15" s="1" t="s">
        <v>14</v>
      </c>
      <c r="D15" s="11">
        <f>'Kollektivtrafikens infrastruktu'!G9</f>
        <v>0.51233094669848844</v>
      </c>
      <c r="E15" s="1">
        <v>8</v>
      </c>
      <c r="L15" t="s">
        <v>149</v>
      </c>
      <c r="M15" s="27">
        <f>E32-D32</f>
        <v>17.857142857142858</v>
      </c>
    </row>
    <row r="16" spans="2:14" x14ac:dyDescent="0.25">
      <c r="B16" s="18"/>
      <c r="C16" s="1" t="s">
        <v>15</v>
      </c>
      <c r="D16" s="11">
        <f>'Kollektivtrafikens infrastruktu'!G44</f>
        <v>2.9761904761904763</v>
      </c>
      <c r="E16" s="1">
        <v>4</v>
      </c>
      <c r="L16" t="s">
        <v>24</v>
      </c>
      <c r="M16" s="27">
        <f>D39</f>
        <v>8</v>
      </c>
    </row>
    <row r="17" spans="2:13" x14ac:dyDescent="0.25">
      <c r="B17" s="18"/>
      <c r="C17" s="1" t="s">
        <v>16</v>
      </c>
      <c r="D17" s="11">
        <f>'Kollektivtrafikens infrastruktu'!G51</f>
        <v>1.7857142857142856</v>
      </c>
      <c r="E17" s="1">
        <v>3</v>
      </c>
      <c r="L17" t="s">
        <v>150</v>
      </c>
      <c r="M17" s="27">
        <f>E39-D39</f>
        <v>6</v>
      </c>
    </row>
    <row r="18" spans="2:13" x14ac:dyDescent="0.25">
      <c r="B18" s="18"/>
      <c r="C18" s="1" t="s">
        <v>17</v>
      </c>
      <c r="D18" s="11">
        <f>'Kollektivtrafikens infrastruktu'!G58</f>
        <v>2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1.0906921241050118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0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3.2321428571428572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0.75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15.347070689851119</v>
      </c>
      <c r="E25" s="11">
        <f>SUM(E15:E24)</f>
        <v>46</v>
      </c>
      <c r="F25">
        <f>D25/E25</f>
        <v>0.3336319715185026</v>
      </c>
    </row>
    <row r="26" spans="2:13" x14ac:dyDescent="0.25">
      <c r="B26" s="31" t="s">
        <v>8</v>
      </c>
      <c r="C26" s="32"/>
      <c r="D26" s="32"/>
      <c r="E26" s="33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0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2.1428571428571428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0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2.1428571428571428</v>
      </c>
      <c r="E32" s="1">
        <f>SUM(E28:E31)</f>
        <v>20</v>
      </c>
      <c r="F32">
        <f>D32/E32</f>
        <v>0.10714285714285714</v>
      </c>
    </row>
    <row r="33" spans="2:6" x14ac:dyDescent="0.25">
      <c r="B33" s="31" t="s">
        <v>24</v>
      </c>
      <c r="C33" s="32"/>
      <c r="D33" s="32"/>
      <c r="E33" s="33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0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2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">
        <f>SUM(D35:D38)</f>
        <v>8</v>
      </c>
      <c r="E39" s="1">
        <f>SUM(E35:E38)</f>
        <v>14</v>
      </c>
      <c r="F39">
        <f>D39/E39</f>
        <v>0.5714285714285714</v>
      </c>
    </row>
    <row r="40" spans="2:6" x14ac:dyDescent="0.25">
      <c r="B40" s="4"/>
      <c r="C40" s="26" t="s">
        <v>38</v>
      </c>
      <c r="D40" s="13">
        <f>SUM(D5:D11)+SUM(D28:D31)+SUM(D15:D24)+SUM(D35:D38)</f>
        <v>33.386121612200363</v>
      </c>
      <c r="E40" s="13">
        <f>SUM(E12+E25+E32+E39)</f>
        <v>100</v>
      </c>
    </row>
    <row r="43" spans="2:6" x14ac:dyDescent="0.25">
      <c r="C43" s="28" t="s">
        <v>165</v>
      </c>
      <c r="D43" s="28" t="s">
        <v>166</v>
      </c>
      <c r="E43" t="s">
        <v>139</v>
      </c>
      <c r="F43" s="28" t="s">
        <v>167</v>
      </c>
    </row>
    <row r="44" spans="2:6" x14ac:dyDescent="0.25">
      <c r="C44" t="s">
        <v>168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s="29" t="s">
        <v>169</v>
      </c>
      <c r="D45">
        <f>D37</f>
        <v>2</v>
      </c>
      <c r="E45">
        <f t="shared" ref="E45:E68" si="0">F45-D45</f>
        <v>1</v>
      </c>
      <c r="F45">
        <f>E37</f>
        <v>3</v>
      </c>
    </row>
    <row r="46" spans="2:6" x14ac:dyDescent="0.25">
      <c r="C46" s="29" t="s">
        <v>170</v>
      </c>
      <c r="D46">
        <f>D36</f>
        <v>0</v>
      </c>
      <c r="E46">
        <f t="shared" si="0"/>
        <v>4</v>
      </c>
      <c r="F46">
        <f>E36</f>
        <v>4</v>
      </c>
    </row>
    <row r="47" spans="2:6" x14ac:dyDescent="0.25">
      <c r="C47" s="29" t="s">
        <v>171</v>
      </c>
      <c r="D47" s="30">
        <f>D35</f>
        <v>3</v>
      </c>
      <c r="E47">
        <f t="shared" si="0"/>
        <v>1</v>
      </c>
      <c r="F47">
        <f>E35</f>
        <v>4</v>
      </c>
    </row>
    <row r="48" spans="2:6" x14ac:dyDescent="0.25">
      <c r="C48" s="1" t="s">
        <v>172</v>
      </c>
      <c r="D48" s="30">
        <f>D31</f>
        <v>0</v>
      </c>
      <c r="E48">
        <f t="shared" si="0"/>
        <v>2</v>
      </c>
      <c r="F48" s="30">
        <f>E31</f>
        <v>2</v>
      </c>
    </row>
    <row r="49" spans="3:6" x14ac:dyDescent="0.25">
      <c r="C49" s="1" t="s">
        <v>173</v>
      </c>
      <c r="D49" s="30">
        <f>D30</f>
        <v>0</v>
      </c>
      <c r="E49">
        <f t="shared" si="0"/>
        <v>10</v>
      </c>
      <c r="F49" s="30">
        <f>E30</f>
        <v>10</v>
      </c>
    </row>
    <row r="50" spans="3:6" x14ac:dyDescent="0.25">
      <c r="C50" s="1" t="s">
        <v>174</v>
      </c>
      <c r="D50" s="30">
        <f>D29</f>
        <v>2.1428571428571428</v>
      </c>
      <c r="E50">
        <f t="shared" si="0"/>
        <v>1.8571428571428572</v>
      </c>
      <c r="F50" s="30">
        <f>E29</f>
        <v>4</v>
      </c>
    </row>
    <row r="51" spans="3:6" x14ac:dyDescent="0.25">
      <c r="C51" s="1" t="s">
        <v>175</v>
      </c>
      <c r="D51" s="30">
        <f>D28</f>
        <v>0</v>
      </c>
      <c r="E51">
        <f t="shared" si="0"/>
        <v>4</v>
      </c>
      <c r="F51" s="30">
        <f>E28</f>
        <v>4</v>
      </c>
    </row>
    <row r="52" spans="3:6" x14ac:dyDescent="0.25">
      <c r="C52" s="29" t="s">
        <v>176</v>
      </c>
      <c r="D52" s="30">
        <f>D24</f>
        <v>0.75</v>
      </c>
      <c r="E52">
        <f t="shared" si="0"/>
        <v>2.25</v>
      </c>
      <c r="F52" s="30">
        <f>E24</f>
        <v>3</v>
      </c>
    </row>
    <row r="53" spans="3:6" x14ac:dyDescent="0.25">
      <c r="C53" s="29" t="s">
        <v>177</v>
      </c>
      <c r="D53" s="30">
        <f>D23</f>
        <v>3.2321428571428572</v>
      </c>
      <c r="E53">
        <f t="shared" si="0"/>
        <v>6.7678571428571423</v>
      </c>
      <c r="F53" s="30">
        <f>E23</f>
        <v>10</v>
      </c>
    </row>
    <row r="54" spans="3:6" x14ac:dyDescent="0.25">
      <c r="C54" s="29" t="s">
        <v>178</v>
      </c>
      <c r="D54" s="30">
        <f>D22</f>
        <v>3</v>
      </c>
      <c r="E54">
        <f t="shared" si="0"/>
        <v>0</v>
      </c>
      <c r="F54" s="30">
        <f>E22</f>
        <v>3</v>
      </c>
    </row>
    <row r="55" spans="3:6" x14ac:dyDescent="0.25">
      <c r="C55" t="s">
        <v>179</v>
      </c>
      <c r="D55" s="30">
        <f>D21</f>
        <v>0</v>
      </c>
      <c r="E55">
        <f t="shared" si="0"/>
        <v>7</v>
      </c>
      <c r="F55" s="30">
        <f>E21</f>
        <v>7</v>
      </c>
    </row>
    <row r="56" spans="3:6" x14ac:dyDescent="0.25">
      <c r="C56" s="29" t="s">
        <v>180</v>
      </c>
      <c r="D56" s="30">
        <f>D20</f>
        <v>1.0906921241050118</v>
      </c>
      <c r="E56">
        <f t="shared" si="0"/>
        <v>1.9093078758949882</v>
      </c>
      <c r="F56" s="30">
        <f>E20</f>
        <v>3</v>
      </c>
    </row>
    <row r="57" spans="3:6" x14ac:dyDescent="0.25">
      <c r="C57" s="29" t="s">
        <v>181</v>
      </c>
      <c r="D57" s="30">
        <f>D19</f>
        <v>0</v>
      </c>
      <c r="E57">
        <f t="shared" si="0"/>
        <v>3</v>
      </c>
      <c r="F57" s="30">
        <f>E19</f>
        <v>3</v>
      </c>
    </row>
    <row r="58" spans="3:6" x14ac:dyDescent="0.25">
      <c r="C58" s="29" t="s">
        <v>182</v>
      </c>
      <c r="D58" s="30">
        <f>D18</f>
        <v>2</v>
      </c>
      <c r="E58">
        <f t="shared" si="0"/>
        <v>0</v>
      </c>
      <c r="F58" s="30">
        <f>E18</f>
        <v>2</v>
      </c>
    </row>
    <row r="59" spans="3:6" x14ac:dyDescent="0.25">
      <c r="C59" s="29" t="s">
        <v>183</v>
      </c>
      <c r="D59" s="30">
        <f>D17</f>
        <v>1.7857142857142856</v>
      </c>
      <c r="E59">
        <f t="shared" si="0"/>
        <v>1.2142857142857144</v>
      </c>
      <c r="F59" s="30">
        <f>E17</f>
        <v>3</v>
      </c>
    </row>
    <row r="60" spans="3:6" x14ac:dyDescent="0.25">
      <c r="C60" s="29" t="s">
        <v>184</v>
      </c>
      <c r="D60" s="30">
        <f>D16</f>
        <v>2.9761904761904763</v>
      </c>
      <c r="E60">
        <f t="shared" si="0"/>
        <v>1.0238095238095237</v>
      </c>
      <c r="F60" s="30">
        <f>E16</f>
        <v>4</v>
      </c>
    </row>
    <row r="61" spans="3:6" x14ac:dyDescent="0.25">
      <c r="C61" s="29" t="s">
        <v>185</v>
      </c>
      <c r="D61" s="30">
        <f>D15</f>
        <v>0.51233094669848844</v>
      </c>
      <c r="E61">
        <f t="shared" si="0"/>
        <v>7.4876690533015111</v>
      </c>
      <c r="F61" s="30">
        <f>E15</f>
        <v>8</v>
      </c>
    </row>
    <row r="62" spans="3:6" x14ac:dyDescent="0.25">
      <c r="C62" s="29" t="s">
        <v>186</v>
      </c>
      <c r="D62" s="30">
        <f>D11</f>
        <v>0.6428571428571429</v>
      </c>
      <c r="E62">
        <f t="shared" si="0"/>
        <v>1.3571428571428572</v>
      </c>
      <c r="F62" s="30">
        <f>E11</f>
        <v>2</v>
      </c>
    </row>
    <row r="63" spans="3:6" x14ac:dyDescent="0.25">
      <c r="C63" s="29" t="s">
        <v>187</v>
      </c>
      <c r="D63" s="30">
        <f>D10</f>
        <v>1</v>
      </c>
      <c r="E63" s="30">
        <f>F63-D63</f>
        <v>1</v>
      </c>
      <c r="F63" s="30">
        <f>E10</f>
        <v>2</v>
      </c>
    </row>
    <row r="64" spans="3:6" x14ac:dyDescent="0.25">
      <c r="C64" s="29" t="s">
        <v>188</v>
      </c>
      <c r="D64" s="30">
        <f>D9</f>
        <v>3</v>
      </c>
      <c r="E64">
        <f t="shared" si="0"/>
        <v>0</v>
      </c>
      <c r="F64" s="30">
        <f>E9</f>
        <v>3</v>
      </c>
    </row>
    <row r="65" spans="3:6" x14ac:dyDescent="0.25">
      <c r="C65" s="29" t="s">
        <v>189</v>
      </c>
      <c r="D65" s="30">
        <f>D8</f>
        <v>0.18290258449304142</v>
      </c>
      <c r="E65">
        <f t="shared" si="0"/>
        <v>2.8170974155069586</v>
      </c>
      <c r="F65" s="30">
        <f>E8</f>
        <v>3</v>
      </c>
    </row>
    <row r="66" spans="3:6" x14ac:dyDescent="0.25">
      <c r="C66" s="29" t="s">
        <v>190</v>
      </c>
      <c r="D66" s="30">
        <f>D7</f>
        <v>1.7758620689655173</v>
      </c>
      <c r="E66">
        <f t="shared" si="0"/>
        <v>3.2241379310344827</v>
      </c>
      <c r="F66" s="30">
        <f>E7</f>
        <v>5</v>
      </c>
    </row>
    <row r="67" spans="3:6" x14ac:dyDescent="0.25">
      <c r="C67" s="29" t="s">
        <v>191</v>
      </c>
      <c r="D67" s="30">
        <f>D6</f>
        <v>1.2945719831764011</v>
      </c>
      <c r="E67">
        <f t="shared" si="0"/>
        <v>1.7054280168235989</v>
      </c>
      <c r="F67" s="30">
        <f>E6</f>
        <v>3</v>
      </c>
    </row>
    <row r="68" spans="3:6" x14ac:dyDescent="0.25">
      <c r="C68" t="s">
        <v>192</v>
      </c>
      <c r="D68">
        <f>D5</f>
        <v>0</v>
      </c>
      <c r="E68">
        <f t="shared" si="0"/>
        <v>2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71"/>
  <sheetViews>
    <sheetView workbookViewId="0">
      <selection activeCell="H5" sqref="H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</row>
    <row r="6" spans="3:18" ht="30" x14ac:dyDescent="0.25">
      <c r="C6" s="2" t="s">
        <v>30</v>
      </c>
      <c r="D6" s="1">
        <v>1</v>
      </c>
      <c r="E6" s="1"/>
      <c r="F6" t="s">
        <v>193</v>
      </c>
    </row>
    <row r="7" spans="3:18" x14ac:dyDescent="0.25">
      <c r="C7" s="9"/>
      <c r="D7" s="1" t="s">
        <v>38</v>
      </c>
      <c r="E7" s="1">
        <f>SUM(E5:E6)</f>
        <v>0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1.2945719831764011</v>
      </c>
      <c r="H10" s="1" t="s">
        <v>155</v>
      </c>
      <c r="I10" s="1"/>
      <c r="J10" s="1">
        <v>5.69</v>
      </c>
      <c r="K10" s="1"/>
      <c r="L10" s="1" t="s">
        <v>157</v>
      </c>
      <c r="M10" s="1"/>
      <c r="N10" s="1"/>
      <c r="O10" s="1">
        <v>4.24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156</v>
      </c>
      <c r="I11" s="1"/>
      <c r="J11" s="1">
        <v>7.67</v>
      </c>
      <c r="K11" s="1"/>
      <c r="L11" s="1"/>
      <c r="M11" s="1"/>
      <c r="N11" s="1"/>
      <c r="O11" s="1">
        <v>4.87</v>
      </c>
      <c r="Q11" t="s">
        <v>129</v>
      </c>
      <c r="R11">
        <f>J11+O11</f>
        <v>12.54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1.3479789103690685</v>
      </c>
      <c r="K12" s="1"/>
      <c r="L12" s="1"/>
      <c r="M12" s="1"/>
      <c r="N12" s="1" t="s">
        <v>128</v>
      </c>
      <c r="O12" s="1">
        <f>O11/O10</f>
        <v>1.1485849056603774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0.52021089630931527</v>
      </c>
      <c r="K13" s="1"/>
      <c r="L13" s="1"/>
      <c r="M13" s="1"/>
      <c r="N13" s="1"/>
      <c r="O13" s="1">
        <f>14-10*O12</f>
        <v>2.5141509433962259</v>
      </c>
    </row>
    <row r="14" spans="3:18" x14ac:dyDescent="0.25">
      <c r="C14" s="1"/>
      <c r="D14" s="1"/>
      <c r="E14" s="1" t="s">
        <v>38</v>
      </c>
      <c r="F14" s="11">
        <f>SUM(F10:F13)</f>
        <v>1.2945719831764011</v>
      </c>
      <c r="H14" s="1"/>
      <c r="I14" s="1" t="s">
        <v>130</v>
      </c>
      <c r="J14" s="1">
        <f>J11/R11</f>
        <v>0.61164274322169065</v>
      </c>
      <c r="K14" s="1"/>
      <c r="L14" s="1"/>
      <c r="M14" s="1"/>
      <c r="N14" s="1"/>
      <c r="O14" s="1">
        <f>O11/R11</f>
        <v>0.38835725677830946</v>
      </c>
    </row>
    <row r="15" spans="3:18" x14ac:dyDescent="0.25">
      <c r="H15" s="1"/>
      <c r="I15" s="1"/>
      <c r="J15" s="1">
        <f>J13*J14</f>
        <v>0.31818321967244406</v>
      </c>
      <c r="K15" s="1"/>
      <c r="L15" s="1"/>
      <c r="M15" s="1"/>
      <c r="N15" s="1"/>
      <c r="O15" s="1">
        <f>O13*O14</f>
        <v>0.97638876350395709</v>
      </c>
    </row>
    <row r="16" spans="3:18" x14ac:dyDescent="0.25">
      <c r="L16">
        <f>(J13+O13)/2</f>
        <v>1.5171809198527706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158</v>
      </c>
      <c r="J18" s="1">
        <v>0</v>
      </c>
      <c r="K18" s="1">
        <v>0</v>
      </c>
      <c r="M18" s="1" t="s">
        <v>160</v>
      </c>
      <c r="N18" s="1">
        <v>0</v>
      </c>
      <c r="O18" s="1">
        <f>N18</f>
        <v>0</v>
      </c>
    </row>
    <row r="19" spans="3:15" x14ac:dyDescent="0.25">
      <c r="C19" s="1" t="s">
        <v>39</v>
      </c>
      <c r="D19" s="1">
        <v>5</v>
      </c>
      <c r="E19" s="1">
        <f>COUNTIF(K19:K47,"&gt;600")+COUNTIF(O19:O47,"&gt;600")</f>
        <v>9</v>
      </c>
      <c r="F19" s="6">
        <f>E19/$E$23</f>
        <v>0.15517241379310345</v>
      </c>
      <c r="G19" s="6">
        <f>D19*F19</f>
        <v>0.77586206896551724</v>
      </c>
      <c r="I19" s="1" t="s">
        <v>159</v>
      </c>
      <c r="J19" s="1">
        <v>300</v>
      </c>
      <c r="K19" s="1">
        <f>J19-J18</f>
        <v>300</v>
      </c>
      <c r="M19" s="1"/>
      <c r="N19" s="1">
        <v>332</v>
      </c>
      <c r="O19" s="1">
        <f>N19-N18</f>
        <v>332</v>
      </c>
    </row>
    <row r="20" spans="3:15" x14ac:dyDescent="0.25">
      <c r="C20" s="1" t="s">
        <v>40</v>
      </c>
      <c r="D20" s="1">
        <v>4</v>
      </c>
      <c r="E20" s="1">
        <f>COUNTIF(K19:K47,"&gt;500")+COUNTIF(O19:O47,"&gt;500")-E19</f>
        <v>4</v>
      </c>
      <c r="F20" s="6">
        <f t="shared" ref="F20:F22" si="1">E20/$E$23</f>
        <v>6.8965517241379309E-2</v>
      </c>
      <c r="G20" s="6">
        <f t="shared" ref="G20:G22" si="2">D20*F20</f>
        <v>0.27586206896551724</v>
      </c>
      <c r="I20" s="1"/>
      <c r="J20" s="1">
        <v>650</v>
      </c>
      <c r="K20" s="1">
        <f t="shared" ref="K20:K47" si="3">J20-J19</f>
        <v>350</v>
      </c>
      <c r="M20" s="1"/>
      <c r="N20" s="1">
        <v>778</v>
      </c>
      <c r="O20" s="1">
        <f t="shared" ref="O20:O47" si="4">N20-N19</f>
        <v>446</v>
      </c>
    </row>
    <row r="21" spans="3:15" x14ac:dyDescent="0.25">
      <c r="C21" s="1" t="s">
        <v>41</v>
      </c>
      <c r="D21" s="1">
        <v>3</v>
      </c>
      <c r="E21" s="1">
        <f>COUNTIF(K19:K47,"&gt;400")+COUNTIF(O19:O47,"&gt;400")-E20-E19</f>
        <v>14</v>
      </c>
      <c r="F21" s="6">
        <f t="shared" si="1"/>
        <v>0.2413793103448276</v>
      </c>
      <c r="G21" s="6">
        <f t="shared" si="2"/>
        <v>0.72413793103448276</v>
      </c>
      <c r="I21" s="1"/>
      <c r="J21" s="1">
        <v>1020</v>
      </c>
      <c r="K21" s="1">
        <f t="shared" si="3"/>
        <v>370</v>
      </c>
      <c r="M21" s="1"/>
      <c r="N21" s="1">
        <v>1190</v>
      </c>
      <c r="O21" s="1">
        <f t="shared" si="4"/>
        <v>412</v>
      </c>
    </row>
    <row r="22" spans="3:15" x14ac:dyDescent="0.25">
      <c r="C22" s="1" t="s">
        <v>42</v>
      </c>
      <c r="D22" s="1">
        <v>0</v>
      </c>
      <c r="E22" s="1">
        <f>COUNTIF(K19:K47,"&gt;0")+COUNTIF(O19:O47,"&gt;0")-E20-E19-E21</f>
        <v>31</v>
      </c>
      <c r="F22" s="6">
        <f t="shared" si="1"/>
        <v>0.53448275862068961</v>
      </c>
      <c r="G22" s="6">
        <f t="shared" si="2"/>
        <v>0</v>
      </c>
      <c r="I22" s="1"/>
      <c r="J22" s="1">
        <v>1430</v>
      </c>
      <c r="K22" s="1">
        <f t="shared" si="3"/>
        <v>410</v>
      </c>
      <c r="M22" s="1"/>
      <c r="N22" s="1">
        <v>1550</v>
      </c>
      <c r="O22" s="1">
        <f t="shared" si="4"/>
        <v>360</v>
      </c>
    </row>
    <row r="23" spans="3:15" x14ac:dyDescent="0.25">
      <c r="C23" s="1"/>
      <c r="D23" s="1" t="s">
        <v>45</v>
      </c>
      <c r="E23" s="1">
        <f>SUM(E19:E22)</f>
        <v>58</v>
      </c>
      <c r="F23" s="1"/>
      <c r="G23" s="6">
        <f>SUM(G19:G22)</f>
        <v>1.7758620689655173</v>
      </c>
      <c r="I23" s="1"/>
      <c r="J23" s="1">
        <v>1770</v>
      </c>
      <c r="K23" s="1">
        <f t="shared" si="3"/>
        <v>340</v>
      </c>
      <c r="M23" s="1"/>
      <c r="N23" s="1">
        <v>1940</v>
      </c>
      <c r="O23" s="1">
        <f t="shared" si="4"/>
        <v>390</v>
      </c>
    </row>
    <row r="24" spans="3:15" x14ac:dyDescent="0.25">
      <c r="G24">
        <v>1.6896551724137931</v>
      </c>
      <c r="I24" s="1"/>
      <c r="J24" s="1">
        <v>2010</v>
      </c>
      <c r="K24" s="1">
        <f t="shared" si="3"/>
        <v>240</v>
      </c>
      <c r="M24" s="1"/>
      <c r="N24" s="1">
        <v>2210</v>
      </c>
      <c r="O24" s="1">
        <f t="shared" si="4"/>
        <v>270</v>
      </c>
    </row>
    <row r="25" spans="3:15" x14ac:dyDescent="0.25">
      <c r="I25" s="1"/>
      <c r="J25" s="1">
        <v>2360</v>
      </c>
      <c r="K25" s="1">
        <f t="shared" si="3"/>
        <v>350</v>
      </c>
      <c r="M25" s="1"/>
      <c r="N25" s="1">
        <v>2970</v>
      </c>
      <c r="O25" s="1">
        <f t="shared" si="4"/>
        <v>760</v>
      </c>
    </row>
    <row r="26" spans="3:15" x14ac:dyDescent="0.25">
      <c r="I26" s="1"/>
      <c r="J26" s="1">
        <v>2770</v>
      </c>
      <c r="K26" s="1">
        <f t="shared" si="3"/>
        <v>410</v>
      </c>
      <c r="M26" s="1"/>
      <c r="N26" s="1">
        <v>3450</v>
      </c>
      <c r="O26" s="1">
        <f t="shared" si="4"/>
        <v>480</v>
      </c>
    </row>
    <row r="27" spans="3:15" x14ac:dyDescent="0.25">
      <c r="I27" s="1"/>
      <c r="J27" s="1">
        <v>3910</v>
      </c>
      <c r="K27" s="1">
        <f t="shared" si="3"/>
        <v>1140</v>
      </c>
      <c r="M27" s="1"/>
      <c r="N27" s="1">
        <v>3660</v>
      </c>
      <c r="O27" s="1">
        <f t="shared" si="4"/>
        <v>210</v>
      </c>
    </row>
    <row r="28" spans="3:15" x14ac:dyDescent="0.25">
      <c r="I28" s="1"/>
      <c r="J28" s="1">
        <v>4220</v>
      </c>
      <c r="K28" s="1">
        <f t="shared" si="3"/>
        <v>310</v>
      </c>
      <c r="M28" s="1"/>
      <c r="N28" s="1">
        <v>3920</v>
      </c>
      <c r="O28" s="1">
        <f t="shared" si="4"/>
        <v>260</v>
      </c>
    </row>
    <row r="29" spans="3:15" x14ac:dyDescent="0.25">
      <c r="I29" s="1"/>
      <c r="J29" s="1">
        <v>4480</v>
      </c>
      <c r="K29" s="1">
        <f t="shared" si="3"/>
        <v>260</v>
      </c>
      <c r="M29" s="1"/>
      <c r="N29" s="1">
        <v>4460</v>
      </c>
      <c r="O29" s="1">
        <f t="shared" si="4"/>
        <v>540</v>
      </c>
    </row>
    <row r="30" spans="3:15" x14ac:dyDescent="0.25">
      <c r="I30" s="1"/>
      <c r="J30" s="1">
        <v>4950</v>
      </c>
      <c r="K30" s="1">
        <f t="shared" si="3"/>
        <v>470</v>
      </c>
      <c r="M30" s="1"/>
      <c r="N30" s="1">
        <v>4870</v>
      </c>
      <c r="O30" s="1">
        <f t="shared" si="4"/>
        <v>410</v>
      </c>
    </row>
    <row r="31" spans="3:15" x14ac:dyDescent="0.25">
      <c r="I31" s="1"/>
      <c r="J31" s="1">
        <v>5440</v>
      </c>
      <c r="K31" s="1">
        <f t="shared" si="3"/>
        <v>490</v>
      </c>
      <c r="M31" s="1"/>
      <c r="N31" s="1">
        <v>5490</v>
      </c>
      <c r="O31" s="1">
        <f t="shared" si="4"/>
        <v>620</v>
      </c>
    </row>
    <row r="32" spans="3:15" x14ac:dyDescent="0.25">
      <c r="I32" s="1"/>
      <c r="J32" s="1">
        <v>6190</v>
      </c>
      <c r="K32" s="1">
        <f t="shared" si="3"/>
        <v>750</v>
      </c>
      <c r="M32" s="1"/>
      <c r="N32" s="1">
        <v>5800</v>
      </c>
      <c r="O32" s="1">
        <f t="shared" si="4"/>
        <v>310</v>
      </c>
    </row>
    <row r="33" spans="9:15" x14ac:dyDescent="0.25">
      <c r="I33" s="1"/>
      <c r="J33" s="1">
        <v>6770</v>
      </c>
      <c r="K33" s="1">
        <f t="shared" si="3"/>
        <v>580</v>
      </c>
      <c r="M33" s="1"/>
      <c r="N33" s="1">
        <v>6330</v>
      </c>
      <c r="O33" s="1">
        <f t="shared" si="4"/>
        <v>530</v>
      </c>
    </row>
    <row r="34" spans="9:15" x14ac:dyDescent="0.25">
      <c r="I34" s="1"/>
      <c r="J34" s="1">
        <v>6970</v>
      </c>
      <c r="K34" s="1">
        <f t="shared" si="3"/>
        <v>200</v>
      </c>
      <c r="M34" s="1"/>
      <c r="N34" s="1">
        <v>7070</v>
      </c>
      <c r="O34" s="1">
        <f t="shared" si="4"/>
        <v>740</v>
      </c>
    </row>
    <row r="35" spans="9:15" x14ac:dyDescent="0.25">
      <c r="I35" s="1"/>
      <c r="J35" s="1">
        <v>7620</v>
      </c>
      <c r="K35" s="1">
        <f t="shared" si="3"/>
        <v>650</v>
      </c>
      <c r="M35" s="1"/>
      <c r="N35" s="1">
        <v>7690</v>
      </c>
      <c r="O35" s="1">
        <f t="shared" si="4"/>
        <v>620</v>
      </c>
    </row>
    <row r="36" spans="9:15" x14ac:dyDescent="0.25">
      <c r="I36" s="1"/>
      <c r="J36" s="1">
        <v>8190</v>
      </c>
      <c r="K36" s="1">
        <f t="shared" si="3"/>
        <v>570</v>
      </c>
      <c r="M36" s="1"/>
      <c r="N36" s="1">
        <v>8040</v>
      </c>
      <c r="O36" s="1">
        <f t="shared" si="4"/>
        <v>350</v>
      </c>
    </row>
    <row r="37" spans="9:15" x14ac:dyDescent="0.25">
      <c r="I37" s="1"/>
      <c r="J37" s="1">
        <v>8580</v>
      </c>
      <c r="K37" s="1">
        <f t="shared" si="3"/>
        <v>390</v>
      </c>
      <c r="M37" s="1"/>
      <c r="N37" s="1">
        <v>8300</v>
      </c>
      <c r="O37" s="1">
        <f t="shared" si="4"/>
        <v>260</v>
      </c>
    </row>
    <row r="38" spans="9:15" x14ac:dyDescent="0.25">
      <c r="I38" s="1"/>
      <c r="J38" s="1">
        <v>8830</v>
      </c>
      <c r="K38" s="1">
        <f t="shared" si="3"/>
        <v>250</v>
      </c>
      <c r="M38" s="1"/>
      <c r="N38" s="1">
        <v>8560</v>
      </c>
      <c r="O38" s="1">
        <f t="shared" si="4"/>
        <v>260</v>
      </c>
    </row>
    <row r="39" spans="9:15" x14ac:dyDescent="0.25">
      <c r="I39" s="1"/>
      <c r="J39" s="1">
        <v>9030</v>
      </c>
      <c r="K39" s="1">
        <f t="shared" si="3"/>
        <v>200</v>
      </c>
      <c r="M39" s="1"/>
      <c r="N39" s="1">
        <v>9810</v>
      </c>
      <c r="O39" s="1">
        <f t="shared" si="4"/>
        <v>1250</v>
      </c>
    </row>
    <row r="40" spans="9:15" x14ac:dyDescent="0.25">
      <c r="I40" s="1"/>
      <c r="J40" s="1">
        <v>9520</v>
      </c>
      <c r="K40" s="1">
        <f t="shared" si="3"/>
        <v>490</v>
      </c>
      <c r="M40" s="1"/>
      <c r="N40" s="1">
        <v>10020</v>
      </c>
      <c r="O40" s="1">
        <f t="shared" si="4"/>
        <v>210</v>
      </c>
    </row>
    <row r="41" spans="9:15" x14ac:dyDescent="0.25">
      <c r="I41" s="1"/>
      <c r="J41" s="1">
        <v>10300</v>
      </c>
      <c r="K41" s="1">
        <f t="shared" si="3"/>
        <v>780</v>
      </c>
      <c r="M41" s="1"/>
      <c r="N41" s="1">
        <v>10480</v>
      </c>
      <c r="O41" s="1">
        <f t="shared" si="4"/>
        <v>460</v>
      </c>
    </row>
    <row r="42" spans="9:15" x14ac:dyDescent="0.25">
      <c r="I42" s="1"/>
      <c r="J42" s="1">
        <v>10650</v>
      </c>
      <c r="K42" s="1">
        <f t="shared" si="3"/>
        <v>350</v>
      </c>
      <c r="M42" s="1"/>
      <c r="N42" s="1">
        <v>10730</v>
      </c>
      <c r="O42" s="1">
        <f t="shared" si="4"/>
        <v>250</v>
      </c>
    </row>
    <row r="43" spans="9:15" x14ac:dyDescent="0.25">
      <c r="I43" s="1"/>
      <c r="J43" s="1">
        <v>10940</v>
      </c>
      <c r="K43" s="1">
        <f t="shared" si="3"/>
        <v>290</v>
      </c>
      <c r="M43" s="1"/>
      <c r="N43" s="1">
        <v>11050</v>
      </c>
      <c r="O43" s="1">
        <f t="shared" si="4"/>
        <v>320</v>
      </c>
    </row>
    <row r="44" spans="9:15" x14ac:dyDescent="0.25">
      <c r="I44" s="1"/>
      <c r="J44" s="1">
        <v>11320</v>
      </c>
      <c r="K44" s="1">
        <f t="shared" si="3"/>
        <v>380</v>
      </c>
      <c r="M44" s="1"/>
      <c r="N44" s="1">
        <v>11450</v>
      </c>
      <c r="O44" s="1">
        <f t="shared" si="4"/>
        <v>400</v>
      </c>
    </row>
    <row r="45" spans="9:15" x14ac:dyDescent="0.25">
      <c r="I45" s="1"/>
      <c r="J45" s="1">
        <v>11810</v>
      </c>
      <c r="K45" s="1">
        <f t="shared" si="3"/>
        <v>490</v>
      </c>
      <c r="M45" s="1"/>
      <c r="N45" s="1">
        <v>11730</v>
      </c>
      <c r="O45" s="1">
        <f t="shared" si="4"/>
        <v>280</v>
      </c>
    </row>
    <row r="46" spans="9:15" x14ac:dyDescent="0.25">
      <c r="I46" s="1"/>
      <c r="J46" s="1">
        <v>12160</v>
      </c>
      <c r="K46" s="1">
        <f t="shared" si="3"/>
        <v>350</v>
      </c>
      <c r="M46" s="1"/>
      <c r="N46" s="1">
        <v>12150</v>
      </c>
      <c r="O46" s="1">
        <f t="shared" si="4"/>
        <v>420</v>
      </c>
    </row>
    <row r="47" spans="9:15" x14ac:dyDescent="0.25">
      <c r="I47" s="1"/>
      <c r="J47" s="1">
        <v>12570</v>
      </c>
      <c r="K47" s="1">
        <f t="shared" si="3"/>
        <v>410</v>
      </c>
      <c r="M47" s="1"/>
      <c r="N47" s="1">
        <v>12580</v>
      </c>
      <c r="O47" s="1">
        <f t="shared" si="4"/>
        <v>430</v>
      </c>
    </row>
    <row r="50" spans="3:11" x14ac:dyDescent="0.25">
      <c r="C50" s="4" t="s">
        <v>4</v>
      </c>
      <c r="D50" s="1" t="s">
        <v>51</v>
      </c>
      <c r="E50" s="1" t="s">
        <v>44</v>
      </c>
      <c r="F50" s="1" t="s">
        <v>56</v>
      </c>
      <c r="G50" s="1" t="s">
        <v>31</v>
      </c>
      <c r="I50" t="s">
        <v>133</v>
      </c>
      <c r="J50" t="s">
        <v>131</v>
      </c>
      <c r="K50" t="s">
        <v>132</v>
      </c>
    </row>
    <row r="51" spans="3:11" x14ac:dyDescent="0.25">
      <c r="C51" s="1" t="s">
        <v>46</v>
      </c>
      <c r="D51" s="1">
        <v>3</v>
      </c>
      <c r="E51" s="1">
        <v>24</v>
      </c>
      <c r="F51" s="1">
        <f>E51/((J47+N47)/1000)</f>
        <v>0.95427435387673964</v>
      </c>
      <c r="G51" s="1">
        <f>-4*F51+4</f>
        <v>0.18290258449304142</v>
      </c>
      <c r="I51">
        <v>30</v>
      </c>
      <c r="J51">
        <v>8</v>
      </c>
      <c r="K51">
        <f>((I51/2)^2+J51^2)/(2*J51)</f>
        <v>18.0625</v>
      </c>
    </row>
    <row r="52" spans="3:11" x14ac:dyDescent="0.25">
      <c r="C52" s="1" t="s">
        <v>47</v>
      </c>
      <c r="D52" s="1">
        <v>2</v>
      </c>
      <c r="F52" s="1"/>
      <c r="G52" s="1"/>
    </row>
    <row r="53" spans="3:11" x14ac:dyDescent="0.25">
      <c r="C53" s="1" t="s">
        <v>48</v>
      </c>
      <c r="D53" s="1">
        <v>1</v>
      </c>
      <c r="E53" s="1"/>
      <c r="F53" s="1"/>
      <c r="G53" s="1"/>
    </row>
    <row r="54" spans="3:11" x14ac:dyDescent="0.25">
      <c r="C54" s="1" t="s">
        <v>49</v>
      </c>
      <c r="D54" s="1">
        <v>0</v>
      </c>
      <c r="E54" s="1"/>
      <c r="F54" s="1"/>
      <c r="G54" s="1"/>
    </row>
    <row r="55" spans="3:11" x14ac:dyDescent="0.25">
      <c r="F55" s="1" t="s">
        <v>52</v>
      </c>
      <c r="G55" s="1">
        <f>SUM(G51:G54)</f>
        <v>0.18290258449304142</v>
      </c>
      <c r="J55" s="5"/>
    </row>
    <row r="57" spans="3:11" x14ac:dyDescent="0.25">
      <c r="C57" s="8" t="s">
        <v>5</v>
      </c>
      <c r="D57" s="1" t="s">
        <v>51</v>
      </c>
      <c r="E57" s="1" t="s">
        <v>44</v>
      </c>
      <c r="F57" s="1" t="s">
        <v>32</v>
      </c>
      <c r="G57" s="1" t="s">
        <v>31</v>
      </c>
    </row>
    <row r="58" spans="3:11" ht="30" x14ac:dyDescent="0.25">
      <c r="C58" s="2" t="s">
        <v>153</v>
      </c>
      <c r="D58" s="1">
        <v>3</v>
      </c>
      <c r="E58" s="1">
        <v>0</v>
      </c>
      <c r="F58" s="1">
        <v>1</v>
      </c>
      <c r="G58" s="1">
        <f>D58*F58</f>
        <v>3</v>
      </c>
    </row>
    <row r="59" spans="3:11" ht="30" x14ac:dyDescent="0.25">
      <c r="C59" s="2" t="s">
        <v>50</v>
      </c>
      <c r="D59" s="1">
        <v>0</v>
      </c>
      <c r="E59" s="1">
        <v>1</v>
      </c>
      <c r="F59" s="1">
        <v>1</v>
      </c>
      <c r="G59" s="1">
        <f>D59*F59</f>
        <v>0</v>
      </c>
    </row>
    <row r="60" spans="3:11" x14ac:dyDescent="0.25">
      <c r="F60" s="1" t="s">
        <v>45</v>
      </c>
      <c r="G60" s="1">
        <f>SUM(G58:G59)</f>
        <v>3</v>
      </c>
    </row>
    <row r="62" spans="3:11" x14ac:dyDescent="0.25">
      <c r="C62" s="8" t="s">
        <v>6</v>
      </c>
      <c r="D62" s="1" t="s">
        <v>51</v>
      </c>
      <c r="E62" s="1" t="s">
        <v>44</v>
      </c>
      <c r="F62" s="1" t="s">
        <v>57</v>
      </c>
      <c r="G62" s="1" t="s">
        <v>31</v>
      </c>
    </row>
    <row r="63" spans="3:11" x14ac:dyDescent="0.25">
      <c r="C63" s="1" t="s">
        <v>53</v>
      </c>
      <c r="D63" s="1">
        <v>2</v>
      </c>
      <c r="E63" s="1"/>
      <c r="F63" s="1"/>
      <c r="G63" s="1">
        <v>0</v>
      </c>
    </row>
    <row r="64" spans="3:11" x14ac:dyDescent="0.25">
      <c r="C64" s="1" t="s">
        <v>54</v>
      </c>
      <c r="D64" s="1">
        <v>1</v>
      </c>
      <c r="E64" s="1"/>
      <c r="F64" s="1"/>
      <c r="G64" s="1">
        <v>1</v>
      </c>
    </row>
    <row r="65" spans="3:7" x14ac:dyDescent="0.25">
      <c r="C65" s="1" t="s">
        <v>55</v>
      </c>
      <c r="D65" s="1">
        <v>0</v>
      </c>
      <c r="E65" s="1"/>
      <c r="F65" s="1"/>
      <c r="G65" s="1">
        <v>0</v>
      </c>
    </row>
    <row r="66" spans="3:7" x14ac:dyDescent="0.25">
      <c r="F66" s="1" t="s">
        <v>52</v>
      </c>
      <c r="G66" s="1">
        <f>SUM(G63:G65)</f>
        <v>1</v>
      </c>
    </row>
    <row r="68" spans="3:7" x14ac:dyDescent="0.25">
      <c r="C68" s="1" t="s">
        <v>58</v>
      </c>
      <c r="D68" s="1" t="s">
        <v>51</v>
      </c>
      <c r="E68" s="1" t="s">
        <v>44</v>
      </c>
      <c r="F68" s="1" t="s">
        <v>57</v>
      </c>
      <c r="G68" s="1" t="s">
        <v>31</v>
      </c>
    </row>
    <row r="69" spans="3:7" x14ac:dyDescent="0.25">
      <c r="C69" s="1" t="s">
        <v>59</v>
      </c>
      <c r="D69" s="1">
        <v>1</v>
      </c>
      <c r="E69" s="1">
        <v>0</v>
      </c>
      <c r="F69" s="1"/>
      <c r="G69" s="1">
        <f>D69*F69</f>
        <v>0</v>
      </c>
    </row>
    <row r="70" spans="3:7" x14ac:dyDescent="0.25">
      <c r="C70" s="8" t="s">
        <v>60</v>
      </c>
      <c r="D70" s="1">
        <v>1</v>
      </c>
      <c r="E70" s="1">
        <v>36</v>
      </c>
      <c r="F70" s="1">
        <f>E70/56</f>
        <v>0.6428571428571429</v>
      </c>
      <c r="G70" s="1">
        <f>D70*F70</f>
        <v>0.6428571428571429</v>
      </c>
    </row>
    <row r="71" spans="3:7" x14ac:dyDescent="0.25">
      <c r="F71" s="7" t="s">
        <v>52</v>
      </c>
      <c r="G71" s="7">
        <f>SUM(G69:G70)</f>
        <v>0.6428571428571429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opLeftCell="D1" zoomScale="120" zoomScaleNormal="120" workbookViewId="0">
      <selection activeCell="T12" sqref="T5:T12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20" x14ac:dyDescent="0.25">
      <c r="I3" t="s">
        <v>161</v>
      </c>
      <c r="O3" t="s">
        <v>163</v>
      </c>
    </row>
    <row r="4" spans="3:20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154</v>
      </c>
      <c r="J4" t="s">
        <v>151</v>
      </c>
      <c r="K4" t="s">
        <v>134</v>
      </c>
      <c r="L4" t="s">
        <v>135</v>
      </c>
      <c r="M4" t="s">
        <v>139</v>
      </c>
      <c r="O4" t="s">
        <v>154</v>
      </c>
      <c r="P4" t="s">
        <v>151</v>
      </c>
      <c r="Q4" t="s">
        <v>134</v>
      </c>
      <c r="R4" t="s">
        <v>135</v>
      </c>
      <c r="S4" t="s">
        <v>139</v>
      </c>
    </row>
    <row r="5" spans="3:20" ht="45" x14ac:dyDescent="0.25">
      <c r="C5" s="2" t="s">
        <v>73</v>
      </c>
      <c r="D5" s="1">
        <v>8</v>
      </c>
      <c r="E5" s="1">
        <f>SUMIF(K5:K35,"*Fysisk*",M5:M35)+SUMIF(Q5:Q33,"*Fysisk*",S5:S33)</f>
        <v>1540</v>
      </c>
      <c r="F5" s="6">
        <f>E5/SUM(E5:E8)</f>
        <v>6.1256961018297536E-2</v>
      </c>
      <c r="G5" s="1">
        <f>F5*D5</f>
        <v>0.49005568814638029</v>
      </c>
      <c r="K5" t="s">
        <v>76</v>
      </c>
      <c r="L5">
        <v>6800</v>
      </c>
      <c r="M5">
        <f>L5</f>
        <v>6800</v>
      </c>
      <c r="Q5" t="s">
        <v>76</v>
      </c>
      <c r="R5">
        <v>3120</v>
      </c>
      <c r="S5">
        <f>R5</f>
        <v>3120</v>
      </c>
      <c r="T5">
        <f t="shared" ref="T5:T11" si="0">T6+S5</f>
        <v>12570</v>
      </c>
    </row>
    <row r="6" spans="3:20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>
        <f>E6/SUM(E5:E8)</f>
        <v>0</v>
      </c>
      <c r="G6" s="1">
        <f t="shared" ref="G6:G8" si="1">F6*D6</f>
        <v>0</v>
      </c>
      <c r="I6" t="s">
        <v>162</v>
      </c>
      <c r="J6" s="9" t="s">
        <v>162</v>
      </c>
      <c r="K6" t="s">
        <v>138</v>
      </c>
      <c r="L6">
        <v>7090</v>
      </c>
      <c r="M6">
        <f>L6-L5</f>
        <v>290</v>
      </c>
      <c r="P6" t="s">
        <v>162</v>
      </c>
      <c r="Q6" t="s">
        <v>138</v>
      </c>
      <c r="R6">
        <v>3160</v>
      </c>
      <c r="S6">
        <f>R6-R5</f>
        <v>40</v>
      </c>
      <c r="T6">
        <f t="shared" si="0"/>
        <v>9450</v>
      </c>
    </row>
    <row r="7" spans="3:20" x14ac:dyDescent="0.25">
      <c r="C7" s="2" t="s">
        <v>75</v>
      </c>
      <c r="D7" s="1">
        <v>4</v>
      </c>
      <c r="E7" s="1">
        <f>SUMIF(K5:K35,"*linje*",M5:M35)+SUMIF(Q5:Q33,"*linje*",S5:S33)</f>
        <v>140</v>
      </c>
      <c r="F7" s="6">
        <f>E7/SUM(E5:E8)</f>
        <v>5.5688146380270488E-3</v>
      </c>
      <c r="G7" s="1">
        <f t="shared" si="1"/>
        <v>2.2275258552108195E-2</v>
      </c>
      <c r="J7" s="9"/>
      <c r="K7" t="s">
        <v>76</v>
      </c>
      <c r="L7">
        <v>7570</v>
      </c>
      <c r="M7">
        <f t="shared" ref="M7:M13" si="2">L7-L6</f>
        <v>480</v>
      </c>
      <c r="Q7" t="s">
        <v>76</v>
      </c>
      <c r="R7">
        <v>3390</v>
      </c>
      <c r="S7">
        <f t="shared" ref="S7:S13" si="3">R7-R6</f>
        <v>230</v>
      </c>
      <c r="T7">
        <f t="shared" si="0"/>
        <v>9410</v>
      </c>
    </row>
    <row r="8" spans="3:20" x14ac:dyDescent="0.25">
      <c r="C8" s="1" t="s">
        <v>76</v>
      </c>
      <c r="D8" s="1">
        <v>0</v>
      </c>
      <c r="E8" s="1">
        <f>SUMIF(K5:K35,"*Blandtrafik*",M5:M35)+SUMIF(Q5:Q33,"*Blandtrafik*",S5:S33)</f>
        <v>23460</v>
      </c>
      <c r="F8" s="6">
        <f>E8/SUM(E5:E8)</f>
        <v>0.93317422434367536</v>
      </c>
      <c r="G8" s="1">
        <f t="shared" si="1"/>
        <v>0</v>
      </c>
      <c r="K8" t="s">
        <v>137</v>
      </c>
      <c r="L8">
        <v>7710</v>
      </c>
      <c r="M8">
        <f t="shared" si="2"/>
        <v>140</v>
      </c>
      <c r="Q8" t="s">
        <v>138</v>
      </c>
      <c r="R8">
        <v>3680</v>
      </c>
      <c r="S8">
        <f t="shared" si="3"/>
        <v>290</v>
      </c>
      <c r="T8">
        <f t="shared" si="0"/>
        <v>9180</v>
      </c>
    </row>
    <row r="9" spans="3:20" x14ac:dyDescent="0.25">
      <c r="D9" s="1" t="s">
        <v>143</v>
      </c>
      <c r="E9" s="1">
        <f>SUM(E5:E8)</f>
        <v>25140</v>
      </c>
      <c r="F9" s="7" t="s">
        <v>38</v>
      </c>
      <c r="G9" s="10">
        <f>SUM(G5:G8)</f>
        <v>0.51233094669848844</v>
      </c>
      <c r="K9" t="s">
        <v>76</v>
      </c>
      <c r="L9">
        <v>8820</v>
      </c>
      <c r="M9">
        <f t="shared" si="2"/>
        <v>1110</v>
      </c>
      <c r="Q9" t="s">
        <v>76</v>
      </c>
      <c r="R9">
        <v>4790</v>
      </c>
      <c r="S9">
        <f t="shared" si="3"/>
        <v>1110</v>
      </c>
      <c r="T9">
        <f t="shared" si="0"/>
        <v>8890</v>
      </c>
    </row>
    <row r="10" spans="3:20" x14ac:dyDescent="0.25">
      <c r="J10" t="s">
        <v>162</v>
      </c>
      <c r="K10" t="s">
        <v>138</v>
      </c>
      <c r="L10">
        <v>9090</v>
      </c>
      <c r="M10">
        <f t="shared" si="2"/>
        <v>270</v>
      </c>
      <c r="P10" t="s">
        <v>162</v>
      </c>
      <c r="Q10" t="s">
        <v>138</v>
      </c>
      <c r="R10">
        <v>5000</v>
      </c>
      <c r="S10">
        <f t="shared" si="3"/>
        <v>210</v>
      </c>
      <c r="T10">
        <f t="shared" si="0"/>
        <v>7780</v>
      </c>
    </row>
    <row r="11" spans="3:20" x14ac:dyDescent="0.25">
      <c r="E11">
        <f>K35+P33</f>
        <v>0</v>
      </c>
      <c r="K11" t="s">
        <v>76</v>
      </c>
      <c r="L11">
        <v>9330</v>
      </c>
      <c r="M11">
        <f t="shared" si="2"/>
        <v>240</v>
      </c>
      <c r="Q11" t="s">
        <v>76</v>
      </c>
      <c r="R11">
        <v>5320</v>
      </c>
      <c r="S11">
        <f t="shared" si="3"/>
        <v>320</v>
      </c>
      <c r="T11">
        <f t="shared" si="0"/>
        <v>7570</v>
      </c>
    </row>
    <row r="12" spans="3:20" x14ac:dyDescent="0.25">
      <c r="E12">
        <f>SUM(E5:E8)</f>
        <v>25140</v>
      </c>
      <c r="J12" t="s">
        <v>162</v>
      </c>
      <c r="K12" t="s">
        <v>138</v>
      </c>
      <c r="L12">
        <v>9380</v>
      </c>
      <c r="M12">
        <f t="shared" si="2"/>
        <v>50</v>
      </c>
      <c r="O12" t="s">
        <v>162</v>
      </c>
      <c r="P12" t="s">
        <v>162</v>
      </c>
      <c r="Q12" t="s">
        <v>138</v>
      </c>
      <c r="R12">
        <v>5710</v>
      </c>
      <c r="S12">
        <f t="shared" si="3"/>
        <v>390</v>
      </c>
      <c r="T12">
        <f>T13+S12</f>
        <v>7250</v>
      </c>
    </row>
    <row r="13" spans="3:20" x14ac:dyDescent="0.25">
      <c r="K13" t="s">
        <v>76</v>
      </c>
      <c r="L13">
        <v>12570</v>
      </c>
      <c r="M13">
        <f t="shared" si="2"/>
        <v>3190</v>
      </c>
      <c r="Q13" t="s">
        <v>76</v>
      </c>
      <c r="R13">
        <v>12570</v>
      </c>
      <c r="S13">
        <f t="shared" si="3"/>
        <v>6860</v>
      </c>
      <c r="T13">
        <f>S13</f>
        <v>6860</v>
      </c>
    </row>
    <row r="14" spans="3:20" x14ac:dyDescent="0.25">
      <c r="E14" t="s">
        <v>76</v>
      </c>
    </row>
    <row r="15" spans="3:20" x14ac:dyDescent="0.25">
      <c r="E15" s="9" t="s">
        <v>136</v>
      </c>
    </row>
    <row r="16" spans="3:20" x14ac:dyDescent="0.25">
      <c r="E16" t="s">
        <v>137</v>
      </c>
    </row>
    <row r="17" spans="5:5" x14ac:dyDescent="0.25">
      <c r="E17" t="s">
        <v>138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f>SUM(S12,S10,S6,M6,M10,M12)</f>
        <v>1250</v>
      </c>
      <c r="F42" s="6">
        <f>E42/(E42+E43)</f>
        <v>0.74404761904761907</v>
      </c>
      <c r="G42" s="1">
        <f>F42*D42</f>
        <v>2.9761904761904763</v>
      </c>
    </row>
    <row r="43" spans="3:20" ht="30" x14ac:dyDescent="0.25">
      <c r="C43" s="2" t="s">
        <v>78</v>
      </c>
      <c r="D43" s="1">
        <v>0</v>
      </c>
      <c r="E43" s="1">
        <f>SUM(E5:E7)-E42</f>
        <v>430</v>
      </c>
      <c r="F43" s="6">
        <f>E43/(E42+E43)</f>
        <v>0.25595238095238093</v>
      </c>
      <c r="G43" s="1">
        <f>F43*D43</f>
        <v>0</v>
      </c>
    </row>
    <row r="44" spans="3:20" x14ac:dyDescent="0.25">
      <c r="F44" s="1" t="s">
        <v>38</v>
      </c>
      <c r="G44" s="1">
        <f>SUM(G42:G43)</f>
        <v>2.9761904761904763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>
        <f>SUM(E5:E7)-E50</f>
        <v>1000</v>
      </c>
      <c r="F49" s="1">
        <f>E49/SUM(E49:E50)</f>
        <v>0.59523809523809523</v>
      </c>
      <c r="G49" s="1">
        <f>F49*D49</f>
        <v>1.7857142857142856</v>
      </c>
    </row>
    <row r="50" spans="3:7" x14ac:dyDescent="0.25">
      <c r="C50" s="1" t="s">
        <v>82</v>
      </c>
      <c r="D50" s="1">
        <v>0</v>
      </c>
      <c r="E50" s="1">
        <f>SUM(M6,S12)</f>
        <v>680</v>
      </c>
      <c r="F50" s="1">
        <v>0</v>
      </c>
      <c r="G50" s="1"/>
    </row>
    <row r="51" spans="3:7" x14ac:dyDescent="0.25">
      <c r="F51" s="7" t="s">
        <v>38</v>
      </c>
      <c r="G51" s="7">
        <f>SUM(G49:G50)</f>
        <v>1.7857142857142856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/>
      <c r="F55" s="1">
        <f>E55/(SUM(E5:E7)/1000)</f>
        <v>0</v>
      </c>
      <c r="G55" s="1">
        <f>2-4*F55</f>
        <v>2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f>SUM(G55:G57)</f>
        <v>2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>
        <v>55</v>
      </c>
      <c r="F62" s="6">
        <f>E62/(E9/1000)</f>
        <v>2.1877486077963404</v>
      </c>
      <c r="G62" s="1">
        <f>3-(3*F62)</f>
        <v>-3.5632458233890212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8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8" x14ac:dyDescent="0.25">
      <c r="F66" s="7" t="s">
        <v>38</v>
      </c>
      <c r="G66" s="10">
        <v>0</v>
      </c>
    </row>
    <row r="68" spans="3:8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8" x14ac:dyDescent="0.25">
      <c r="C69" s="1" t="s">
        <v>84</v>
      </c>
      <c r="D69" s="1">
        <v>3</v>
      </c>
      <c r="E69" s="1">
        <v>8</v>
      </c>
      <c r="F69" s="6">
        <f>E69/(E9/1000)</f>
        <v>0.31821797931583135</v>
      </c>
      <c r="G69" s="1">
        <f>3-(6*F69)</f>
        <v>1.0906921241050118</v>
      </c>
      <c r="H69">
        <v>8</v>
      </c>
    </row>
    <row r="70" spans="3:8" x14ac:dyDescent="0.25">
      <c r="C70" s="1" t="s">
        <v>91</v>
      </c>
      <c r="D70" s="1">
        <v>2</v>
      </c>
      <c r="E70" s="1"/>
      <c r="F70" s="6"/>
      <c r="G70" s="1"/>
    </row>
    <row r="71" spans="3:8" x14ac:dyDescent="0.25">
      <c r="C71" s="1" t="s">
        <v>92</v>
      </c>
      <c r="D71" s="1">
        <v>1</v>
      </c>
      <c r="E71" s="1"/>
      <c r="F71" s="6"/>
      <c r="G71" s="1"/>
    </row>
    <row r="72" spans="3:8" x14ac:dyDescent="0.25">
      <c r="C72" s="1" t="s">
        <v>93</v>
      </c>
      <c r="D72" s="1">
        <v>0</v>
      </c>
      <c r="E72" s="1"/>
      <c r="F72" s="6"/>
      <c r="G72" s="1"/>
    </row>
    <row r="73" spans="3:8" x14ac:dyDescent="0.25">
      <c r="F73" s="7" t="s">
        <v>38</v>
      </c>
      <c r="G73" s="10">
        <f>SUM(G69:G72)</f>
        <v>1.0906921241050118</v>
      </c>
    </row>
    <row r="76" spans="3:8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8" x14ac:dyDescent="0.25">
      <c r="C77" s="1" t="s">
        <v>95</v>
      </c>
      <c r="D77" s="1">
        <v>7</v>
      </c>
      <c r="E77" s="1">
        <v>0</v>
      </c>
      <c r="F77" s="1"/>
      <c r="G77" s="1"/>
    </row>
    <row r="78" spans="3:8" ht="30" x14ac:dyDescent="0.25">
      <c r="C78" s="2" t="s">
        <v>96</v>
      </c>
      <c r="D78" s="1">
        <v>0</v>
      </c>
      <c r="E78" s="1"/>
      <c r="F78" s="1"/>
      <c r="G78" s="1"/>
    </row>
    <row r="79" spans="3:8" x14ac:dyDescent="0.25">
      <c r="F79" s="1" t="s">
        <v>38</v>
      </c>
      <c r="G79" s="1">
        <f>SUM(G77:G78)</f>
        <v>0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>
        <v>0</v>
      </c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2</v>
      </c>
      <c r="F98" s="6">
        <f>E98/SUM(E97:E100)</f>
        <v>3.5714285714285712E-2</v>
      </c>
      <c r="G98" s="1">
        <f>D98*F98</f>
        <v>0.2857142857142857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33</v>
      </c>
      <c r="F99" s="6">
        <f>E99/SUM(E97:E100)</f>
        <v>0.5892857142857143</v>
      </c>
      <c r="G99" s="1">
        <f>D99*F99</f>
        <v>2.9464285714285716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21</v>
      </c>
      <c r="F100" s="6">
        <f>E100/SUM(E97:E100)</f>
        <v>0.375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3.2321428571428572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1</v>
      </c>
      <c r="F105" s="6">
        <f>E105/SUM(E105:E108)</f>
        <v>1.7857142857142856E-2</v>
      </c>
      <c r="G105" s="1">
        <f>D105*F105</f>
        <v>5.3571428571428568E-2</v>
      </c>
    </row>
    <row r="106" spans="3:8" ht="45" x14ac:dyDescent="0.25">
      <c r="C106" s="2" t="s">
        <v>109</v>
      </c>
      <c r="D106" s="1">
        <v>2</v>
      </c>
      <c r="E106" s="6">
        <v>4</v>
      </c>
      <c r="F106" s="6">
        <f>E106/SUM(E105:E108)</f>
        <v>7.1428571428571425E-2</v>
      </c>
      <c r="G106" s="1">
        <f t="shared" ref="G106:G108" si="4">D106*F106</f>
        <v>0.14285714285714285</v>
      </c>
    </row>
    <row r="107" spans="3:8" ht="45" x14ac:dyDescent="0.25">
      <c r="C107" s="2" t="s">
        <v>110</v>
      </c>
      <c r="D107" s="1">
        <v>1</v>
      </c>
      <c r="E107" s="6">
        <v>31</v>
      </c>
      <c r="F107" s="6">
        <f>E107/SUM(E105:E108)</f>
        <v>0.5535714285714286</v>
      </c>
      <c r="G107" s="1">
        <f t="shared" si="4"/>
        <v>0.5535714285714286</v>
      </c>
    </row>
    <row r="108" spans="3:8" x14ac:dyDescent="0.25">
      <c r="C108" s="1" t="s">
        <v>111</v>
      </c>
      <c r="D108" s="1">
        <v>0</v>
      </c>
      <c r="E108" s="6">
        <v>20</v>
      </c>
      <c r="F108" s="6">
        <f>E108/SUM(E105:E108)</f>
        <v>0.35714285714285715</v>
      </c>
      <c r="G108" s="1">
        <f t="shared" si="4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C30" sqref="C3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/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  <c r="G6" t="s">
        <v>193</v>
      </c>
    </row>
    <row r="7" spans="3:7" x14ac:dyDescent="0.25">
      <c r="E7" s="1" t="s">
        <v>38</v>
      </c>
      <c r="F7" s="1">
        <f>SUM(F5:F6)</f>
        <v>0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4</v>
      </c>
      <c r="F10" s="1">
        <f>E10/56</f>
        <v>7.1428571428571425E-2</v>
      </c>
      <c r="G10" s="1">
        <f>D10*F10</f>
        <v>0.14285714285714285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2.1428571428571428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/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0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K29"/>
  <sheetViews>
    <sheetView workbookViewId="0">
      <selection activeCell="I27" sqref="I27"/>
    </sheetView>
  </sheetViews>
  <sheetFormatPr defaultRowHeight="15" x14ac:dyDescent="0.25"/>
  <cols>
    <col min="3" max="3" width="58" customWidth="1"/>
  </cols>
  <sheetData>
    <row r="4" spans="3:11" x14ac:dyDescent="0.25">
      <c r="C4" s="1" t="s">
        <v>140</v>
      </c>
      <c r="D4" s="1" t="s">
        <v>51</v>
      </c>
      <c r="E4" s="1" t="s">
        <v>32</v>
      </c>
      <c r="F4" s="1" t="s">
        <v>31</v>
      </c>
    </row>
    <row r="5" spans="3:11" x14ac:dyDescent="0.25">
      <c r="C5" s="1" t="s">
        <v>112</v>
      </c>
      <c r="D5" s="1">
        <v>4</v>
      </c>
      <c r="E5" s="1">
        <v>0</v>
      </c>
      <c r="F5" s="1"/>
    </row>
    <row r="6" spans="3:11" x14ac:dyDescent="0.25">
      <c r="C6" s="1" t="s">
        <v>113</v>
      </c>
      <c r="D6" s="1">
        <v>3</v>
      </c>
      <c r="E6" s="1">
        <v>0</v>
      </c>
      <c r="F6" s="1">
        <v>3</v>
      </c>
    </row>
    <row r="7" spans="3:11" x14ac:dyDescent="0.25">
      <c r="C7" s="1" t="s">
        <v>114</v>
      </c>
      <c r="D7" s="1">
        <v>0</v>
      </c>
      <c r="E7" s="1">
        <v>0</v>
      </c>
      <c r="F7" s="1">
        <v>0</v>
      </c>
    </row>
    <row r="8" spans="3:11" x14ac:dyDescent="0.25">
      <c r="E8" s="7" t="s">
        <v>38</v>
      </c>
      <c r="F8" s="7">
        <f>SUM(F5:F7)</f>
        <v>3</v>
      </c>
    </row>
    <row r="11" spans="3:11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11" x14ac:dyDescent="0.25">
      <c r="C12" s="1" t="s">
        <v>115</v>
      </c>
      <c r="D12" s="1">
        <v>4</v>
      </c>
      <c r="E12" s="1">
        <v>0</v>
      </c>
      <c r="F12" s="1"/>
    </row>
    <row r="13" spans="3:11" x14ac:dyDescent="0.25">
      <c r="C13" s="1" t="s">
        <v>116</v>
      </c>
      <c r="D13" s="1">
        <v>3</v>
      </c>
      <c r="E13" s="1">
        <v>0</v>
      </c>
      <c r="F13" s="1"/>
    </row>
    <row r="14" spans="3:11" x14ac:dyDescent="0.25">
      <c r="C14" s="1" t="s">
        <v>117</v>
      </c>
      <c r="D14" s="1">
        <v>0</v>
      </c>
      <c r="E14" s="1">
        <v>0</v>
      </c>
      <c r="F14" s="1">
        <v>0</v>
      </c>
      <c r="J14">
        <v>23</v>
      </c>
      <c r="K14">
        <v>24</v>
      </c>
    </row>
    <row r="15" spans="3:11" x14ac:dyDescent="0.25">
      <c r="E15" s="7" t="s">
        <v>38</v>
      </c>
      <c r="F15" s="7">
        <f>SUM(F12:F14)</f>
        <v>0</v>
      </c>
      <c r="J15">
        <v>5</v>
      </c>
      <c r="K15">
        <v>41</v>
      </c>
    </row>
    <row r="16" spans="3:11" x14ac:dyDescent="0.25">
      <c r="J16">
        <f>J14-J15</f>
        <v>18</v>
      </c>
      <c r="K16">
        <f>K14-K15</f>
        <v>-17</v>
      </c>
    </row>
    <row r="17" spans="3:11" x14ac:dyDescent="0.25">
      <c r="J17">
        <v>17</v>
      </c>
      <c r="K17">
        <f>60+K16</f>
        <v>43</v>
      </c>
    </row>
    <row r="18" spans="3:11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11" x14ac:dyDescent="0.25">
      <c r="C19" s="1" t="s">
        <v>119</v>
      </c>
      <c r="D19" s="1">
        <v>3</v>
      </c>
      <c r="E19" s="1">
        <v>0</v>
      </c>
      <c r="F19" s="1"/>
    </row>
    <row r="20" spans="3:11" x14ac:dyDescent="0.25">
      <c r="C20" s="1" t="s">
        <v>120</v>
      </c>
      <c r="D20" s="1">
        <v>2</v>
      </c>
      <c r="E20" s="1">
        <v>0</v>
      </c>
      <c r="F20" s="1">
        <v>2</v>
      </c>
    </row>
    <row r="21" spans="3:11" x14ac:dyDescent="0.25">
      <c r="C21" s="1" t="s">
        <v>121</v>
      </c>
      <c r="D21" s="1">
        <v>0</v>
      </c>
      <c r="E21" s="1">
        <v>0</v>
      </c>
      <c r="F21" s="1">
        <v>0</v>
      </c>
    </row>
    <row r="22" spans="3:11" x14ac:dyDescent="0.25">
      <c r="E22" s="7" t="s">
        <v>38</v>
      </c>
      <c r="F22" s="7">
        <f>SUM(F19:F21)</f>
        <v>2</v>
      </c>
    </row>
    <row r="25" spans="3:11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11" x14ac:dyDescent="0.25">
      <c r="C26" s="1" t="s">
        <v>120</v>
      </c>
      <c r="D26" s="1">
        <v>3</v>
      </c>
      <c r="E26" s="1">
        <v>0</v>
      </c>
      <c r="F26" s="1">
        <v>3</v>
      </c>
    </row>
    <row r="27" spans="3:11" x14ac:dyDescent="0.25">
      <c r="C27" s="1" t="s">
        <v>123</v>
      </c>
      <c r="D27" s="1">
        <v>2</v>
      </c>
      <c r="E27" s="1">
        <v>0</v>
      </c>
      <c r="F27" s="1"/>
    </row>
    <row r="28" spans="3:11" x14ac:dyDescent="0.25">
      <c r="C28" s="1" t="s">
        <v>124</v>
      </c>
      <c r="D28" s="1">
        <v>0</v>
      </c>
      <c r="E28" s="1">
        <v>0</v>
      </c>
      <c r="F28" s="1">
        <v>0</v>
      </c>
    </row>
    <row r="29" spans="3:11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2024-05-29T08:58:36Z</dcterms:modified>
</cp:coreProperties>
</file>